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mc:AlternateContent xmlns:mc="http://schemas.openxmlformats.org/markup-compatibility/2006">
    <mc:Choice Requires="x15">
      <x15ac:absPath xmlns:x15ac="http://schemas.microsoft.com/office/spreadsheetml/2010/11/ac" url="D:\new books\aisc\"/>
    </mc:Choice>
  </mc:AlternateContent>
  <bookViews>
    <workbookView xWindow="0" yWindow="0" windowWidth="17280" windowHeight="6924" tabRatio="910"/>
  </bookViews>
  <sheets>
    <sheet name="Doc" sheetId="123" r:id="rId1"/>
    <sheet name="MWFRS (Low-Rise)" sheetId="142" r:id="rId2"/>
    <sheet name="MWFRS (Any Ht.)" sheetId="154" r:id="rId3"/>
    <sheet name="Wall C&amp;C" sheetId="120" r:id="rId4"/>
    <sheet name="Roof C&amp;C" sheetId="121" r:id="rId5"/>
    <sheet name="Open Structures (no roof)" sheetId="155" r:id="rId6"/>
    <sheet name="Wind Map" sheetId="156" r:id="rId7"/>
  </sheets>
  <externalReferences>
    <externalReference r:id="rId8"/>
  </externalReferences>
  <definedNames>
    <definedName name="__IND1">#REF!</definedName>
    <definedName name="_IND1">#REF!</definedName>
    <definedName name="AA">'[1]2Angles'!$A$1</definedName>
    <definedName name="_xlnm.Print_Area" localSheetId="0">Doc!$A$1:$J$54</definedName>
    <definedName name="_xlnm.Print_Area" localSheetId="2">'MWFRS (Any Ht.)'!$A$1:$G$208</definedName>
    <definedName name="_xlnm.Print_Area" localSheetId="1">'MWFRS (Low-Rise)'!$A$1:$H$156</definedName>
    <definedName name="_xlnm.Print_Area" localSheetId="5">'Open Structures (no roof)'!$A$1:$J$169</definedName>
    <definedName name="_xlnm.Print_Area" localSheetId="4">'Roof C&amp;C'!$A$1:$H$156</definedName>
    <definedName name="_xlnm.Print_Area" localSheetId="3">'Wall C&amp;C'!$A$1:$H$156</definedName>
    <definedName name="_xlnm.Print_Area" localSheetId="6">'Wind Map'!$A$1:$X$232</definedName>
    <definedName name="Shape" localSheetId="6">#REF!</definedName>
    <definedName name="Shape">#REF!</definedName>
  </definedNames>
  <calcPr calcId="162913"/>
</workbook>
</file>

<file path=xl/calcChain.xml><?xml version="1.0" encoding="utf-8"?>
<calcChain xmlns="http://schemas.openxmlformats.org/spreadsheetml/2006/main">
  <c r="Q3" i="142" l="1"/>
  <c r="B24" i="142" s="1"/>
  <c r="AA1" i="155" l="1"/>
  <c r="AA1" i="121"/>
  <c r="AA1" i="120"/>
  <c r="AA1" i="154"/>
  <c r="AA1" i="142"/>
  <c r="F67" i="142"/>
  <c r="F66" i="142"/>
  <c r="F37" i="142"/>
  <c r="M29" i="142"/>
  <c r="B33" i="142" s="1"/>
  <c r="O4" i="155"/>
  <c r="G12" i="155" s="1"/>
  <c r="O5" i="155"/>
  <c r="C35" i="155" s="1"/>
  <c r="B30" i="155"/>
  <c r="A30" i="155" s="1"/>
  <c r="B31" i="155"/>
  <c r="B32" i="155"/>
  <c r="B33" i="155"/>
  <c r="A33" i="155" s="1"/>
  <c r="B34" i="155"/>
  <c r="A34" i="155" s="1"/>
  <c r="B35" i="155"/>
  <c r="B36" i="155"/>
  <c r="A36" i="155" s="1"/>
  <c r="B37" i="155"/>
  <c r="A37" i="155" s="1"/>
  <c r="B38" i="155"/>
  <c r="A38" i="155" s="1"/>
  <c r="B39" i="155"/>
  <c r="B40" i="155"/>
  <c r="B41" i="155"/>
  <c r="C41" i="155" s="1"/>
  <c r="B42" i="155"/>
  <c r="B43" i="155"/>
  <c r="B44" i="155"/>
  <c r="B45" i="155"/>
  <c r="A45" i="155" s="1"/>
  <c r="B66" i="155"/>
  <c r="B67" i="155"/>
  <c r="B68" i="155"/>
  <c r="B69" i="155"/>
  <c r="B70" i="155"/>
  <c r="B71" i="155"/>
  <c r="B72" i="155"/>
  <c r="B73" i="155"/>
  <c r="B76" i="155" s="1"/>
  <c r="B88" i="155"/>
  <c r="B89" i="155"/>
  <c r="B90" i="155" s="1"/>
  <c r="B91" i="155" s="1"/>
  <c r="AC118" i="155"/>
  <c r="AC119" i="155" s="1"/>
  <c r="AC126" i="155"/>
  <c r="AC129" i="155" s="1"/>
  <c r="AC130" i="155" s="1"/>
  <c r="AC127" i="155"/>
  <c r="AC128" i="155"/>
  <c r="AC150" i="155"/>
  <c r="AC151" i="155"/>
  <c r="AC152" i="155"/>
  <c r="P3" i="154"/>
  <c r="B28" i="154" s="1"/>
  <c r="L17" i="154" s="1"/>
  <c r="L5" i="154"/>
  <c r="L6" i="154"/>
  <c r="D14" i="154"/>
  <c r="P23" i="154"/>
  <c r="Q23" i="154"/>
  <c r="P24" i="154"/>
  <c r="Q24" i="154"/>
  <c r="P25" i="154"/>
  <c r="Q25" i="154"/>
  <c r="P26" i="154"/>
  <c r="Q26" i="154"/>
  <c r="G29" i="154"/>
  <c r="L29" i="154"/>
  <c r="B37" i="154" s="1"/>
  <c r="B30" i="154"/>
  <c r="G30" i="154"/>
  <c r="L30" i="154"/>
  <c r="B32" i="154"/>
  <c r="E85" i="154" s="1"/>
  <c r="L33" i="154"/>
  <c r="B41" i="154" s="1"/>
  <c r="L34" i="154"/>
  <c r="B38" i="154"/>
  <c r="A46" i="154"/>
  <c r="B137" i="154"/>
  <c r="A53" i="154"/>
  <c r="B56" i="154"/>
  <c r="C56" i="154" s="1"/>
  <c r="B57" i="154"/>
  <c r="B58" i="154"/>
  <c r="A58" i="154" s="1"/>
  <c r="B59" i="154"/>
  <c r="A59" i="154" s="1"/>
  <c r="B60" i="154"/>
  <c r="E60" i="154" s="1"/>
  <c r="B61" i="154"/>
  <c r="A61" i="154" s="1"/>
  <c r="B62" i="154"/>
  <c r="E62" i="154" s="1"/>
  <c r="B82" i="154"/>
  <c r="E82" i="154"/>
  <c r="B114" i="154"/>
  <c r="B115" i="154"/>
  <c r="B116" i="154"/>
  <c r="B117" i="154"/>
  <c r="B118" i="154"/>
  <c r="B119" i="154"/>
  <c r="B120" i="154"/>
  <c r="B121" i="154"/>
  <c r="B136" i="154"/>
  <c r="Q5" i="142"/>
  <c r="B60" i="142"/>
  <c r="F60" i="142"/>
  <c r="C21" i="142"/>
  <c r="P24" i="142"/>
  <c r="P25" i="142"/>
  <c r="N39" i="142"/>
  <c r="N40" i="142" s="1"/>
  <c r="M30" i="142"/>
  <c r="B34" i="142" s="1"/>
  <c r="M33" i="142"/>
  <c r="B38" i="142" s="1"/>
  <c r="M34" i="142"/>
  <c r="B39" i="142" s="1"/>
  <c r="F56" i="142"/>
  <c r="F57" i="142"/>
  <c r="F58" i="142"/>
  <c r="F59" i="142"/>
  <c r="B61" i="142"/>
  <c r="F61" i="142"/>
  <c r="F62" i="142"/>
  <c r="F63" i="142"/>
  <c r="F64" i="142"/>
  <c r="F65" i="142"/>
  <c r="M3" i="121"/>
  <c r="M3" i="120"/>
  <c r="B26" i="120" s="1"/>
  <c r="B62" i="121"/>
  <c r="B63" i="121" s="1"/>
  <c r="B61" i="121"/>
  <c r="A61" i="121"/>
  <c r="B60" i="121"/>
  <c r="A60" i="121" s="1"/>
  <c r="B59" i="121"/>
  <c r="B58" i="121"/>
  <c r="A58" i="121" s="1"/>
  <c r="B57" i="121"/>
  <c r="A57" i="121" s="1"/>
  <c r="B56" i="121"/>
  <c r="B56" i="120"/>
  <c r="B57" i="120" s="1"/>
  <c r="E13" i="121"/>
  <c r="F27" i="121"/>
  <c r="M30" i="121"/>
  <c r="P30" i="121"/>
  <c r="M31" i="121"/>
  <c r="P31" i="121"/>
  <c r="M32" i="121"/>
  <c r="P32" i="121"/>
  <c r="M33" i="121"/>
  <c r="P33" i="121"/>
  <c r="M35" i="121"/>
  <c r="P35" i="121"/>
  <c r="M60" i="121"/>
  <c r="B36" i="121"/>
  <c r="M36" i="121"/>
  <c r="P36" i="121"/>
  <c r="M61" i="121"/>
  <c r="B37" i="121"/>
  <c r="M37" i="121"/>
  <c r="P37" i="121"/>
  <c r="M38" i="121"/>
  <c r="P38" i="121"/>
  <c r="M64" i="121"/>
  <c r="B39" i="121" s="1"/>
  <c r="M65" i="121"/>
  <c r="B40" i="121" s="1"/>
  <c r="F40" i="121"/>
  <c r="M40" i="121"/>
  <c r="P40" i="121"/>
  <c r="M41" i="121"/>
  <c r="P41" i="121"/>
  <c r="M42" i="121"/>
  <c r="P42" i="121"/>
  <c r="M43" i="121"/>
  <c r="P43" i="121"/>
  <c r="A56" i="121"/>
  <c r="A59" i="121"/>
  <c r="A62" i="121"/>
  <c r="B82" i="121"/>
  <c r="E13" i="120"/>
  <c r="M22" i="120"/>
  <c r="B35" i="120" s="1"/>
  <c r="M23" i="120"/>
  <c r="M26" i="120"/>
  <c r="M27" i="120"/>
  <c r="B40" i="120" s="1"/>
  <c r="E39" i="120"/>
  <c r="A56" i="120"/>
  <c r="B82" i="120"/>
  <c r="P18" i="121"/>
  <c r="M15" i="121"/>
  <c r="A62" i="154"/>
  <c r="A32" i="155"/>
  <c r="C82" i="154"/>
  <c r="D82" i="154" s="1"/>
  <c r="P5" i="154"/>
  <c r="L10" i="154"/>
  <c r="B31" i="154" s="1"/>
  <c r="E84" i="154" s="1"/>
  <c r="A44" i="155"/>
  <c r="C44" i="155"/>
  <c r="A39" i="155"/>
  <c r="A35" i="155"/>
  <c r="A42" i="155"/>
  <c r="C31" i="155"/>
  <c r="M14" i="121"/>
  <c r="M12" i="142"/>
  <c r="B59" i="142" s="1"/>
  <c r="M15" i="142"/>
  <c r="B62" i="142" s="1"/>
  <c r="M10" i="142"/>
  <c r="B57" i="142" s="1"/>
  <c r="M9" i="142"/>
  <c r="B56" i="142" s="1"/>
  <c r="C25" i="142"/>
  <c r="M17" i="142"/>
  <c r="B64" i="142" s="1"/>
  <c r="G13" i="155"/>
  <c r="C38" i="155"/>
  <c r="C36" i="155"/>
  <c r="B36" i="120"/>
  <c r="P19" i="121"/>
  <c r="P15" i="121"/>
  <c r="P3" i="121"/>
  <c r="P44" i="121" s="1"/>
  <c r="M16" i="121"/>
  <c r="M21" i="121"/>
  <c r="B27" i="121"/>
  <c r="C28" i="121" s="1"/>
  <c r="M19" i="121"/>
  <c r="P20" i="121"/>
  <c r="M18" i="121"/>
  <c r="P13" i="121"/>
  <c r="M13" i="121"/>
  <c r="P16" i="121"/>
  <c r="P21" i="121"/>
  <c r="M20" i="121"/>
  <c r="P46" i="121"/>
  <c r="A36" i="154"/>
  <c r="L16" i="154"/>
  <c r="B87" i="154"/>
  <c r="C29" i="154"/>
  <c r="C34" i="154"/>
  <c r="B36" i="154"/>
  <c r="E92" i="154" s="1"/>
  <c r="A89" i="154"/>
  <c r="A93" i="154"/>
  <c r="B93" i="154" s="1"/>
  <c r="E93" i="154"/>
  <c r="F93" i="154" s="1"/>
  <c r="C33" i="154" l="1"/>
  <c r="M25" i="154"/>
  <c r="L24" i="154"/>
  <c r="C91" i="154"/>
  <c r="M24" i="154"/>
  <c r="P17" i="154"/>
  <c r="E36" i="154"/>
  <c r="J25" i="154"/>
  <c r="L18" i="154"/>
  <c r="C30" i="155"/>
  <c r="D30" i="155" s="1"/>
  <c r="C43" i="155"/>
  <c r="C33" i="155"/>
  <c r="C60" i="154"/>
  <c r="D60" i="154" s="1"/>
  <c r="C37" i="155"/>
  <c r="E87" i="154"/>
  <c r="G87" i="154" s="1"/>
  <c r="C36" i="154"/>
  <c r="A88" i="154"/>
  <c r="L25" i="154"/>
  <c r="E35" i="154"/>
  <c r="J23" i="154"/>
  <c r="M17" i="154"/>
  <c r="M16" i="154"/>
  <c r="P16" i="154"/>
  <c r="C45" i="155"/>
  <c r="C32" i="155"/>
  <c r="C40" i="155"/>
  <c r="P26" i="142"/>
  <c r="G71" i="142" s="1"/>
  <c r="B46" i="155"/>
  <c r="G93" i="154"/>
  <c r="M26" i="154"/>
  <c r="L23" i="154"/>
  <c r="B91" i="154"/>
  <c r="P18" i="154"/>
  <c r="P4" i="154"/>
  <c r="L35" i="154" s="1"/>
  <c r="A34" i="154"/>
  <c r="C39" i="155"/>
  <c r="C34" i="155"/>
  <c r="B63" i="154"/>
  <c r="A63" i="154" s="1"/>
  <c r="A60" i="154"/>
  <c r="A57" i="154"/>
  <c r="C57" i="154"/>
  <c r="D57" i="154" s="1"/>
  <c r="E58" i="154"/>
  <c r="C58" i="154"/>
  <c r="D58" i="154" s="1"/>
  <c r="C59" i="154"/>
  <c r="D59" i="154" s="1"/>
  <c r="E56" i="154"/>
  <c r="D56" i="154"/>
  <c r="B58" i="120"/>
  <c r="A57" i="120"/>
  <c r="B64" i="154"/>
  <c r="E61" i="154"/>
  <c r="E59" i="154"/>
  <c r="E57" i="154"/>
  <c r="D45" i="155"/>
  <c r="A41" i="155"/>
  <c r="D41" i="155"/>
  <c r="D38" i="155"/>
  <c r="D36" i="155"/>
  <c r="D44" i="155"/>
  <c r="A40" i="155"/>
  <c r="D40" i="155"/>
  <c r="D35" i="155"/>
  <c r="D33" i="155"/>
  <c r="A43" i="155"/>
  <c r="D43" i="155"/>
  <c r="D39" i="155"/>
  <c r="D32" i="155"/>
  <c r="F87" i="154"/>
  <c r="C42" i="155"/>
  <c r="D42" i="155"/>
  <c r="D37" i="155"/>
  <c r="D34" i="155"/>
  <c r="A31" i="155"/>
  <c r="D31" i="155"/>
  <c r="A58" i="120"/>
  <c r="B59" i="120"/>
  <c r="C27" i="120"/>
  <c r="P3" i="120"/>
  <c r="O16" i="120" s="1"/>
  <c r="O17" i="120" s="1"/>
  <c r="M24" i="142"/>
  <c r="J24" i="154"/>
  <c r="A35" i="154"/>
  <c r="A86" i="154"/>
  <c r="J26" i="154"/>
  <c r="A100" i="154"/>
  <c r="C87" i="154"/>
  <c r="A87" i="154"/>
  <c r="D91" i="154"/>
  <c r="A92" i="154"/>
  <c r="B90" i="154"/>
  <c r="C90" i="154"/>
  <c r="A90" i="154"/>
  <c r="A102" i="154"/>
  <c r="A91" i="154"/>
  <c r="A101" i="154"/>
  <c r="G14" i="155"/>
  <c r="C60" i="155"/>
  <c r="I15" i="155"/>
  <c r="B60" i="155"/>
  <c r="H14" i="155"/>
  <c r="B81" i="155"/>
  <c r="G92" i="154"/>
  <c r="C35" i="154"/>
  <c r="A103" i="154"/>
  <c r="M23" i="154"/>
  <c r="L26" i="154"/>
  <c r="D90" i="154"/>
  <c r="B29" i="154"/>
  <c r="P19" i="154" s="1"/>
  <c r="E34" i="154"/>
  <c r="M18" i="154"/>
  <c r="E33" i="154"/>
  <c r="A33" i="154"/>
  <c r="D87" i="154"/>
  <c r="M45" i="121"/>
  <c r="P22" i="121"/>
  <c r="P45" i="121"/>
  <c r="M44" i="121"/>
  <c r="M66" i="121"/>
  <c r="M52" i="121"/>
  <c r="M53" i="121" s="1"/>
  <c r="M54" i="121" s="1"/>
  <c r="M55" i="121" s="1"/>
  <c r="M56" i="121" s="1"/>
  <c r="M57" i="121" s="1"/>
  <c r="P54" i="121"/>
  <c r="P55" i="121" s="1"/>
  <c r="M47" i="121"/>
  <c r="P53" i="121"/>
  <c r="P23" i="121"/>
  <c r="P9" i="121"/>
  <c r="M10" i="121"/>
  <c r="M24" i="121" s="1"/>
  <c r="B33" i="121" s="1"/>
  <c r="M46" i="121"/>
  <c r="C57" i="121"/>
  <c r="C93" i="154"/>
  <c r="C60" i="121"/>
  <c r="P10" i="121"/>
  <c r="P11" i="121"/>
  <c r="M9" i="121"/>
  <c r="M23" i="121" s="1"/>
  <c r="B32" i="121" s="1"/>
  <c r="C63" i="121"/>
  <c r="A63" i="121"/>
  <c r="B64" i="121"/>
  <c r="E64" i="121" s="1"/>
  <c r="B78" i="155"/>
  <c r="B82" i="155" s="1"/>
  <c r="B77" i="155"/>
  <c r="F92" i="154"/>
  <c r="D93" i="154"/>
  <c r="P6" i="154"/>
  <c r="B46" i="154" s="1"/>
  <c r="C62" i="121"/>
  <c r="M11" i="121"/>
  <c r="M25" i="121" s="1"/>
  <c r="B34" i="121" s="1"/>
  <c r="P25" i="121"/>
  <c r="P47" i="121"/>
  <c r="P52" i="121"/>
  <c r="B28" i="121"/>
  <c r="P24" i="121"/>
  <c r="M25" i="142"/>
  <c r="B39" i="120"/>
  <c r="M28" i="120"/>
  <c r="M8" i="121"/>
  <c r="M18" i="142"/>
  <c r="B65" i="142" s="1"/>
  <c r="Q4" i="142"/>
  <c r="M11" i="142"/>
  <c r="B58" i="142" s="1"/>
  <c r="M16" i="142"/>
  <c r="B63" i="142" s="1"/>
  <c r="C62" i="154"/>
  <c r="D62" i="154" s="1"/>
  <c r="D41" i="154"/>
  <c r="C61" i="154"/>
  <c r="D61" i="154" s="1"/>
  <c r="O15" i="120"/>
  <c r="B27" i="120"/>
  <c r="M22" i="121"/>
  <c r="B31" i="121" s="1"/>
  <c r="P8" i="121"/>
  <c r="P14" i="121"/>
  <c r="P20" i="154" l="1"/>
  <c r="B35" i="154" s="1"/>
  <c r="G63" i="154"/>
  <c r="D63" i="154"/>
  <c r="C46" i="155"/>
  <c r="D46" i="155" s="1"/>
  <c r="B47" i="155"/>
  <c r="A46" i="155"/>
  <c r="L19" i="154"/>
  <c r="E63" i="154"/>
  <c r="C63" i="154"/>
  <c r="L36" i="154"/>
  <c r="B45" i="154" s="1"/>
  <c r="B42" i="154"/>
  <c r="F63" i="154"/>
  <c r="B65" i="154"/>
  <c r="C64" i="154"/>
  <c r="G64" i="154"/>
  <c r="D64" i="154"/>
  <c r="F64" i="154"/>
  <c r="A64" i="154"/>
  <c r="E64" i="154"/>
  <c r="G64" i="121"/>
  <c r="H64" i="121"/>
  <c r="M26" i="142"/>
  <c r="B71" i="142" s="1"/>
  <c r="A59" i="120"/>
  <c r="B60" i="120"/>
  <c r="O5" i="120"/>
  <c r="M8" i="120" s="1"/>
  <c r="B30" i="120" s="1"/>
  <c r="O14" i="120"/>
  <c r="M14" i="120"/>
  <c r="M15" i="120" s="1"/>
  <c r="M16" i="120" s="1"/>
  <c r="M17" i="120" s="1"/>
  <c r="M18" i="120" s="1"/>
  <c r="M19" i="120" s="1"/>
  <c r="M30" i="120"/>
  <c r="B41" i="120"/>
  <c r="C59" i="120"/>
  <c r="C58" i="120"/>
  <c r="C56" i="120"/>
  <c r="C57" i="120"/>
  <c r="E90" i="154"/>
  <c r="E91" i="154"/>
  <c r="M4" i="142"/>
  <c r="B28" i="142" s="1"/>
  <c r="M35" i="142"/>
  <c r="M5" i="142"/>
  <c r="G28" i="142" s="1"/>
  <c r="B25" i="142"/>
  <c r="N41" i="142" s="1"/>
  <c r="N42" i="142" s="1"/>
  <c r="N43" i="142" s="1"/>
  <c r="N44" i="142" s="1"/>
  <c r="M67" i="121"/>
  <c r="B41" i="121"/>
  <c r="C59" i="121"/>
  <c r="C61" i="121"/>
  <c r="C56" i="121"/>
  <c r="C82" i="120"/>
  <c r="C60" i="120"/>
  <c r="C31" i="121"/>
  <c r="C32" i="121"/>
  <c r="C33" i="121"/>
  <c r="C34" i="121"/>
  <c r="B83" i="121"/>
  <c r="D86" i="121"/>
  <c r="C54" i="121"/>
  <c r="A87" i="121"/>
  <c r="D87" i="121"/>
  <c r="D54" i="121"/>
  <c r="C58" i="121"/>
  <c r="D92" i="154"/>
  <c r="B92" i="154"/>
  <c r="C92" i="154"/>
  <c r="C30" i="120"/>
  <c r="N8" i="120"/>
  <c r="D54" i="120"/>
  <c r="N10" i="120"/>
  <c r="C31" i="120"/>
  <c r="C32" i="120"/>
  <c r="C33" i="120"/>
  <c r="N9" i="120"/>
  <c r="L7" i="120"/>
  <c r="C54" i="120"/>
  <c r="B83" i="120"/>
  <c r="E86" i="120"/>
  <c r="N11" i="120"/>
  <c r="C82" i="121"/>
  <c r="A64" i="121"/>
  <c r="B65" i="121"/>
  <c r="F64" i="121"/>
  <c r="D64" i="121"/>
  <c r="C64" i="121"/>
  <c r="B88" i="154"/>
  <c r="M20" i="154"/>
  <c r="B34" i="154" s="1"/>
  <c r="C88" i="154"/>
  <c r="D89" i="154"/>
  <c r="B138" i="154"/>
  <c r="B139" i="154" s="1"/>
  <c r="L20" i="154"/>
  <c r="C89" i="154"/>
  <c r="B89" i="154"/>
  <c r="M19" i="154"/>
  <c r="B124" i="154"/>
  <c r="O9" i="154"/>
  <c r="O10" i="154" s="1"/>
  <c r="B83" i="154"/>
  <c r="D88" i="154"/>
  <c r="B99" i="155"/>
  <c r="B101" i="155"/>
  <c r="B94" i="155"/>
  <c r="B93" i="155"/>
  <c r="B102" i="155"/>
  <c r="B95" i="155"/>
  <c r="B100" i="155"/>
  <c r="B97" i="155"/>
  <c r="B98" i="155"/>
  <c r="B63" i="155"/>
  <c r="B92" i="155"/>
  <c r="B103" i="155"/>
  <c r="B85" i="155"/>
  <c r="B104" i="155" s="1"/>
  <c r="G15" i="155" s="1"/>
  <c r="B96" i="155"/>
  <c r="D47" i="155" l="1"/>
  <c r="E47" i="155"/>
  <c r="H47" i="155"/>
  <c r="C47" i="155"/>
  <c r="I47" i="155"/>
  <c r="B48" i="155"/>
  <c r="A47" i="155"/>
  <c r="G47" i="155"/>
  <c r="F47" i="155"/>
  <c r="G65" i="154"/>
  <c r="E65" i="154"/>
  <c r="B66" i="154"/>
  <c r="F65" i="154"/>
  <c r="A65" i="154"/>
  <c r="C65" i="154"/>
  <c r="D65" i="154"/>
  <c r="M11" i="120"/>
  <c r="B33" i="120" s="1"/>
  <c r="M10" i="120"/>
  <c r="B32" i="120" s="1"/>
  <c r="M9" i="120"/>
  <c r="B31" i="120" s="1"/>
  <c r="B61" i="120"/>
  <c r="H61" i="120" s="1"/>
  <c r="A60" i="120"/>
  <c r="E37" i="155"/>
  <c r="E33" i="155"/>
  <c r="E39" i="155"/>
  <c r="E40" i="155"/>
  <c r="E32" i="155"/>
  <c r="E42" i="155"/>
  <c r="E44" i="155"/>
  <c r="E36" i="155"/>
  <c r="E43" i="155"/>
  <c r="E45" i="155"/>
  <c r="E30" i="155"/>
  <c r="E35" i="155"/>
  <c r="E31" i="155"/>
  <c r="E46" i="155"/>
  <c r="E34" i="155"/>
  <c r="E41" i="155"/>
  <c r="E38" i="155"/>
  <c r="C83" i="154"/>
  <c r="D83" i="154" s="1"/>
  <c r="E83" i="154"/>
  <c r="C83" i="121"/>
  <c r="E83" i="121"/>
  <c r="G83" i="121"/>
  <c r="D83" i="121"/>
  <c r="F83" i="121"/>
  <c r="H83" i="121"/>
  <c r="B44" i="121"/>
  <c r="H58" i="121"/>
  <c r="D59" i="121"/>
  <c r="D58" i="121"/>
  <c r="G58" i="121"/>
  <c r="H82" i="121"/>
  <c r="D61" i="121"/>
  <c r="D62" i="121"/>
  <c r="F59" i="121"/>
  <c r="H62" i="121"/>
  <c r="F58" i="121"/>
  <c r="D82" i="121"/>
  <c r="E62" i="121"/>
  <c r="E60" i="121"/>
  <c r="D57" i="121"/>
  <c r="E63" i="121"/>
  <c r="G61" i="121"/>
  <c r="G56" i="121"/>
  <c r="G82" i="121"/>
  <c r="E57" i="121"/>
  <c r="H63" i="121"/>
  <c r="D63" i="121"/>
  <c r="F56" i="121"/>
  <c r="E59" i="121"/>
  <c r="D56" i="121"/>
  <c r="G57" i="121"/>
  <c r="F63" i="121"/>
  <c r="G62" i="121"/>
  <c r="G59" i="121"/>
  <c r="E58" i="121"/>
  <c r="F62" i="121"/>
  <c r="H57" i="121"/>
  <c r="G63" i="121"/>
  <c r="E56" i="121"/>
  <c r="F57" i="121"/>
  <c r="F61" i="121"/>
  <c r="E82" i="121"/>
  <c r="H56" i="121"/>
  <c r="H61" i="121"/>
  <c r="F82" i="121"/>
  <c r="E61" i="121"/>
  <c r="H59" i="121"/>
  <c r="F60" i="121"/>
  <c r="G60" i="121"/>
  <c r="D60" i="121"/>
  <c r="H60" i="121"/>
  <c r="N45" i="142"/>
  <c r="B49" i="142" s="1"/>
  <c r="B48" i="142"/>
  <c r="D57" i="120"/>
  <c r="H56" i="120"/>
  <c r="E59" i="120"/>
  <c r="H59" i="120"/>
  <c r="E60" i="120"/>
  <c r="E58" i="120"/>
  <c r="H82" i="120"/>
  <c r="D59" i="120"/>
  <c r="E57" i="120"/>
  <c r="G59" i="120"/>
  <c r="F60" i="120"/>
  <c r="D56" i="120"/>
  <c r="B44" i="120"/>
  <c r="G58" i="120"/>
  <c r="H58" i="120"/>
  <c r="D58" i="120"/>
  <c r="E82" i="120"/>
  <c r="E56" i="120"/>
  <c r="F56" i="120"/>
  <c r="F59" i="120"/>
  <c r="D60" i="120"/>
  <c r="D82" i="120"/>
  <c r="F58" i="120"/>
  <c r="E61" i="120"/>
  <c r="H60" i="120"/>
  <c r="G60" i="120"/>
  <c r="B125" i="154"/>
  <c r="B126" i="154"/>
  <c r="B130" i="154" s="1"/>
  <c r="E86" i="154"/>
  <c r="B33" i="154"/>
  <c r="E88" i="154"/>
  <c r="E89" i="154"/>
  <c r="F83" i="120"/>
  <c r="G83" i="120"/>
  <c r="E83" i="120"/>
  <c r="D83" i="120"/>
  <c r="C83" i="120"/>
  <c r="C108" i="154"/>
  <c r="D46" i="154"/>
  <c r="B129" i="154"/>
  <c r="B108" i="154"/>
  <c r="B66" i="121"/>
  <c r="A65" i="121"/>
  <c r="F65" i="121"/>
  <c r="D65" i="121"/>
  <c r="C65" i="121"/>
  <c r="H65" i="121"/>
  <c r="E65" i="121"/>
  <c r="G65" i="121"/>
  <c r="M36" i="142"/>
  <c r="B40" i="142"/>
  <c r="G91" i="154"/>
  <c r="F91" i="154"/>
  <c r="D48" i="155" l="1"/>
  <c r="I48" i="155"/>
  <c r="G48" i="155"/>
  <c r="H48" i="155"/>
  <c r="E48" i="155"/>
  <c r="C48" i="155"/>
  <c r="F48" i="155"/>
  <c r="B49" i="155"/>
  <c r="A48" i="155"/>
  <c r="B67" i="154"/>
  <c r="C66" i="154"/>
  <c r="E66" i="154"/>
  <c r="G66" i="154"/>
  <c r="D66" i="154"/>
  <c r="F66" i="154"/>
  <c r="A66" i="154"/>
  <c r="F82" i="120"/>
  <c r="H83" i="120"/>
  <c r="H57" i="120"/>
  <c r="G56" i="120"/>
  <c r="F57" i="120"/>
  <c r="G57" i="120"/>
  <c r="B62" i="120"/>
  <c r="A61" i="120"/>
  <c r="C61" i="120"/>
  <c r="D61" i="120"/>
  <c r="G61" i="120"/>
  <c r="G82" i="120"/>
  <c r="F61" i="120"/>
  <c r="F34" i="155"/>
  <c r="G34" i="155"/>
  <c r="H34" i="155"/>
  <c r="I34" i="155"/>
  <c r="I30" i="155"/>
  <c r="H30" i="155"/>
  <c r="G30" i="155"/>
  <c r="F30" i="155"/>
  <c r="H44" i="155"/>
  <c r="F44" i="155"/>
  <c r="I44" i="155"/>
  <c r="G44" i="155"/>
  <c r="F39" i="155"/>
  <c r="I39" i="155"/>
  <c r="G39" i="155"/>
  <c r="H39" i="155"/>
  <c r="A66" i="121"/>
  <c r="F66" i="121"/>
  <c r="D66" i="121"/>
  <c r="B67" i="121"/>
  <c r="C66" i="121"/>
  <c r="H66" i="121"/>
  <c r="E66" i="121"/>
  <c r="G66" i="121"/>
  <c r="G89" i="154"/>
  <c r="F89" i="154"/>
  <c r="G46" i="155"/>
  <c r="I46" i="155"/>
  <c r="F46" i="155"/>
  <c r="H46" i="155"/>
  <c r="F45" i="155"/>
  <c r="I45" i="155"/>
  <c r="H45" i="155"/>
  <c r="G45" i="155"/>
  <c r="G42" i="155"/>
  <c r="F42" i="155"/>
  <c r="I42" i="155"/>
  <c r="H42" i="155"/>
  <c r="G33" i="155"/>
  <c r="H33" i="155"/>
  <c r="I33" i="155"/>
  <c r="F33" i="155"/>
  <c r="D56" i="142"/>
  <c r="D77" i="142" s="1"/>
  <c r="C56" i="142"/>
  <c r="C77" i="142" s="1"/>
  <c r="G67" i="142"/>
  <c r="H66" i="142"/>
  <c r="D59" i="142"/>
  <c r="D80" i="142" s="1"/>
  <c r="G59" i="142"/>
  <c r="G80" i="142" s="1"/>
  <c r="C58" i="142"/>
  <c r="C79" i="142" s="1"/>
  <c r="D63" i="142"/>
  <c r="G63" i="142"/>
  <c r="H65" i="142"/>
  <c r="H58" i="142"/>
  <c r="H79" i="142" s="1"/>
  <c r="D65" i="142"/>
  <c r="B43" i="142"/>
  <c r="G65" i="142"/>
  <c r="H56" i="142"/>
  <c r="H77" i="142" s="1"/>
  <c r="C57" i="142"/>
  <c r="C78" i="142" s="1"/>
  <c r="G57" i="142"/>
  <c r="G78" i="142" s="1"/>
  <c r="G56" i="142"/>
  <c r="G77" i="142" s="1"/>
  <c r="C65" i="142"/>
  <c r="D58" i="142"/>
  <c r="D79" i="142" s="1"/>
  <c r="H60" i="142"/>
  <c r="H81" i="142" s="1"/>
  <c r="G66" i="142"/>
  <c r="D62" i="142"/>
  <c r="D57" i="142"/>
  <c r="D78" i="142" s="1"/>
  <c r="G64" i="142"/>
  <c r="G58" i="142"/>
  <c r="G79" i="142" s="1"/>
  <c r="G60" i="142"/>
  <c r="G81" i="142" s="1"/>
  <c r="H63" i="142"/>
  <c r="D64" i="142"/>
  <c r="H57" i="142"/>
  <c r="H78" i="142" s="1"/>
  <c r="H62" i="142"/>
  <c r="G62" i="142"/>
  <c r="C64" i="142"/>
  <c r="H61" i="142"/>
  <c r="H82" i="142" s="1"/>
  <c r="H64" i="142"/>
  <c r="G61" i="142"/>
  <c r="G82" i="142" s="1"/>
  <c r="H67" i="142"/>
  <c r="H59" i="142"/>
  <c r="H80" i="142" s="1"/>
  <c r="C63" i="142"/>
  <c r="C59" i="142"/>
  <c r="C80" i="142" s="1"/>
  <c r="C62" i="142"/>
  <c r="B133" i="154"/>
  <c r="B141" i="154"/>
  <c r="B143" i="154"/>
  <c r="B144" i="154"/>
  <c r="B146" i="154"/>
  <c r="F46" i="154"/>
  <c r="B147" i="154"/>
  <c r="B148" i="154"/>
  <c r="B150" i="154"/>
  <c r="B140" i="154"/>
  <c r="B145" i="154"/>
  <c r="B111" i="154"/>
  <c r="B152" i="154" s="1"/>
  <c r="B142" i="154"/>
  <c r="B149" i="154"/>
  <c r="B151" i="154"/>
  <c r="G38" i="155"/>
  <c r="F38" i="155"/>
  <c r="H38" i="155"/>
  <c r="I38" i="155"/>
  <c r="G31" i="155"/>
  <c r="F31" i="155"/>
  <c r="H31" i="155"/>
  <c r="I31" i="155"/>
  <c r="G43" i="155"/>
  <c r="F43" i="155"/>
  <c r="H43" i="155"/>
  <c r="I43" i="155"/>
  <c r="F32" i="155"/>
  <c r="H32" i="155"/>
  <c r="I32" i="155"/>
  <c r="G32" i="155"/>
  <c r="I37" i="155"/>
  <c r="H37" i="155"/>
  <c r="F37" i="155"/>
  <c r="G37" i="155"/>
  <c r="H41" i="155"/>
  <c r="G41" i="155"/>
  <c r="F41" i="155"/>
  <c r="I41" i="155"/>
  <c r="F35" i="155"/>
  <c r="G35" i="155"/>
  <c r="H35" i="155"/>
  <c r="I35" i="155"/>
  <c r="G36" i="155"/>
  <c r="I36" i="155"/>
  <c r="H36" i="155"/>
  <c r="F36" i="155"/>
  <c r="I40" i="155"/>
  <c r="H40" i="155"/>
  <c r="F40" i="155"/>
  <c r="G40" i="155"/>
  <c r="D49" i="155" l="1"/>
  <c r="I49" i="155"/>
  <c r="C49" i="155"/>
  <c r="A49" i="155"/>
  <c r="H49" i="155"/>
  <c r="F49" i="155"/>
  <c r="E49" i="155"/>
  <c r="B50" i="155"/>
  <c r="G49" i="155"/>
  <c r="D67" i="154"/>
  <c r="G67" i="154"/>
  <c r="F67" i="154"/>
  <c r="E67" i="154"/>
  <c r="A67" i="154"/>
  <c r="C67" i="154"/>
  <c r="B68" i="154"/>
  <c r="A62" i="120"/>
  <c r="B63" i="120"/>
  <c r="C62" i="120"/>
  <c r="D62" i="120"/>
  <c r="G62" i="120"/>
  <c r="F62" i="120"/>
  <c r="E62" i="120"/>
  <c r="H62" i="120"/>
  <c r="G60" i="154"/>
  <c r="G59" i="154"/>
  <c r="F60" i="154"/>
  <c r="G58" i="154"/>
  <c r="F59" i="154"/>
  <c r="F58" i="154"/>
  <c r="G57" i="154"/>
  <c r="F57" i="154"/>
  <c r="B47" i="154"/>
  <c r="G84" i="154"/>
  <c r="G85" i="154"/>
  <c r="F85" i="154"/>
  <c r="G86" i="154"/>
  <c r="F82" i="154"/>
  <c r="F84" i="154"/>
  <c r="F86" i="154"/>
  <c r="G82" i="154"/>
  <c r="F56" i="154"/>
  <c r="G61" i="154"/>
  <c r="G90" i="154"/>
  <c r="F62" i="154"/>
  <c r="F61" i="154"/>
  <c r="F90" i="154"/>
  <c r="G62" i="154"/>
  <c r="G56" i="154"/>
  <c r="F88" i="154"/>
  <c r="G83" i="154"/>
  <c r="F83" i="154"/>
  <c r="G88" i="154"/>
  <c r="B68" i="121"/>
  <c r="E67" i="121"/>
  <c r="A67" i="121"/>
  <c r="F67" i="121"/>
  <c r="H67" i="121"/>
  <c r="D67" i="121"/>
  <c r="G67" i="121"/>
  <c r="C67" i="121"/>
  <c r="D50" i="155" l="1"/>
  <c r="G50" i="155"/>
  <c r="C50" i="155"/>
  <c r="H50" i="155"/>
  <c r="I50" i="155"/>
  <c r="E50" i="155"/>
  <c r="A50" i="155"/>
  <c r="B51" i="155"/>
  <c r="F50" i="155"/>
  <c r="A68" i="154"/>
  <c r="E68" i="154"/>
  <c r="D68" i="154"/>
  <c r="F68" i="154"/>
  <c r="B69" i="154"/>
  <c r="G68" i="154"/>
  <c r="C68" i="154"/>
  <c r="A63" i="120"/>
  <c r="C63" i="120"/>
  <c r="B64" i="120"/>
  <c r="E63" i="120"/>
  <c r="D63" i="120"/>
  <c r="G63" i="120"/>
  <c r="F63" i="120"/>
  <c r="H63" i="120"/>
  <c r="B69" i="121"/>
  <c r="A68" i="121"/>
  <c r="E68" i="121"/>
  <c r="G68" i="121"/>
  <c r="F68" i="121"/>
  <c r="H68" i="121"/>
  <c r="C68" i="121"/>
  <c r="D68" i="121"/>
  <c r="D51" i="155" l="1"/>
  <c r="B52" i="155"/>
  <c r="A51" i="155"/>
  <c r="I51" i="155"/>
  <c r="G51" i="155"/>
  <c r="H51" i="155"/>
  <c r="F51" i="155"/>
  <c r="E51" i="155"/>
  <c r="C51" i="155"/>
  <c r="A69" i="154"/>
  <c r="E69" i="154"/>
  <c r="F69" i="154"/>
  <c r="G69" i="154"/>
  <c r="C69" i="154"/>
  <c r="B70" i="154"/>
  <c r="D69" i="154"/>
  <c r="F64" i="120"/>
  <c r="B65" i="120"/>
  <c r="G64" i="120"/>
  <c r="C64" i="120"/>
  <c r="D64" i="120"/>
  <c r="E64" i="120"/>
  <c r="A64" i="120"/>
  <c r="H64" i="120"/>
  <c r="A69" i="121"/>
  <c r="G69" i="121"/>
  <c r="H69" i="121"/>
  <c r="B70" i="121"/>
  <c r="D69" i="121"/>
  <c r="C69" i="121"/>
  <c r="F69" i="121"/>
  <c r="E69" i="121"/>
  <c r="D52" i="155" l="1"/>
  <c r="B53" i="155"/>
  <c r="H52" i="155"/>
  <c r="G52" i="155"/>
  <c r="C52" i="155"/>
  <c r="A52" i="155"/>
  <c r="I52" i="155"/>
  <c r="E52" i="155"/>
  <c r="F52" i="155"/>
  <c r="B71" i="154"/>
  <c r="G70" i="154"/>
  <c r="D70" i="154"/>
  <c r="E70" i="154"/>
  <c r="C70" i="154"/>
  <c r="A70" i="154"/>
  <c r="F70" i="154"/>
  <c r="F65" i="120"/>
  <c r="A65" i="120"/>
  <c r="D65" i="120"/>
  <c r="C65" i="120"/>
  <c r="G65" i="120"/>
  <c r="B66" i="120"/>
  <c r="H65" i="120"/>
  <c r="E65" i="120"/>
  <c r="A70" i="121"/>
  <c r="B71" i="121"/>
  <c r="G70" i="121"/>
  <c r="E70" i="121"/>
  <c r="H70" i="121"/>
  <c r="F70" i="121"/>
  <c r="C70" i="121"/>
  <c r="D70" i="121"/>
  <c r="D53" i="155" l="1"/>
  <c r="A53" i="155"/>
  <c r="F53" i="155"/>
  <c r="E53" i="155"/>
  <c r="C53" i="155"/>
  <c r="G53" i="155"/>
  <c r="I53" i="155"/>
  <c r="H53" i="155"/>
  <c r="B54" i="155"/>
  <c r="E71" i="154"/>
  <c r="B72" i="154"/>
  <c r="D71" i="154"/>
  <c r="G71" i="154"/>
  <c r="A71" i="154"/>
  <c r="C71" i="154"/>
  <c r="F71" i="154"/>
  <c r="H66" i="120"/>
  <c r="B67" i="120"/>
  <c r="G66" i="120"/>
  <c r="D66" i="120"/>
  <c r="E66" i="120"/>
  <c r="C66" i="120"/>
  <c r="A66" i="120"/>
  <c r="F66" i="120"/>
  <c r="B72" i="121"/>
  <c r="H71" i="121"/>
  <c r="E71" i="121"/>
  <c r="A71" i="121"/>
  <c r="D71" i="121"/>
  <c r="F71" i="121"/>
  <c r="G71" i="121"/>
  <c r="C71" i="121"/>
  <c r="D54" i="155" l="1"/>
  <c r="B55" i="155"/>
  <c r="A54" i="155"/>
  <c r="G54" i="155"/>
  <c r="E54" i="155"/>
  <c r="H54" i="155"/>
  <c r="F54" i="155"/>
  <c r="I54" i="155"/>
  <c r="C54" i="155"/>
  <c r="G72" i="154"/>
  <c r="D72" i="154"/>
  <c r="A72" i="154"/>
  <c r="C72" i="154"/>
  <c r="B73" i="154"/>
  <c r="E72" i="154"/>
  <c r="F72" i="154"/>
  <c r="E67" i="120"/>
  <c r="B68" i="120"/>
  <c r="C67" i="120"/>
  <c r="A67" i="120"/>
  <c r="D67" i="120"/>
  <c r="H67" i="120"/>
  <c r="G67" i="120"/>
  <c r="F67" i="120"/>
  <c r="A72" i="121"/>
  <c r="B73" i="121"/>
  <c r="E72" i="121"/>
  <c r="C72" i="121"/>
  <c r="H72" i="121"/>
  <c r="F72" i="121"/>
  <c r="D72" i="121"/>
  <c r="G72" i="121"/>
  <c r="D55" i="155" l="1"/>
  <c r="I55" i="155"/>
  <c r="F55" i="155"/>
  <c r="C55" i="155"/>
  <c r="E55" i="155"/>
  <c r="A55" i="155"/>
  <c r="H55" i="155"/>
  <c r="G55" i="155"/>
  <c r="A73" i="154"/>
  <c r="F73" i="154"/>
  <c r="B74" i="154"/>
  <c r="G73" i="154"/>
  <c r="C73" i="154"/>
  <c r="E73" i="154"/>
  <c r="D73" i="154"/>
  <c r="A68" i="120"/>
  <c r="F68" i="120"/>
  <c r="D68" i="120"/>
  <c r="E68" i="120"/>
  <c r="C68" i="120"/>
  <c r="H68" i="120"/>
  <c r="B69" i="120"/>
  <c r="G68" i="120"/>
  <c r="B74" i="121"/>
  <c r="C73" i="121"/>
  <c r="D73" i="121"/>
  <c r="A73" i="121"/>
  <c r="H73" i="121"/>
  <c r="E73" i="121"/>
  <c r="F73" i="121"/>
  <c r="G73" i="121"/>
  <c r="C74" i="154" l="1"/>
  <c r="E74" i="154"/>
  <c r="A74" i="154"/>
  <c r="D74" i="154"/>
  <c r="F74" i="154"/>
  <c r="B75" i="154"/>
  <c r="G74" i="154"/>
  <c r="H69" i="120"/>
  <c r="E69" i="120"/>
  <c r="B70" i="120"/>
  <c r="F69" i="120"/>
  <c r="D69" i="120"/>
  <c r="G69" i="120"/>
  <c r="A69" i="120"/>
  <c r="C69" i="120"/>
  <c r="B75" i="121"/>
  <c r="A74" i="121"/>
  <c r="H74" i="121"/>
  <c r="C74" i="121"/>
  <c r="E74" i="121"/>
  <c r="D74" i="121"/>
  <c r="G74" i="121"/>
  <c r="F74" i="121"/>
  <c r="F75" i="154" l="1"/>
  <c r="C75" i="154"/>
  <c r="A75" i="154"/>
  <c r="G75" i="154"/>
  <c r="E75" i="154"/>
  <c r="D75" i="154"/>
  <c r="B76" i="154"/>
  <c r="E70" i="120"/>
  <c r="B71" i="120"/>
  <c r="A70" i="120"/>
  <c r="H70" i="120"/>
  <c r="G70" i="120"/>
  <c r="F70" i="120"/>
  <c r="C70" i="120"/>
  <c r="D70" i="120"/>
  <c r="A75" i="121"/>
  <c r="F75" i="121"/>
  <c r="E75" i="121"/>
  <c r="B76" i="121"/>
  <c r="G75" i="121"/>
  <c r="D75" i="121"/>
  <c r="C75" i="121"/>
  <c r="H75" i="121"/>
  <c r="B77" i="154" l="1"/>
  <c r="C76" i="154"/>
  <c r="D76" i="154"/>
  <c r="A76" i="154"/>
  <c r="F76" i="154"/>
  <c r="E76" i="154"/>
  <c r="G76" i="154"/>
  <c r="G71" i="120"/>
  <c r="D71" i="120"/>
  <c r="F71" i="120"/>
  <c r="C71" i="120"/>
  <c r="A71" i="120"/>
  <c r="E71" i="120"/>
  <c r="B72" i="120"/>
  <c r="H71" i="120"/>
  <c r="A76" i="121"/>
  <c r="B77" i="121"/>
  <c r="H76" i="121"/>
  <c r="C76" i="121"/>
  <c r="F76" i="121"/>
  <c r="G76" i="121"/>
  <c r="D76" i="121"/>
  <c r="E76" i="121"/>
  <c r="A77" i="154" l="1"/>
  <c r="F77" i="154"/>
  <c r="C77" i="154"/>
  <c r="E77" i="154"/>
  <c r="D77" i="154"/>
  <c r="B78" i="154"/>
  <c r="G77" i="154"/>
  <c r="B73" i="120"/>
  <c r="A72" i="120"/>
  <c r="E72" i="120"/>
  <c r="G72" i="120"/>
  <c r="F72" i="120"/>
  <c r="H72" i="120"/>
  <c r="C72" i="120"/>
  <c r="D72" i="120"/>
  <c r="A77" i="121"/>
  <c r="D77" i="121"/>
  <c r="H77" i="121"/>
  <c r="B78" i="121"/>
  <c r="G77" i="121"/>
  <c r="F77" i="121"/>
  <c r="C77" i="121"/>
  <c r="E77" i="121"/>
  <c r="C78" i="154" l="1"/>
  <c r="A78" i="154"/>
  <c r="D78" i="154"/>
  <c r="G78" i="154"/>
  <c r="E78" i="154"/>
  <c r="B79" i="154"/>
  <c r="F78" i="154"/>
  <c r="A73" i="120"/>
  <c r="B74" i="120"/>
  <c r="C73" i="120"/>
  <c r="D73" i="120"/>
  <c r="G73" i="120"/>
  <c r="H73" i="120"/>
  <c r="E73" i="120"/>
  <c r="F73" i="120"/>
  <c r="A78" i="121"/>
  <c r="B79" i="121"/>
  <c r="H78" i="121"/>
  <c r="G78" i="121"/>
  <c r="D78" i="121"/>
  <c r="E78" i="121"/>
  <c r="C78" i="121"/>
  <c r="F78" i="121"/>
  <c r="C79" i="154" l="1"/>
  <c r="E79" i="154"/>
  <c r="F79" i="154"/>
  <c r="B80" i="154"/>
  <c r="A79" i="154"/>
  <c r="D79" i="154"/>
  <c r="G79" i="154"/>
  <c r="C74" i="120"/>
  <c r="B75" i="120"/>
  <c r="H74" i="120"/>
  <c r="D74" i="120"/>
  <c r="A74" i="120"/>
  <c r="F74" i="120"/>
  <c r="E74" i="120"/>
  <c r="G74" i="120"/>
  <c r="A79" i="121"/>
  <c r="H79" i="121"/>
  <c r="G79" i="121"/>
  <c r="B80" i="121"/>
  <c r="C79" i="121"/>
  <c r="E79" i="121"/>
  <c r="D79" i="121"/>
  <c r="F79" i="121"/>
  <c r="A80" i="154" l="1"/>
  <c r="C80" i="154"/>
  <c r="B81" i="154"/>
  <c r="E80" i="154"/>
  <c r="G80" i="154"/>
  <c r="F80" i="154"/>
  <c r="D80" i="154"/>
  <c r="A75" i="120"/>
  <c r="D75" i="120"/>
  <c r="H75" i="120"/>
  <c r="F75" i="120"/>
  <c r="C75" i="120"/>
  <c r="G75" i="120"/>
  <c r="B76" i="120"/>
  <c r="E75" i="120"/>
  <c r="A80" i="121"/>
  <c r="B81" i="121"/>
  <c r="C80" i="121"/>
  <c r="G80" i="121"/>
  <c r="E80" i="121"/>
  <c r="F80" i="121"/>
  <c r="H80" i="121"/>
  <c r="D80" i="121"/>
  <c r="F81" i="154" l="1"/>
  <c r="A81" i="154"/>
  <c r="C81" i="154"/>
  <c r="D81" i="154"/>
  <c r="E81" i="154"/>
  <c r="G81" i="154"/>
  <c r="A76" i="120"/>
  <c r="H76" i="120"/>
  <c r="D76" i="120"/>
  <c r="E76" i="120"/>
  <c r="C76" i="120"/>
  <c r="B77" i="120"/>
  <c r="G76" i="120"/>
  <c r="F76" i="120"/>
  <c r="C81" i="121"/>
  <c r="A81" i="121"/>
  <c r="E81" i="121"/>
  <c r="G81" i="121"/>
  <c r="H81" i="121"/>
  <c r="F81" i="121"/>
  <c r="D81" i="121"/>
  <c r="D77" i="120" l="1"/>
  <c r="A77" i="120"/>
  <c r="G77" i="120"/>
  <c r="H77" i="120"/>
  <c r="C77" i="120"/>
  <c r="B78" i="120"/>
  <c r="F77" i="120"/>
  <c r="E77" i="120"/>
  <c r="D78" i="120" l="1"/>
  <c r="E78" i="120"/>
  <c r="B79" i="120"/>
  <c r="C78" i="120"/>
  <c r="F78" i="120"/>
  <c r="G78" i="120"/>
  <c r="H78" i="120"/>
  <c r="A78" i="120"/>
  <c r="C79" i="120" l="1"/>
  <c r="A79" i="120"/>
  <c r="E79" i="120"/>
  <c r="H79" i="120"/>
  <c r="D79" i="120"/>
  <c r="G79" i="120"/>
  <c r="B80" i="120"/>
  <c r="F79" i="120"/>
  <c r="B81" i="120" l="1"/>
  <c r="C80" i="120"/>
  <c r="D80" i="120"/>
  <c r="H80" i="120"/>
  <c r="A80" i="120"/>
  <c r="E80" i="120"/>
  <c r="G80" i="120"/>
  <c r="F80" i="120"/>
  <c r="H81" i="120" l="1"/>
  <c r="G81" i="120"/>
  <c r="A81" i="120"/>
  <c r="E81" i="120"/>
  <c r="D81" i="120"/>
  <c r="F81" i="120"/>
  <c r="C81" i="120"/>
</calcChain>
</file>

<file path=xl/comments1.xml><?xml version="1.0" encoding="utf-8"?>
<comments xmlns="http://schemas.openxmlformats.org/spreadsheetml/2006/main">
  <authors>
    <author xml:space="preserve"> </author>
    <author>Bob Dalpiaz</author>
    <author>Alex Tomanovich</author>
    <author>4892</author>
    <author>ATOMANOV</author>
  </authors>
  <commentList>
    <comment ref="AA1" authorId="0" shapeId="0">
      <text>
        <r>
          <rPr>
            <sz val="8"/>
            <color indexed="81"/>
            <rFont val="Tahoma"/>
            <family val="2"/>
          </rPr>
          <t xml:space="preserve">            "</t>
        </r>
        <r>
          <rPr>
            <b/>
            <sz val="8"/>
            <color indexed="81"/>
            <rFont val="Tahoma"/>
            <family val="2"/>
          </rPr>
          <t>ASCE710W.xls</t>
        </r>
        <r>
          <rPr>
            <sz val="8"/>
            <color indexed="81"/>
            <rFont val="Tahoma"/>
            <family val="2"/>
          </rPr>
          <t>"
written by: David Taylor, P.E.
based on a spreadsheet by:  Alex Tomanovich, P.E.</t>
        </r>
      </text>
    </comment>
    <comment ref="H3" authorId="1" shapeId="0">
      <text>
        <r>
          <rPr>
            <sz val="8"/>
            <color indexed="81"/>
            <rFont val="Tahoma"/>
            <family val="2"/>
          </rPr>
          <t xml:space="preserve">For an enclosed or partially enclosed building to be classified as a </t>
        </r>
        <r>
          <rPr>
            <b/>
            <sz val="8"/>
            <color indexed="81"/>
            <rFont val="Tahoma"/>
            <family val="2"/>
          </rPr>
          <t>Low-Rise</t>
        </r>
        <r>
          <rPr>
            <sz val="8"/>
            <color indexed="81"/>
            <rFont val="Tahoma"/>
            <family val="2"/>
          </rPr>
          <t xml:space="preserve"> building, the following 2 conditions must both be met:
1.  The building mean roof height, h, must be &lt;= 60 ft.
2.  The building mean roof height, h, does not exceed the least
      horizontal dimension, L or B.</t>
        </r>
      </text>
    </comment>
    <comment ref="B9" authorId="1" shapeId="0">
      <text>
        <r>
          <rPr>
            <sz val="8"/>
            <color indexed="81"/>
            <rFont val="Tahoma"/>
            <family val="2"/>
          </rPr>
          <t xml:space="preserve">The </t>
        </r>
        <r>
          <rPr>
            <b/>
            <sz val="8"/>
            <color indexed="81"/>
            <rFont val="Tahoma"/>
            <family val="2"/>
          </rPr>
          <t>Basic Design Wind Speed, V (mph)</t>
        </r>
        <r>
          <rPr>
            <sz val="8"/>
            <color indexed="81"/>
            <rFont val="Tahoma"/>
            <family val="2"/>
          </rPr>
          <t xml:space="preserve">, corresponds to a 3-second gust speed at 33' above ground in Exposure Category "C" and is associated with an annual probability for Risk Category of being equalled or exceeded (x-year mean recurrence interval per Risk Category).
</t>
        </r>
        <r>
          <rPr>
            <b/>
            <sz val="8"/>
            <color indexed="81"/>
            <rFont val="Tahoma"/>
            <family val="2"/>
          </rPr>
          <t>For Basic Wind Speed Map (Fig. 26.5-1A-C) see 'Wind Map' worksheet of this workbook.</t>
        </r>
        <r>
          <rPr>
            <sz val="8"/>
            <color indexed="81"/>
            <rFont val="Tahoma"/>
            <family val="2"/>
          </rPr>
          <t xml:space="preserve">
</t>
        </r>
      </text>
    </comment>
    <comment ref="B10" authorId="2" shapeId="0">
      <text>
        <r>
          <rPr>
            <b/>
            <sz val="8"/>
            <color indexed="81"/>
            <rFont val="Tahoma"/>
            <family val="2"/>
          </rPr>
          <t xml:space="preserve">                                                                          TABLE 1.5-1</t>
        </r>
        <r>
          <rPr>
            <b/>
            <u/>
            <sz val="8"/>
            <color indexed="81"/>
            <rFont val="Tahoma"/>
            <family val="2"/>
          </rPr>
          <t xml:space="preserve">
Use or Occupancy of Buildings and Structures                                                                                   Risk Category </t>
        </r>
        <r>
          <rPr>
            <sz val="8"/>
            <color indexed="81"/>
            <rFont val="Tahoma"/>
            <family val="2"/>
          </rPr>
          <t xml:space="preserve">
Buildings and other structures that represent a low risk to human life in the event of failure                                      I
All buildings and other structures except those listed in Risk Categories I, III, and IV                                                 II
Buildings and other structures, the failure of which could pose a substantial risk to human life.                                  III
Buildings and other structures, not included in Risk Category IV, with potential to cause a substantial
economic impact and/or mass disruption of day-to-day civilian life in the event of failure.
Buildings and other structures not included in Risk Category IV (including, but not limited to, facilities that
manufacture, process, handle, store, use, or dispose of such substances as hazardous fuels, hazardous
chemicals, hazardous waste, or explosives) containing toxic or explosive substances where their quantity
exceeds a threshold quantity established by the authority having jurisdiction and is sufficient to pose a threat
to the public if released.
Buildings and other structures designated as essential facilities.                                                                                  IV
Buildings and other structures, the failure of which could pose a substantial hazard to the community.
Buildings and other structures (including, but not limited to, facilities that manufacture, process, handle, store,
use, or dispose of such substances as hazardous fuels, hazardous chemicals, or hazardous waste) containing
sufficient quantities of highly toxic substances where the quantity exceeds a threshold quantity established by
the authority having jurisdiction to be dangerous to the public if released and is sufficient to pose a threat to
the public if released.</t>
        </r>
        <r>
          <rPr>
            <vertAlign val="superscript"/>
            <sz val="8"/>
            <color indexed="81"/>
            <rFont val="Tahoma"/>
            <family val="2"/>
          </rPr>
          <t>a</t>
        </r>
        <r>
          <rPr>
            <vertAlign val="subscript"/>
            <sz val="8"/>
            <color indexed="81"/>
            <rFont val="Tahoma"/>
            <family val="2"/>
          </rPr>
          <t xml:space="preserve">
</t>
        </r>
        <r>
          <rPr>
            <sz val="8"/>
            <color indexed="81"/>
            <rFont val="Tahoma"/>
            <family val="2"/>
          </rPr>
          <t xml:space="preserve">
Buildings and other structures required to maintain the functionality of other Risk Category IV structures.
</t>
        </r>
        <r>
          <rPr>
            <vertAlign val="superscript"/>
            <sz val="8"/>
            <color indexed="81"/>
            <rFont val="Tahoma"/>
            <family val="2"/>
          </rPr>
          <t>a</t>
        </r>
        <r>
          <rPr>
            <i/>
            <sz val="8"/>
            <color indexed="81"/>
            <rFont val="Tahoma"/>
            <family val="2"/>
          </rPr>
          <t>Buildings and other structures containing toxic, highly toxic, or explosive substances shall be eligible for classification to a lower Risk Category if it can be demonstrated to the satisfaction of the authority having jurisdiction by a hazard assessment as described in Section 1.5.2 that a release of the substances is commensurate with the risk associated with that Risk Category.</t>
        </r>
      </text>
    </comment>
    <comment ref="B11" authorId="1" shapeId="0">
      <text>
        <r>
          <rPr>
            <b/>
            <sz val="8"/>
            <color indexed="81"/>
            <rFont val="Tahoma"/>
            <family val="2"/>
          </rPr>
          <t>Surface Roughness Categories</t>
        </r>
        <r>
          <rPr>
            <sz val="8"/>
            <color indexed="81"/>
            <rFont val="Tahoma"/>
            <family val="2"/>
          </rPr>
          <t xml:space="preserve"> for the purpose of assigning </t>
        </r>
        <r>
          <rPr>
            <b/>
            <sz val="8"/>
            <color indexed="81"/>
            <rFont val="Tahoma"/>
            <family val="2"/>
          </rPr>
          <t>Exposure</t>
        </r>
        <r>
          <rPr>
            <sz val="8"/>
            <color indexed="81"/>
            <rFont val="Tahoma"/>
            <family val="2"/>
          </rPr>
          <t xml:space="preserve"> </t>
        </r>
        <r>
          <rPr>
            <b/>
            <sz val="8"/>
            <color indexed="81"/>
            <rFont val="Tahoma"/>
            <family val="2"/>
          </rPr>
          <t>Category</t>
        </r>
        <r>
          <rPr>
            <sz val="8"/>
            <color indexed="81"/>
            <rFont val="Tahoma"/>
            <family val="2"/>
          </rPr>
          <t xml:space="preserve"> are defined as follows:
</t>
        </r>
        <r>
          <rPr>
            <b/>
            <sz val="8"/>
            <color indexed="81"/>
            <rFont val="Tahoma"/>
            <family val="2"/>
          </rPr>
          <t xml:space="preserve">Surface Roughness "B":
</t>
        </r>
        <r>
          <rPr>
            <sz val="8"/>
            <color indexed="81"/>
            <rFont val="Tahoma"/>
            <family val="2"/>
          </rPr>
          <t xml:space="preserve">Urban and suburban areas, wooded areas or other terrain with numerous closely spaced obstructions having the size of single family dwellings or larger.
</t>
        </r>
        <r>
          <rPr>
            <b/>
            <sz val="8"/>
            <color indexed="81"/>
            <rFont val="Tahoma"/>
            <family val="2"/>
          </rPr>
          <t xml:space="preserve">Surface Roughness "C":
</t>
        </r>
        <r>
          <rPr>
            <sz val="8"/>
            <color indexed="81"/>
            <rFont val="Tahoma"/>
            <family val="2"/>
          </rPr>
          <t>Open terrain with scattered obstructions having heights generally &lt; 30 ft.  This category includes flat open country and grass lands.</t>
        </r>
        <r>
          <rPr>
            <sz val="8"/>
            <color indexed="81"/>
            <rFont val="Tahoma"/>
            <family val="2"/>
          </rPr>
          <t xml:space="preserve">
</t>
        </r>
        <r>
          <rPr>
            <b/>
            <sz val="8"/>
            <color indexed="81"/>
            <rFont val="Tahoma"/>
            <family val="2"/>
          </rPr>
          <t>Surface Roughness "D":</t>
        </r>
        <r>
          <rPr>
            <sz val="8"/>
            <color indexed="81"/>
            <rFont val="Tahoma"/>
            <family val="2"/>
          </rPr>
          <t xml:space="preserve">
Flat, unobstructed areas and water surfaces.  This category includes smooth mud flats, salt flats, and unbroken ice.
</t>
        </r>
        <r>
          <rPr>
            <b/>
            <sz val="8"/>
            <color indexed="81"/>
            <rFont val="Tahoma"/>
            <family val="2"/>
          </rPr>
          <t>Exposure Categories</t>
        </r>
        <r>
          <rPr>
            <sz val="8"/>
            <color indexed="81"/>
            <rFont val="Tahoma"/>
            <family val="2"/>
          </rPr>
          <t xml:space="preserve"> are defined as follows:
</t>
        </r>
        <r>
          <rPr>
            <b/>
            <sz val="8"/>
            <color indexed="81"/>
            <rFont val="Tahoma"/>
            <family val="2"/>
          </rPr>
          <t xml:space="preserve">Exposure "B":
</t>
        </r>
        <r>
          <rPr>
            <sz val="8"/>
            <color indexed="81"/>
            <rFont val="Tahoma"/>
            <family val="2"/>
          </rPr>
          <t xml:space="preserve">Exposure B shall apply where the ground surface roughness condition, as defined by Surface Roughness B, prevails in the upwind direction for a distance of at least 2600 ft. or 20 times the building height, whichever is greater.
   Exception: For buildings whose mean roof height &lt;= 30 ft., the upwind 
   distance may be reduced to 1500 ft.
</t>
        </r>
        <r>
          <rPr>
            <b/>
            <sz val="8"/>
            <color indexed="81"/>
            <rFont val="Tahoma"/>
            <family val="2"/>
          </rPr>
          <t xml:space="preserve">Exposure "C":
</t>
        </r>
        <r>
          <rPr>
            <sz val="8"/>
            <color indexed="81"/>
            <rFont val="Tahoma"/>
            <family val="2"/>
          </rPr>
          <t xml:space="preserve">Exposure C shall apply for all cases where exposures B and D do not apply.
</t>
        </r>
        <r>
          <rPr>
            <b/>
            <sz val="8"/>
            <color indexed="81"/>
            <rFont val="Tahoma"/>
            <family val="2"/>
          </rPr>
          <t>Exposure "D":</t>
        </r>
        <r>
          <rPr>
            <sz val="8"/>
            <color indexed="81"/>
            <rFont val="Tahoma"/>
            <family val="2"/>
          </rPr>
          <t xml:space="preserve">
Exposure D shall apply where the ground surface roughness, as defined by Surface Roughness D, prevails in the upwind diection for a distance &gt;= 5,000 ft. or 20 times the building height, whichever is greater.  Exposure D shall extend into downwind areas of Surface Roughness B or C for a distance of 600 ft. or 20 times the height of the building, whichever is greater.</t>
        </r>
      </text>
    </comment>
    <comment ref="B13" authorId="0" shapeId="0">
      <text>
        <r>
          <rPr>
            <sz val="8"/>
            <color indexed="81"/>
            <rFont val="Tahoma"/>
            <family val="2"/>
          </rPr>
          <t>The eave height, 'he', is the distance from the ground surface adjacent to the building to the roof eave line at a particular wall.  
If the height of the eave varies along the wall, the average height shall be used.</t>
        </r>
      </text>
    </comment>
    <comment ref="B16" authorId="1" shapeId="0">
      <text>
        <r>
          <rPr>
            <sz val="8"/>
            <color indexed="81"/>
            <rFont val="Tahoma"/>
            <family val="2"/>
          </rPr>
          <t>This program assumes that a Gable roof is symmetrical, as the ridge line is assumed in the center of the building width.
For flat roofs (roof angle = 0 degrees), either Gable or Monoslope may be used.</t>
        </r>
      </text>
    </comment>
    <comment ref="B17" authorId="1" shapeId="0">
      <text>
        <r>
          <rPr>
            <sz val="8"/>
            <color indexed="81"/>
            <rFont val="Tahoma"/>
            <family val="2"/>
          </rPr>
          <t>The</t>
        </r>
        <r>
          <rPr>
            <b/>
            <sz val="8"/>
            <color indexed="81"/>
            <rFont val="Tahoma"/>
            <family val="2"/>
          </rPr>
          <t xml:space="preserve"> Topographic Factor, Kzt</t>
        </r>
        <r>
          <rPr>
            <sz val="8"/>
            <color indexed="81"/>
            <rFont val="Tahoma"/>
            <family val="2"/>
          </rPr>
          <t>, accounts for effect of wind speed-up over isolated hills and escarpments (</t>
        </r>
        <r>
          <rPr>
            <b/>
            <sz val="8"/>
            <color indexed="81"/>
            <rFont val="Tahoma"/>
            <family val="2"/>
          </rPr>
          <t>Sect. 26.8</t>
        </r>
        <r>
          <rPr>
            <sz val="8"/>
            <color indexed="81"/>
            <rFont val="Tahoma"/>
            <family val="2"/>
          </rPr>
          <t xml:space="preserve"> and </t>
        </r>
        <r>
          <rPr>
            <b/>
            <sz val="8"/>
            <color indexed="81"/>
            <rFont val="Tahoma"/>
            <family val="2"/>
          </rPr>
          <t>Fig. 26.8-1</t>
        </r>
        <r>
          <rPr>
            <sz val="8"/>
            <color indexed="81"/>
            <rFont val="Tahoma"/>
            <family val="2"/>
          </rPr>
          <t xml:space="preserve">).
</t>
        </r>
        <r>
          <rPr>
            <b/>
            <sz val="8"/>
            <color indexed="81"/>
            <rFont val="Tahoma"/>
            <family val="2"/>
          </rPr>
          <t>Kzt = (1+K1*K2*K3)^2</t>
        </r>
        <r>
          <rPr>
            <sz val="8"/>
            <color indexed="81"/>
            <rFont val="Tahoma"/>
            <family val="2"/>
          </rPr>
          <t xml:space="preserve">   (Eq. 26.8-1), where:
H   = height of hill or escarpment relative to the upwind terrain, in feet.
Lh  = Distance upwind of crest to where the difference in ground elevation is    
         half the height of hill or escarpment, in feet.
K1 = factor to account for shape of topographic feature and maximum   
        speed-up effect.
K2 = factor to account for reduction in speed-up with distance upwind or     
        downwind of crest.
K3 = factor to account for reduction in speed-up with height above local terrain.
x = distance (upwind or downwind) from the crest to the building site, in feet.
z = height above local ground level, in feet.
</t>
        </r>
        <r>
          <rPr>
            <b/>
            <sz val="8"/>
            <color indexed="81"/>
            <rFont val="Tahoma"/>
            <family val="2"/>
          </rPr>
          <t>The effect of wind speed-up shall not be required to be considered (Kzt = 1.0) when H/Lh &lt; 0.2, or H &lt; 15' for Exposures 'C' and 'D', or H &lt; 60' for Exposure 'B'.</t>
        </r>
      </text>
    </comment>
    <comment ref="B18" authorId="3" shapeId="0">
      <text>
        <r>
          <rPr>
            <b/>
            <u/>
            <sz val="8"/>
            <color indexed="81"/>
            <rFont val="Tahoma"/>
            <family val="2"/>
          </rPr>
          <t xml:space="preserve">Wind Directionality Factor, Kd (Table 26.6)
             </t>
        </r>
        <r>
          <rPr>
            <u/>
            <sz val="8"/>
            <color indexed="81"/>
            <rFont val="Tahoma"/>
            <family val="2"/>
          </rPr>
          <t xml:space="preserve">Structure Type                                  Kd  
</t>
        </r>
        <r>
          <rPr>
            <sz val="8"/>
            <color indexed="81"/>
            <rFont val="Tahoma"/>
            <family val="2"/>
          </rPr>
          <t xml:space="preserve">
Buildings
    Main Wind-Force Resisting System           0.85
    Components and Cladding                        0.85
Note:  this factor shall only be applied when
           used in conjunction with load combinations
           specified in Sect. 2.3 and 2.4.
           Otherwise, use Kd = 1.0. </t>
        </r>
      </text>
    </comment>
    <comment ref="B19" authorId="1" shapeId="0">
      <text>
        <r>
          <rPr>
            <sz val="8"/>
            <color indexed="81"/>
            <rFont val="Tahoma"/>
            <family val="2"/>
          </rPr>
          <t>This worksheet assumes either</t>
        </r>
        <r>
          <rPr>
            <b/>
            <sz val="8"/>
            <color indexed="81"/>
            <rFont val="Tahoma"/>
            <family val="2"/>
          </rPr>
          <t xml:space="preserve"> Enclosed</t>
        </r>
        <r>
          <rPr>
            <sz val="8"/>
            <color indexed="81"/>
            <rFont val="Tahoma"/>
            <family val="2"/>
          </rPr>
          <t xml:space="preserve"> or </t>
        </r>
        <r>
          <rPr>
            <b/>
            <sz val="8"/>
            <color indexed="81"/>
            <rFont val="Tahoma"/>
            <family val="2"/>
          </rPr>
          <t>Partially Enclosed</t>
        </r>
        <r>
          <rPr>
            <sz val="8"/>
            <color indexed="81"/>
            <rFont val="Tahoma"/>
            <family val="2"/>
          </rPr>
          <t xml:space="preserve"> buildings</t>
        </r>
        <r>
          <rPr>
            <sz val="8"/>
            <color indexed="81"/>
            <rFont val="Tahoma"/>
            <family val="2"/>
          </rPr>
          <t xml:space="preserve">, and does not consider open buildings.
</t>
        </r>
        <r>
          <rPr>
            <b/>
            <sz val="8"/>
            <color indexed="81"/>
            <rFont val="Tahoma"/>
            <family val="2"/>
          </rPr>
          <t>1.</t>
        </r>
        <r>
          <rPr>
            <sz val="8"/>
            <color indexed="81"/>
            <rFont val="Tahoma"/>
            <family val="2"/>
          </rPr>
          <t xml:space="preserve">  An enclosed building is a building that does not comply with the requirements       
      for open or partially enclosed buildings. 
</t>
        </r>
        <r>
          <rPr>
            <b/>
            <sz val="8"/>
            <color indexed="81"/>
            <rFont val="Tahoma"/>
            <family val="2"/>
          </rPr>
          <t>2.</t>
        </r>
        <r>
          <rPr>
            <sz val="8"/>
            <color indexed="81"/>
            <rFont val="Tahoma"/>
            <family val="2"/>
          </rPr>
          <t xml:space="preserve">  An open building is a structure having all walls at least 80% open.
</t>
        </r>
        <r>
          <rPr>
            <b/>
            <sz val="8"/>
            <color indexed="81"/>
            <rFont val="Tahoma"/>
            <family val="2"/>
          </rPr>
          <t xml:space="preserve">3. </t>
        </r>
        <r>
          <rPr>
            <sz val="8"/>
            <color indexed="81"/>
            <rFont val="Tahoma"/>
            <family val="2"/>
          </rPr>
          <t xml:space="preserve"> A partially enclosed building complies with both of the following conditions:
     </t>
        </r>
        <r>
          <rPr>
            <b/>
            <sz val="8"/>
            <color indexed="81"/>
            <rFont val="Tahoma"/>
            <family val="2"/>
          </rPr>
          <t xml:space="preserve">a.  </t>
        </r>
        <r>
          <rPr>
            <sz val="8"/>
            <color indexed="81"/>
            <rFont val="Tahoma"/>
            <family val="2"/>
          </rPr>
          <t xml:space="preserve">the total area of openings in a wall that receives positive external pressure   
         exceeds the sum of the areas of the openings in the balance of the building         
         envelope (walls and roof) by more than 10%; and
     </t>
        </r>
        <r>
          <rPr>
            <b/>
            <sz val="8"/>
            <color indexed="81"/>
            <rFont val="Tahoma"/>
            <family val="2"/>
          </rPr>
          <t xml:space="preserve">b.  </t>
        </r>
        <r>
          <rPr>
            <sz val="8"/>
            <color indexed="81"/>
            <rFont val="Tahoma"/>
            <family val="2"/>
          </rPr>
          <t>the total area of openings in a wall that receives positive external pressure          
         exceeds 4 sq ft or 1% of the area of that wall, whichever is smaller, and the      
         % of openings in balance of the building envelope does not exceed 20%.</t>
        </r>
      </text>
    </comment>
    <comment ref="B25" authorId="1" shapeId="0">
      <text>
        <r>
          <rPr>
            <sz val="8"/>
            <color indexed="81"/>
            <rFont val="Tahoma"/>
            <family val="2"/>
          </rPr>
          <t xml:space="preserve">The building </t>
        </r>
        <r>
          <rPr>
            <b/>
            <sz val="8"/>
            <color indexed="81"/>
            <rFont val="Tahoma"/>
            <family val="2"/>
          </rPr>
          <t>Mean Roof Height, h</t>
        </r>
        <r>
          <rPr>
            <sz val="8"/>
            <color indexed="81"/>
            <rFont val="Tahoma"/>
            <family val="2"/>
          </rPr>
          <t>, is determined as follows:
  For buildings with roof angle &gt; 10 degrees:  h = (hr+he)/2
  For buildings with roof angle &lt;= 10 degrees:  h = he</t>
        </r>
      </text>
    </comment>
    <comment ref="C27" authorId="1" shapeId="0">
      <text>
        <r>
          <rPr>
            <sz val="8"/>
            <color indexed="81"/>
            <rFont val="Tahoma"/>
            <family val="2"/>
          </rPr>
          <t xml:space="preserve">For an enclosed or partially enclosed building to be classified as a </t>
        </r>
        <r>
          <rPr>
            <b/>
            <sz val="8"/>
            <color indexed="81"/>
            <rFont val="Tahoma"/>
            <family val="2"/>
          </rPr>
          <t>Low-Rise</t>
        </r>
        <r>
          <rPr>
            <sz val="8"/>
            <color indexed="81"/>
            <rFont val="Tahoma"/>
            <family val="2"/>
          </rPr>
          <t xml:space="preserve"> building, the following 2 conditions must both be met:
1.  The building mean roof height, h, must be &lt;= 60 ft.
2.  The building mean roof height, h, does not exceed the least
      horizontal dimension, L or B.</t>
        </r>
      </text>
    </comment>
    <comment ref="C30" authorId="4" shapeId="0">
      <text>
        <r>
          <rPr>
            <b/>
            <sz val="8"/>
            <color indexed="81"/>
            <rFont val="Tahoma"/>
            <family val="2"/>
          </rPr>
          <t xml:space="preserve">              </t>
        </r>
        <r>
          <rPr>
            <b/>
            <u/>
            <sz val="8"/>
            <color indexed="81"/>
            <rFont val="Tahoma"/>
            <family val="2"/>
          </rPr>
          <t xml:space="preserve">External Pressure Coefficients, GCpf, for MWFRS ( Fig. 28.4-1):
</t>
        </r>
        <r>
          <rPr>
            <sz val="8"/>
            <color indexed="81"/>
            <rFont val="Tahoma"/>
            <family val="2"/>
          </rPr>
          <t xml:space="preserve">                                                           </t>
        </r>
        <r>
          <rPr>
            <b/>
            <sz val="8"/>
            <color indexed="81"/>
            <rFont val="Tahoma"/>
            <family val="2"/>
          </rPr>
          <t xml:space="preserve">
LOAD CASE A
</t>
        </r>
        <r>
          <rPr>
            <sz val="8"/>
            <color indexed="81"/>
            <rFont val="Tahoma"/>
            <family val="2"/>
          </rPr>
          <t>Roof Angle,</t>
        </r>
        <r>
          <rPr>
            <sz val="8"/>
            <color indexed="81"/>
            <rFont val="Symbol"/>
            <family val="1"/>
            <charset val="2"/>
          </rPr>
          <t>q</t>
        </r>
        <r>
          <rPr>
            <sz val="8"/>
            <color indexed="81"/>
            <rFont val="Tahoma"/>
            <family val="2"/>
          </rPr>
          <t xml:space="preserve">                               Building Surface (Zone)
     </t>
        </r>
        <r>
          <rPr>
            <u/>
            <sz val="8"/>
            <color indexed="81"/>
            <rFont val="Tahoma"/>
            <family val="2"/>
          </rPr>
          <t xml:space="preserve">(deg.)           1         2         3         4         1E          2E         3E        4E </t>
        </r>
        <r>
          <rPr>
            <sz val="8"/>
            <color indexed="81"/>
            <rFont val="Tahoma"/>
            <family val="2"/>
          </rPr>
          <t xml:space="preserve">
       0-5           0.40   -0.69   -0.37  -0.29    0.61     -1.07    -0.53   -0.43
        20           0.53   -0.69   -0.48  -0.43    0.80     -1.07    -0.69   -0.64
     30-45         0.56    0.21   -0.43  -0.37    0.69      0.27    -0.53   -0.48
        90           0.56    0.56    -0.37  -0.37    0.69      0.69     -0.48   -0.48         
</t>
        </r>
        <r>
          <rPr>
            <b/>
            <sz val="8"/>
            <color indexed="81"/>
            <rFont val="Tahoma"/>
            <family val="2"/>
          </rPr>
          <t>LOAD CASE B</t>
        </r>
        <r>
          <rPr>
            <sz val="8"/>
            <color indexed="81"/>
            <rFont val="Tahoma"/>
            <family val="2"/>
          </rPr>
          <t xml:space="preserve">
Roof Angle,</t>
        </r>
        <r>
          <rPr>
            <sz val="8"/>
            <color indexed="81"/>
            <rFont val="Symbol"/>
            <family val="1"/>
            <charset val="2"/>
          </rPr>
          <t>q</t>
        </r>
        <r>
          <rPr>
            <sz val="8"/>
            <color indexed="81"/>
            <rFont val="Tahoma"/>
            <family val="2"/>
          </rPr>
          <t xml:space="preserve">                               Building Surface (Zone)
     </t>
        </r>
        <r>
          <rPr>
            <u/>
            <sz val="8"/>
            <color indexed="81"/>
            <rFont val="Tahoma"/>
            <family val="2"/>
          </rPr>
          <t xml:space="preserve">(deg.)           1         2         3         4         5         6         1E          2E         3E        4E         5E         6E
</t>
        </r>
        <r>
          <rPr>
            <sz val="8"/>
            <color indexed="81"/>
            <rFont val="Tahoma"/>
            <family val="2"/>
          </rPr>
          <t xml:space="preserve">      0-90        -0.45    -0.69   -0.37  -0.45  0.40   -.29     -0.48     -1.07      -0.53  -0.48      0.61    -0.43
</t>
        </r>
      </text>
    </comment>
    <comment ref="E32" authorId="1" shapeId="0">
      <text>
        <r>
          <rPr>
            <b/>
            <sz val="8"/>
            <color indexed="81"/>
            <rFont val="Tahoma"/>
            <family val="2"/>
          </rPr>
          <t xml:space="preserve">        </t>
        </r>
        <r>
          <rPr>
            <b/>
            <u/>
            <sz val="8"/>
            <color indexed="81"/>
            <rFont val="Tahoma"/>
            <family val="2"/>
          </rPr>
          <t>Internal Pressure Coefficients, GCpi (Table 26.11-1)</t>
        </r>
        <r>
          <rPr>
            <sz val="8"/>
            <color indexed="81"/>
            <rFont val="Tahoma"/>
            <family val="2"/>
          </rPr>
          <t xml:space="preserve">
</t>
        </r>
        <r>
          <rPr>
            <sz val="8"/>
            <color indexed="81"/>
            <rFont val="Tahoma"/>
            <family val="2"/>
          </rPr>
          <t xml:space="preserve">
    </t>
        </r>
        <r>
          <rPr>
            <u/>
            <sz val="8"/>
            <color indexed="81"/>
            <rFont val="Tahoma"/>
            <family val="2"/>
          </rPr>
          <t xml:space="preserve">          Condition                                                 (+/-) GCpi     
</t>
        </r>
        <r>
          <rPr>
            <sz val="8"/>
            <color indexed="81"/>
            <rFont val="Tahoma"/>
            <family val="2"/>
          </rPr>
          <t xml:space="preserve">    Partially enclosed buildings                                +0.55, -0.55
    Enclosed buildings                                              +0.18, -0.18
Per Sect. 26.11.1.1, for a partially enclosed building containing a single, unpartitioned large volume, the GCpi coefficients shall be multiplied by the following reduction factor, Ri:
    Ri = 1.0  or  Ri = 0.5*(1+(1/(1+Vi/(22800*Aog))^0.5)) &lt;= 1.0
      where:  Aog = total area of openings in the building envelope
                              (walls and roof, ft.^2).
                   Vi = unpartitioned internal volume (ft.^3).
</t>
        </r>
        <r>
          <rPr>
            <b/>
            <sz val="8"/>
            <color indexed="81"/>
            <rFont val="Tahoma"/>
            <family val="2"/>
          </rPr>
          <t>Note:</t>
        </r>
        <r>
          <rPr>
            <sz val="8"/>
            <color indexed="81"/>
            <rFont val="Tahoma"/>
            <family val="2"/>
          </rPr>
          <t xml:space="preserve">  This program assumes NO reduction of the GCpi coefficients
            for large volume buildings. Thus, Ri = 1.0.</t>
        </r>
      </text>
    </comment>
    <comment ref="C38" authorId="1" shapeId="0">
      <text>
        <r>
          <rPr>
            <b/>
            <u/>
            <sz val="8"/>
            <color indexed="81"/>
            <rFont val="Tahoma"/>
            <family val="2"/>
          </rPr>
          <t xml:space="preserve">Terrain Exposure Constants (Table 26.9-1)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text>
    </comment>
    <comment ref="D44" authorId="4" shapeId="0">
      <text>
        <r>
          <rPr>
            <sz val="8"/>
            <color indexed="81"/>
            <rFont val="Tahoma"/>
            <family val="2"/>
          </rPr>
          <t xml:space="preserve">Per Code </t>
        </r>
        <r>
          <rPr>
            <b/>
            <sz val="8"/>
            <color indexed="81"/>
            <rFont val="Tahoma"/>
            <family val="2"/>
          </rPr>
          <t>Section 28.4.4</t>
        </r>
        <r>
          <rPr>
            <sz val="8"/>
            <color indexed="81"/>
            <rFont val="Tahoma"/>
            <family val="2"/>
          </rPr>
          <t xml:space="preserve">, the minimum wind load to be used in the design of the Main Wind-Force Resisting System shall not be less than </t>
        </r>
        <r>
          <rPr>
            <b/>
            <sz val="8"/>
            <color indexed="81"/>
            <rFont val="Tahoma"/>
            <family val="2"/>
          </rPr>
          <t>16 psf</t>
        </r>
        <r>
          <rPr>
            <sz val="8"/>
            <color indexed="81"/>
            <rFont val="Tahoma"/>
            <family val="2"/>
          </rPr>
          <t>.</t>
        </r>
      </text>
    </comment>
    <comment ref="D47" authorId="4" shapeId="0">
      <text>
        <r>
          <rPr>
            <sz val="8"/>
            <color indexed="81"/>
            <rFont val="Tahoma"/>
            <family val="2"/>
          </rPr>
          <t xml:space="preserve">Width </t>
        </r>
        <r>
          <rPr>
            <b/>
            <sz val="8"/>
            <color indexed="81"/>
            <rFont val="Tahoma"/>
            <family val="2"/>
          </rPr>
          <t>'a'</t>
        </r>
        <r>
          <rPr>
            <sz val="8"/>
            <color indexed="81"/>
            <rFont val="Tahoma"/>
            <family val="2"/>
          </rPr>
          <t xml:space="preserve"> is equal to 10% of least horizontal dimension or 0.4*h, whichever is smaller, but not less than either 4% of least horizontal dimension or 3'.</t>
        </r>
      </text>
    </comment>
    <comment ref="D54" authorId="4" shapeId="0">
      <text>
        <r>
          <rPr>
            <sz val="8"/>
            <color indexed="81"/>
            <rFont val="Tahoma"/>
            <family val="2"/>
          </rPr>
          <t xml:space="preserve">Per Code </t>
        </r>
        <r>
          <rPr>
            <b/>
            <sz val="8"/>
            <color indexed="81"/>
            <rFont val="Tahoma"/>
            <family val="2"/>
          </rPr>
          <t>Section 28.4.4</t>
        </r>
        <r>
          <rPr>
            <sz val="8"/>
            <color indexed="81"/>
            <rFont val="Tahoma"/>
            <family val="2"/>
          </rPr>
          <t xml:space="preserve">, the minimum wind load to be used in the design of the MWFRS shall not be less than </t>
        </r>
        <r>
          <rPr>
            <b/>
            <sz val="8"/>
            <color indexed="81"/>
            <rFont val="Tahoma"/>
            <family val="2"/>
          </rPr>
          <t>16 psf</t>
        </r>
        <r>
          <rPr>
            <sz val="8"/>
            <color indexed="81"/>
            <rFont val="Tahoma"/>
            <family val="2"/>
          </rPr>
          <t xml:space="preserve"> multiplied by the area of the building or structure projected onto a vertical plane normal to the assumed wind direction.</t>
        </r>
      </text>
    </comment>
    <comment ref="H54" authorId="4" shapeId="0">
      <text>
        <r>
          <rPr>
            <sz val="8"/>
            <color indexed="81"/>
            <rFont val="Tahoma"/>
            <family val="2"/>
          </rPr>
          <t xml:space="preserve">Per Code </t>
        </r>
        <r>
          <rPr>
            <b/>
            <sz val="8"/>
            <color indexed="81"/>
            <rFont val="Tahoma"/>
            <family val="2"/>
          </rPr>
          <t>Section 28.4.4</t>
        </r>
        <r>
          <rPr>
            <sz val="8"/>
            <color indexed="81"/>
            <rFont val="Tahoma"/>
            <family val="2"/>
          </rPr>
          <t xml:space="preserve">, the minimum wind load to be used in the design of the MWFRS shall not be less than </t>
        </r>
        <r>
          <rPr>
            <b/>
            <sz val="8"/>
            <color indexed="81"/>
            <rFont val="Tahoma"/>
            <family val="2"/>
          </rPr>
          <t>16 psf</t>
        </r>
        <r>
          <rPr>
            <sz val="8"/>
            <color indexed="81"/>
            <rFont val="Tahoma"/>
            <family val="2"/>
          </rPr>
          <t xml:space="preserve"> multiplied by the area of the building or structure projected onto a vertical plane normal to the assumed wind direction.</t>
        </r>
      </text>
    </comment>
    <comment ref="C70" authorId="3" shapeId="0">
      <text>
        <r>
          <rPr>
            <sz val="8"/>
            <color indexed="81"/>
            <rFont val="Tahoma"/>
            <family val="2"/>
          </rPr>
          <t>For Load Case A (Transverse) the roof pressure coefficient, GCpf, when negative in Zone 2 or 2E, shall be applied in Zone 2/2E for a distance from the edge of the roof equal to 0.5 times the horizontal dimension of the building parallel to the direction of the MWFRS being designed or 2.5*he at the windward wall, whichever is less; the remainder of Zone 2/2E extending to the ridge line shall use the pressure coefficient GCpf for Zone 3/3E.</t>
        </r>
      </text>
    </comment>
    <comment ref="H70" authorId="3" shapeId="0">
      <text>
        <r>
          <rPr>
            <sz val="8"/>
            <color indexed="81"/>
            <rFont val="Tahoma"/>
            <family val="2"/>
          </rPr>
          <t>For Load Case B (Longitudinal) the roof pressure coefficient, GCpf, when negative in Zone 2 or 2E, shall be applied in Zone 2/2E for a distance from the edge of the roof equal to 0.5 times the horizontal dimension of the building parallel to the direction of the MWFRS being designed or 2.5*he at the windward wall, whichever is less; the remainder of Zone 2/2E extending to the ridge line shall use the pressure coefficient GCpf for Zone 3/3E.</t>
        </r>
      </text>
    </comment>
    <comment ref="D75" authorId="4" shapeId="0">
      <text>
        <r>
          <rPr>
            <sz val="8"/>
            <color indexed="81"/>
            <rFont val="Tahoma"/>
            <family val="2"/>
          </rPr>
          <t xml:space="preserve">Per Code </t>
        </r>
        <r>
          <rPr>
            <b/>
            <sz val="8"/>
            <color indexed="81"/>
            <rFont val="Tahoma"/>
            <family val="2"/>
          </rPr>
          <t>Section 28.4.4</t>
        </r>
        <r>
          <rPr>
            <sz val="8"/>
            <color indexed="81"/>
            <rFont val="Tahoma"/>
            <family val="2"/>
          </rPr>
          <t xml:space="preserve">, the minimum wind load to be used in the design of the MWFRS shall not be less than </t>
        </r>
        <r>
          <rPr>
            <b/>
            <sz val="8"/>
            <color indexed="81"/>
            <rFont val="Tahoma"/>
            <family val="2"/>
          </rPr>
          <t>16 psf</t>
        </r>
        <r>
          <rPr>
            <sz val="8"/>
            <color indexed="81"/>
            <rFont val="Tahoma"/>
            <family val="2"/>
          </rPr>
          <t xml:space="preserve"> multiplied by the area of the building or structure projected onto a vertical plane normal to the assumed wind direction.</t>
        </r>
      </text>
    </comment>
    <comment ref="H75" authorId="4" shapeId="0">
      <text>
        <r>
          <rPr>
            <sz val="8"/>
            <color indexed="81"/>
            <rFont val="Tahoma"/>
            <family val="2"/>
          </rPr>
          <t xml:space="preserve">Per Code </t>
        </r>
        <r>
          <rPr>
            <b/>
            <sz val="8"/>
            <color indexed="81"/>
            <rFont val="Tahoma"/>
            <family val="2"/>
          </rPr>
          <t>Section 28.4.4</t>
        </r>
        <r>
          <rPr>
            <sz val="8"/>
            <color indexed="81"/>
            <rFont val="Tahoma"/>
            <family val="2"/>
          </rPr>
          <t xml:space="preserve">, the minimum wind load to be used in the design of the MWFRS shall not be less than </t>
        </r>
        <r>
          <rPr>
            <b/>
            <sz val="8"/>
            <color indexed="81"/>
            <rFont val="Tahoma"/>
            <family val="2"/>
          </rPr>
          <t>16 psf</t>
        </r>
        <r>
          <rPr>
            <sz val="8"/>
            <color indexed="81"/>
            <rFont val="Tahoma"/>
            <family val="2"/>
          </rPr>
          <t xml:space="preserve"> multiplied by the area of the building or structure projected onto a vertical plane normal to the assumed wind direction.</t>
        </r>
      </text>
    </comment>
  </commentList>
</comments>
</file>

<file path=xl/comments2.xml><?xml version="1.0" encoding="utf-8"?>
<comments xmlns="http://schemas.openxmlformats.org/spreadsheetml/2006/main">
  <authors>
    <author xml:space="preserve"> </author>
    <author>ATOMANOV</author>
    <author>4892</author>
    <author>Bob Dalpiaz</author>
    <author>Alex Tomanovich</author>
  </authors>
  <commentList>
    <comment ref="AA1" authorId="0" shapeId="0">
      <text>
        <r>
          <rPr>
            <sz val="8"/>
            <color indexed="81"/>
            <rFont val="Tahoma"/>
            <family val="2"/>
          </rPr>
          <t xml:space="preserve">            "</t>
        </r>
        <r>
          <rPr>
            <b/>
            <sz val="8"/>
            <color indexed="81"/>
            <rFont val="Tahoma"/>
            <family val="2"/>
          </rPr>
          <t>ASCE710W.xls</t>
        </r>
        <r>
          <rPr>
            <sz val="8"/>
            <color indexed="81"/>
            <rFont val="Tahoma"/>
            <family val="2"/>
          </rPr>
          <t>"
written by: William Fultz, P.E.
based on a spreadsheet by:  Alex Tomanovich, P.E.</t>
        </r>
      </text>
    </comment>
    <comment ref="G3" authorId="1" shapeId="0">
      <text>
        <r>
          <rPr>
            <b/>
            <sz val="8"/>
            <color indexed="81"/>
            <rFont val="Tahoma"/>
            <family val="2"/>
          </rPr>
          <t xml:space="preserve">Note: </t>
        </r>
        <r>
          <rPr>
            <sz val="8"/>
            <color indexed="81"/>
            <rFont val="Tahoma"/>
            <family val="2"/>
          </rPr>
          <t xml:space="preserve"> This program assumes buildings are a maximum of 500 feet tall.</t>
        </r>
      </text>
    </comment>
    <comment ref="B9" authorId="2" shapeId="0">
      <text>
        <r>
          <rPr>
            <sz val="8"/>
            <color indexed="81"/>
            <rFont val="Tahoma"/>
            <family val="2"/>
          </rPr>
          <t xml:space="preserve">Actual values of </t>
        </r>
        <r>
          <rPr>
            <b/>
            <sz val="8"/>
            <color indexed="81"/>
            <rFont val="Tahoma"/>
            <family val="2"/>
          </rPr>
          <t>B</t>
        </r>
        <r>
          <rPr>
            <sz val="8"/>
            <color indexed="81"/>
            <rFont val="Tahoma"/>
            <family val="2"/>
          </rPr>
          <t xml:space="preserve"> and </t>
        </r>
        <r>
          <rPr>
            <b/>
            <sz val="8"/>
            <color indexed="81"/>
            <rFont val="Tahoma"/>
            <family val="2"/>
          </rPr>
          <t>L</t>
        </r>
        <r>
          <rPr>
            <sz val="8"/>
            <color indexed="81"/>
            <rFont val="Tahoma"/>
            <family val="2"/>
          </rPr>
          <t xml:space="preserve"> depend on the </t>
        </r>
        <r>
          <rPr>
            <b/>
            <sz val="8"/>
            <color indexed="81"/>
            <rFont val="Tahoma"/>
            <family val="2"/>
          </rPr>
          <t>Wind</t>
        </r>
        <r>
          <rPr>
            <sz val="8"/>
            <color indexed="81"/>
            <rFont val="Tahoma"/>
            <family val="2"/>
          </rPr>
          <t xml:space="preserve"> </t>
        </r>
        <r>
          <rPr>
            <b/>
            <sz val="8"/>
            <color indexed="81"/>
            <rFont val="Tahoma"/>
            <family val="2"/>
          </rPr>
          <t>Direction</t>
        </r>
        <r>
          <rPr>
            <sz val="8"/>
            <color indexed="81"/>
            <rFont val="Tahoma"/>
            <family val="2"/>
          </rPr>
          <t xml:space="preserve">, and are defined as follows:
</t>
        </r>
        <r>
          <rPr>
            <b/>
            <sz val="8"/>
            <color indexed="81"/>
            <rFont val="Tahoma"/>
            <family val="2"/>
          </rPr>
          <t>B</t>
        </r>
        <r>
          <rPr>
            <sz val="8"/>
            <color indexed="81"/>
            <rFont val="Tahoma"/>
            <family val="2"/>
          </rPr>
          <t xml:space="preserve"> = horizontal dimension of building measured
       normal to wind direction.
</t>
        </r>
        <r>
          <rPr>
            <b/>
            <sz val="8"/>
            <color indexed="81"/>
            <rFont val="Tahoma"/>
            <family val="2"/>
          </rPr>
          <t>L</t>
        </r>
        <r>
          <rPr>
            <sz val="8"/>
            <color indexed="81"/>
            <rFont val="Tahoma"/>
            <family val="2"/>
          </rPr>
          <t xml:space="preserve"> = horizontal dimension of building measured
       parallel to wind direction.
Note: Plan view at right depicts case where Wind
          Direction is Normal to building ridge.</t>
        </r>
      </text>
    </comment>
    <comment ref="B10" authorId="3" shapeId="0">
      <text>
        <r>
          <rPr>
            <sz val="8"/>
            <color indexed="81"/>
            <rFont val="Tahoma"/>
            <family val="2"/>
          </rPr>
          <t xml:space="preserve">The </t>
        </r>
        <r>
          <rPr>
            <b/>
            <sz val="8"/>
            <color indexed="81"/>
            <rFont val="Tahoma"/>
            <family val="2"/>
          </rPr>
          <t>Basic Design Wind Speed, V (mph)</t>
        </r>
        <r>
          <rPr>
            <sz val="8"/>
            <color indexed="81"/>
            <rFont val="Tahoma"/>
            <family val="2"/>
          </rPr>
          <t>, corresponds to a 3-second gust speed at 33' above ground in Exposure Category "C" and is associated with an annual probability of 0.02 of being equalled or exceeded (50-year mean recurrence interval).</t>
        </r>
        <r>
          <rPr>
            <sz val="8"/>
            <color indexed="81"/>
            <rFont val="Tahoma"/>
            <family val="2"/>
          </rPr>
          <t xml:space="preserve">
</t>
        </r>
        <r>
          <rPr>
            <b/>
            <sz val="8"/>
            <color indexed="81"/>
            <rFont val="Tahoma"/>
            <family val="2"/>
          </rPr>
          <t>For Basic Wind Speed Map (Fig. 6-1) see 'Wind Map' worksheet of this workbook.</t>
        </r>
        <r>
          <rPr>
            <sz val="8"/>
            <color indexed="81"/>
            <rFont val="Tahoma"/>
            <family val="2"/>
          </rPr>
          <t xml:space="preserve">
</t>
        </r>
      </text>
    </comment>
    <comment ref="B11" authorId="4" shapeId="0">
      <text>
        <r>
          <rPr>
            <b/>
            <sz val="8"/>
            <color indexed="81"/>
            <rFont val="Tahoma"/>
            <family val="2"/>
          </rPr>
          <t xml:space="preserve">                                                                          TABLE 1-1</t>
        </r>
        <r>
          <rPr>
            <b/>
            <u/>
            <sz val="8"/>
            <color indexed="81"/>
            <rFont val="Tahoma"/>
            <family val="2"/>
          </rPr>
          <t xml:space="preserve">
Occupancy Category of Buildings and Other Structures for Flood, Wind, Snow, Earthquake, and Ice Loads</t>
        </r>
        <r>
          <rPr>
            <sz val="8"/>
            <color indexed="81"/>
            <rFont val="Tahoma"/>
            <family val="2"/>
          </rPr>
          <t xml:space="preserve">                                                                                                      
</t>
        </r>
        <r>
          <rPr>
            <b/>
            <u/>
            <sz val="8"/>
            <color indexed="81"/>
            <rFont val="Tahoma"/>
            <family val="2"/>
          </rPr>
          <t xml:space="preserve">Nature of Occupancy                                                                                                                    Occupancy Category </t>
        </r>
        <r>
          <rPr>
            <sz val="8"/>
            <color indexed="81"/>
            <rFont val="Tahoma"/>
            <family val="2"/>
          </rPr>
          <t xml:space="preserve">
Buildings and structures that represent a low hazard to human life in the event of failure including,                  I
  but not limited to:
     - Agriculture facilities                                                                                                             
     - Certain temporary facilities
</t>
        </r>
        <r>
          <rPr>
            <u/>
            <sz val="8"/>
            <color indexed="81"/>
            <rFont val="Tahoma"/>
            <family val="2"/>
          </rPr>
          <t xml:space="preserve">     - Minor storage facilities                                                                                                                                              </t>
        </r>
        <r>
          <rPr>
            <sz val="8"/>
            <color indexed="81"/>
            <rFont val="Tahoma"/>
            <family val="2"/>
          </rPr>
          <t xml:space="preserve">       
</t>
        </r>
        <r>
          <rPr>
            <u/>
            <sz val="8"/>
            <color indexed="81"/>
            <rFont val="Tahoma"/>
            <family val="2"/>
          </rPr>
          <t xml:space="preserve">Buildings and other structures except those listed in Categories I, III and IV                                                      II        </t>
        </r>
        <r>
          <rPr>
            <sz val="8"/>
            <color indexed="81"/>
            <rFont val="Tahoma"/>
            <family val="2"/>
          </rPr>
          <t xml:space="preserve">
Buildings and other structures that represent a substantial hazard to human life in the event of                       III      
  failure including, but not limited to:
     - Buildings and other structures where more than 300 people congregate in one area
     - Buildings and other structures with day-care facilities with capacity greater than 150
     - Elementary or secondary school facilities with capacity greater than 250
     - Colleges &amp; adult education facilities with a capacity greater than 500
     - Health care facilities with a capacity greater than 50 resident patients but not having surgery
         or emergency treatment facilities
     - Jails and detention facilities
Buildings and other structures, not includes in Occupancy Category IV, with potential to cause 
  substantial economic impact and/or mass disruption of day-to-day civilian life in event of failure, 
  including, but not limited to:
     - Power generating stations, water treatment facilities, sewage treatment facilities, and
         telecommunication centers
     - Buildings and structures not included in Category IV containing sufficient quantities of toxic,
</t>
        </r>
        <r>
          <rPr>
            <u/>
            <sz val="8"/>
            <color indexed="81"/>
            <rFont val="Tahoma"/>
            <family val="2"/>
          </rPr>
          <t xml:space="preserve">         explosive, or other hazardous materials dangerous to the public if released                                                        </t>
        </r>
        <r>
          <rPr>
            <sz val="8"/>
            <color indexed="81"/>
            <rFont val="Tahoma"/>
            <family val="2"/>
          </rPr>
          <t xml:space="preserve">
Buildings and other structures designated as essential facilities including, but not limited to:                              IV
     - Hospitals and health care facilities having surgery or emergency treatment facilities
     - Fire, rescue and police stations and emergency vehicle garages
     - Designated earthquake, hurricane or other emergency shelters
     - Designated emergency preparedness, communication, and operation centers and other
         facilities required for emergency response 
     - Power-generating stations and other public utility facilities required in an emergency
     - Ancillary structures required foroperation of Category IV structures during an emergency
     - Aviation control towers, air traffic control centers and emergency aircraft hangars
     - Water storage facilities and pump structures required to maintain water pressure for fire suppression
     - Buildings and other structures having critical national defense functions
     - Buildings and structures containing extremelyhazardous materials where quantity of material 
         exceeds a threshhold quantity established by authority having jurisdiction </t>
        </r>
      </text>
    </comment>
    <comment ref="B12" authorId="3" shapeId="0">
      <text>
        <r>
          <rPr>
            <b/>
            <sz val="8"/>
            <color indexed="81"/>
            <rFont val="Tahoma"/>
            <family val="2"/>
          </rPr>
          <t>Surface Roughness Categories</t>
        </r>
        <r>
          <rPr>
            <sz val="8"/>
            <color indexed="81"/>
            <rFont val="Tahoma"/>
            <family val="2"/>
          </rPr>
          <t xml:space="preserve"> for the purpose of assigning </t>
        </r>
        <r>
          <rPr>
            <b/>
            <sz val="8"/>
            <color indexed="81"/>
            <rFont val="Tahoma"/>
            <family val="2"/>
          </rPr>
          <t>Exposure</t>
        </r>
        <r>
          <rPr>
            <sz val="8"/>
            <color indexed="81"/>
            <rFont val="Tahoma"/>
            <family val="2"/>
          </rPr>
          <t xml:space="preserve"> </t>
        </r>
        <r>
          <rPr>
            <b/>
            <sz val="8"/>
            <color indexed="81"/>
            <rFont val="Tahoma"/>
            <family val="2"/>
          </rPr>
          <t>Category</t>
        </r>
        <r>
          <rPr>
            <sz val="8"/>
            <color indexed="81"/>
            <rFont val="Tahoma"/>
            <family val="2"/>
          </rPr>
          <t xml:space="preserve"> are defined as follows:
</t>
        </r>
        <r>
          <rPr>
            <b/>
            <sz val="8"/>
            <color indexed="81"/>
            <rFont val="Tahoma"/>
            <family val="2"/>
          </rPr>
          <t xml:space="preserve">Surface Roughness "B":
</t>
        </r>
        <r>
          <rPr>
            <sz val="8"/>
            <color indexed="81"/>
            <rFont val="Tahoma"/>
            <family val="2"/>
          </rPr>
          <t xml:space="preserve">Urban and suburban areas, wooded areas or other terrain with numerous closely spaced obstructions having the size of single family dwellings or larger.
</t>
        </r>
        <r>
          <rPr>
            <b/>
            <sz val="8"/>
            <color indexed="81"/>
            <rFont val="Tahoma"/>
            <family val="2"/>
          </rPr>
          <t xml:space="preserve">Surface Roughness "C":
</t>
        </r>
        <r>
          <rPr>
            <sz val="8"/>
            <color indexed="81"/>
            <rFont val="Tahoma"/>
            <family val="2"/>
          </rPr>
          <t>Open terrain with scattered obstructions having heights generally &lt; 30 ft.  This category includes flat open country, grass lands, and all water surfaces in hurricane prone regions.</t>
        </r>
        <r>
          <rPr>
            <sz val="8"/>
            <color indexed="81"/>
            <rFont val="Tahoma"/>
            <family val="2"/>
          </rPr>
          <t xml:space="preserve">
</t>
        </r>
        <r>
          <rPr>
            <b/>
            <sz val="8"/>
            <color indexed="81"/>
            <rFont val="Tahoma"/>
            <family val="2"/>
          </rPr>
          <t>Surface Roughness "D":</t>
        </r>
        <r>
          <rPr>
            <sz val="8"/>
            <color indexed="81"/>
            <rFont val="Tahoma"/>
            <family val="2"/>
          </rPr>
          <t xml:space="preserve">
Flat, unobstructed areas and water surfaces outside hurricane prone regions.  This category includes smooth mud flats, salt flats, and unbroken ice.
</t>
        </r>
        <r>
          <rPr>
            <b/>
            <sz val="8"/>
            <color indexed="81"/>
            <rFont val="Tahoma"/>
            <family val="2"/>
          </rPr>
          <t>Exposure Categories</t>
        </r>
        <r>
          <rPr>
            <sz val="8"/>
            <color indexed="81"/>
            <rFont val="Tahoma"/>
            <family val="2"/>
          </rPr>
          <t xml:space="preserve"> are defined as follows:
</t>
        </r>
        <r>
          <rPr>
            <b/>
            <sz val="8"/>
            <color indexed="81"/>
            <rFont val="Tahoma"/>
            <family val="2"/>
          </rPr>
          <t xml:space="preserve">Exposure "B":
</t>
        </r>
        <r>
          <rPr>
            <sz val="8"/>
            <color indexed="81"/>
            <rFont val="Tahoma"/>
            <family val="2"/>
          </rPr>
          <t xml:space="preserve">Exposure B shall apply where the ground surface roughness condition, as defined by Surface Roughness B, prevails in the upwind direction for a distance of at least 2600 ft. or 20 times the building height, whichever is greater.
   Exception: For buildings whose mean roof height &lt;= 30 ft., the upwind 
   distance may be reduced to 1500 ft.
</t>
        </r>
        <r>
          <rPr>
            <b/>
            <sz val="8"/>
            <color indexed="81"/>
            <rFont val="Tahoma"/>
            <family val="2"/>
          </rPr>
          <t xml:space="preserve">Exposure "C":
</t>
        </r>
        <r>
          <rPr>
            <sz val="8"/>
            <color indexed="81"/>
            <rFont val="Tahoma"/>
            <family val="2"/>
          </rPr>
          <t xml:space="preserve">Exposure C shall apply for all cases where exposures B and D do not apply.
</t>
        </r>
        <r>
          <rPr>
            <b/>
            <sz val="8"/>
            <color indexed="81"/>
            <rFont val="Tahoma"/>
            <family val="2"/>
          </rPr>
          <t>Exposure "D":</t>
        </r>
        <r>
          <rPr>
            <sz val="8"/>
            <color indexed="81"/>
            <rFont val="Tahoma"/>
            <family val="2"/>
          </rPr>
          <t xml:space="preserve">
Exposure D shall apply where the ground surface roughness, as defined by Surface Roughness D, prevails in the upwind diection for a distance &gt;= 5,000 ft. or 20 times the building height, whichever is greater.  Exposure D shall extend into downwind areas of Surface Roughness B or C for a distance of 600 ft. or 20 times the height of the building, whichever is greater.</t>
        </r>
      </text>
    </comment>
    <comment ref="B14" authorId="0" shapeId="0">
      <text>
        <r>
          <rPr>
            <sz val="8"/>
            <color indexed="81"/>
            <rFont val="Tahoma"/>
            <family val="2"/>
          </rPr>
          <t>The eave height, 'he', is the distance from the ground surface adjacent to the building to the roof eave line at a particular wall.  
If the height of the eave varies along the wall, the average height shall be used.</t>
        </r>
      </text>
    </comment>
    <comment ref="B17" authorId="3" shapeId="0">
      <text>
        <r>
          <rPr>
            <sz val="8"/>
            <color indexed="81"/>
            <rFont val="Tahoma"/>
            <family val="2"/>
          </rPr>
          <t>This program assumes that a Gable roof is symmetrical, as the ridge line is assumed in the center of the building width, L.
For flat roofs (roof angle = 0 degrees), either Gable (G) or Monoslope (M) may be used.</t>
        </r>
      </text>
    </comment>
    <comment ref="B18" authorId="3" shapeId="0">
      <text>
        <r>
          <rPr>
            <sz val="8"/>
            <color indexed="81"/>
            <rFont val="Tahoma"/>
            <family val="2"/>
          </rPr>
          <t>The</t>
        </r>
        <r>
          <rPr>
            <b/>
            <sz val="8"/>
            <color indexed="81"/>
            <rFont val="Tahoma"/>
            <family val="2"/>
          </rPr>
          <t xml:space="preserve"> Topographic Factor, Kzt</t>
        </r>
        <r>
          <rPr>
            <sz val="8"/>
            <color indexed="81"/>
            <rFont val="Tahoma"/>
            <family val="2"/>
          </rPr>
          <t>, accounts for effect of wind speed-up over isolated hills and escarpments (</t>
        </r>
        <r>
          <rPr>
            <b/>
            <sz val="8"/>
            <color indexed="81"/>
            <rFont val="Tahoma"/>
            <family val="2"/>
          </rPr>
          <t>Sect. 6.5.7</t>
        </r>
        <r>
          <rPr>
            <sz val="8"/>
            <color indexed="81"/>
            <rFont val="Tahoma"/>
            <family val="2"/>
          </rPr>
          <t xml:space="preserve"> and </t>
        </r>
        <r>
          <rPr>
            <b/>
            <sz val="8"/>
            <color indexed="81"/>
            <rFont val="Tahoma"/>
            <family val="2"/>
          </rPr>
          <t>Fig. 6-4</t>
        </r>
        <r>
          <rPr>
            <sz val="8"/>
            <color indexed="81"/>
            <rFont val="Tahoma"/>
            <family val="2"/>
          </rPr>
          <t xml:space="preserve">).
</t>
        </r>
        <r>
          <rPr>
            <b/>
            <sz val="8"/>
            <color indexed="81"/>
            <rFont val="Tahoma"/>
            <family val="2"/>
          </rPr>
          <t>Kzt = (1+K1*K2*K3)^2</t>
        </r>
        <r>
          <rPr>
            <sz val="8"/>
            <color indexed="81"/>
            <rFont val="Tahoma"/>
            <family val="2"/>
          </rPr>
          <t xml:space="preserve">   (Eq. 6-3), where:
H   = height of hill or escarpment relative to the upwind terrain, in feet.
Lh  = Distance upwind of crest to where the difference in ground elevation is    
         half the height of hill or escarpment, in feet.
K1 = factor to account for shape of topographic feature and maximum   
        speed-up effect.
K2 = factor to account for reduction in speed-up with distance upwind or     
        downwind of crest.
K3 = factor to account for reduction in speed-up with height above local terrain.
x = distance (upwind or downwind) from the crest to the building site, in feet.
z = height above local ground level, in feet.
</t>
        </r>
        <r>
          <rPr>
            <b/>
            <sz val="8"/>
            <color indexed="81"/>
            <rFont val="Tahoma"/>
            <family val="2"/>
          </rPr>
          <t>The effect of wind speed-up shall not be required to be considered (Kzt = 1.0) when H/Lh &lt; 0.2, or H &lt; 15' for Exposures 'C' and 'D', or H &lt; 60' for Exposure 'B'.</t>
        </r>
      </text>
    </comment>
    <comment ref="B19" authorId="2" shapeId="0">
      <text>
        <r>
          <rPr>
            <b/>
            <u/>
            <sz val="8"/>
            <color indexed="81"/>
            <rFont val="Tahoma"/>
            <family val="2"/>
          </rPr>
          <t xml:space="preserve">Wind Directionality Factor, Kd (Table 6-4)
             </t>
        </r>
        <r>
          <rPr>
            <u/>
            <sz val="8"/>
            <color indexed="81"/>
            <rFont val="Tahoma"/>
            <family val="2"/>
          </rPr>
          <t xml:space="preserve">Structure Type                                  Kd  
</t>
        </r>
        <r>
          <rPr>
            <sz val="8"/>
            <color indexed="81"/>
            <rFont val="Tahoma"/>
            <family val="2"/>
          </rPr>
          <t xml:space="preserve">
Buildings
    Main Wind-Force Resisting System           0.85
    Components and Cladding                        0.85
Note:  this factor shall only be applied when
           used in conjunction with load combinations
           specified in Sect. 2.3 and 2.4.
           Otherwise, use Kd = 1.0. </t>
        </r>
      </text>
    </comment>
    <comment ref="B20" authorId="3" shapeId="0">
      <text>
        <r>
          <rPr>
            <sz val="8"/>
            <color indexed="81"/>
            <rFont val="Tahoma"/>
            <family val="2"/>
          </rPr>
          <t>This worksheet assumes either</t>
        </r>
        <r>
          <rPr>
            <b/>
            <sz val="8"/>
            <color indexed="81"/>
            <rFont val="Tahoma"/>
            <family val="2"/>
          </rPr>
          <t xml:space="preserve"> Enclosed</t>
        </r>
        <r>
          <rPr>
            <sz val="8"/>
            <color indexed="81"/>
            <rFont val="Tahoma"/>
            <family val="2"/>
          </rPr>
          <t xml:space="preserve"> or </t>
        </r>
        <r>
          <rPr>
            <b/>
            <sz val="8"/>
            <color indexed="81"/>
            <rFont val="Tahoma"/>
            <family val="2"/>
          </rPr>
          <t>Partially Enclosed</t>
        </r>
        <r>
          <rPr>
            <sz val="8"/>
            <color indexed="81"/>
            <rFont val="Tahoma"/>
            <family val="2"/>
          </rPr>
          <t xml:space="preserve"> buildings</t>
        </r>
        <r>
          <rPr>
            <sz val="8"/>
            <color indexed="81"/>
            <rFont val="Tahoma"/>
            <family val="2"/>
          </rPr>
          <t xml:space="preserve">, and does not consider open buildings.
</t>
        </r>
        <r>
          <rPr>
            <b/>
            <sz val="8"/>
            <color indexed="81"/>
            <rFont val="Tahoma"/>
            <family val="2"/>
          </rPr>
          <t>1.</t>
        </r>
        <r>
          <rPr>
            <sz val="8"/>
            <color indexed="81"/>
            <rFont val="Tahoma"/>
            <family val="2"/>
          </rPr>
          <t xml:space="preserve">  An enclosed building is a building that does not comply with the requirements       
      for open or partially enclosed buildings. 
</t>
        </r>
        <r>
          <rPr>
            <b/>
            <sz val="8"/>
            <color indexed="81"/>
            <rFont val="Tahoma"/>
            <family val="2"/>
          </rPr>
          <t>2.</t>
        </r>
        <r>
          <rPr>
            <sz val="8"/>
            <color indexed="81"/>
            <rFont val="Tahoma"/>
            <family val="2"/>
          </rPr>
          <t xml:space="preserve">  An open building is a structure having all walls at least 80% open.
</t>
        </r>
        <r>
          <rPr>
            <b/>
            <sz val="8"/>
            <color indexed="81"/>
            <rFont val="Tahoma"/>
            <family val="2"/>
          </rPr>
          <t xml:space="preserve">3. </t>
        </r>
        <r>
          <rPr>
            <sz val="8"/>
            <color indexed="81"/>
            <rFont val="Tahoma"/>
            <family val="2"/>
          </rPr>
          <t xml:space="preserve"> A partially enclosed building complies with both of the following conditions:
     </t>
        </r>
        <r>
          <rPr>
            <b/>
            <sz val="8"/>
            <color indexed="81"/>
            <rFont val="Tahoma"/>
            <family val="2"/>
          </rPr>
          <t xml:space="preserve">a.  </t>
        </r>
        <r>
          <rPr>
            <sz val="8"/>
            <color indexed="81"/>
            <rFont val="Tahoma"/>
            <family val="2"/>
          </rPr>
          <t xml:space="preserve">the total area of openings in a wall that receives positive external pressure   
         exceeds the sum of the areas of the openings in the balance of the building         
         envelope (walls and roof) by more than 10%; and
     </t>
        </r>
        <r>
          <rPr>
            <b/>
            <sz val="8"/>
            <color indexed="81"/>
            <rFont val="Tahoma"/>
            <family val="2"/>
          </rPr>
          <t xml:space="preserve">b.  </t>
        </r>
        <r>
          <rPr>
            <sz val="8"/>
            <color indexed="81"/>
            <rFont val="Tahoma"/>
            <family val="2"/>
          </rPr>
          <t>the total area of openings in a wall that receives positive external pressure          
         exceeds 4 sq ft or 1% of the area of that wall, whichever is smaller, and the      
         % of openings in balance of the building envelope does not exceed 20%.</t>
        </r>
      </text>
    </comment>
    <comment ref="B22" authorId="3" shapeId="0">
      <text>
        <r>
          <rPr>
            <sz val="8"/>
            <color indexed="81"/>
            <rFont val="Tahoma"/>
            <family val="2"/>
          </rPr>
          <t xml:space="preserve">The </t>
        </r>
        <r>
          <rPr>
            <b/>
            <sz val="8"/>
            <color indexed="81"/>
            <rFont val="Tahoma"/>
            <family val="2"/>
          </rPr>
          <t xml:space="preserve">Damping Ratio, </t>
        </r>
        <r>
          <rPr>
            <b/>
            <sz val="8"/>
            <color indexed="81"/>
            <rFont val="Symbol"/>
            <family val="1"/>
            <charset val="2"/>
          </rPr>
          <t>b</t>
        </r>
        <r>
          <rPr>
            <sz val="8"/>
            <color indexed="81"/>
            <rFont val="Tahoma"/>
            <family val="2"/>
          </rPr>
          <t>,</t>
        </r>
        <r>
          <rPr>
            <b/>
            <sz val="8"/>
            <color indexed="81"/>
            <rFont val="Tahoma"/>
            <family val="2"/>
          </rPr>
          <t xml:space="preserve"> </t>
        </r>
        <r>
          <rPr>
            <sz val="8"/>
            <color indexed="81"/>
            <rFont val="Tahoma"/>
            <family val="2"/>
          </rPr>
          <t xml:space="preserve">is the percent of critical damping. 
It is only used in the calculation of the Gust Factor, Gf, when a building is considered "flexible".  A building is considered "flexible" when it has a natural frequency,
f &lt; 1 hz. Otherwise the building is considered "rigid".
Suggested range of values is from 0.010 to 0.070 as indicated  below:
    </t>
        </r>
        <r>
          <rPr>
            <u/>
            <sz val="8"/>
            <color indexed="81"/>
            <rFont val="Tahoma"/>
            <family val="2"/>
          </rPr>
          <t xml:space="preserve">Material/Construction                      </t>
        </r>
        <r>
          <rPr>
            <u/>
            <sz val="8"/>
            <color indexed="81"/>
            <rFont val="Symbol"/>
            <family val="1"/>
            <charset val="2"/>
          </rPr>
          <t>b</t>
        </r>
        <r>
          <rPr>
            <u/>
            <sz val="8"/>
            <color indexed="81"/>
            <rFont val="Tahoma"/>
            <family val="2"/>
          </rPr>
          <t xml:space="preserve"> (Damping Ratio)</t>
        </r>
        <r>
          <rPr>
            <sz val="8"/>
            <color indexed="81"/>
            <rFont val="Tahoma"/>
            <family val="2"/>
          </rPr>
          <t xml:space="preserve">
     Welded steel,                                        0.01 to 0.02
     prestressed concrete
     Reinforced concrete                             0.03 to 0.05
     Bolted or riveted steel,                         0.05 to 0.07
     wood
</t>
        </r>
        <r>
          <rPr>
            <b/>
            <u/>
            <sz val="8"/>
            <color indexed="81"/>
            <rFont val="Tahoma"/>
            <family val="2"/>
          </rPr>
          <t>Note:</t>
        </r>
        <r>
          <rPr>
            <b/>
            <sz val="8"/>
            <color indexed="81"/>
            <rFont val="Tahoma"/>
            <family val="2"/>
          </rPr>
          <t xml:space="preserve">  if the building is "flexible", the smaller the value of the damping ratio, the larger the gust effect factor, Gf, becomes.</t>
        </r>
      </text>
    </comment>
    <comment ref="B23" authorId="3" shapeId="0">
      <text>
        <r>
          <rPr>
            <sz val="8"/>
            <color indexed="81"/>
            <rFont val="Tahoma"/>
            <family val="2"/>
          </rPr>
          <t xml:space="preserve">The building </t>
        </r>
        <r>
          <rPr>
            <b/>
            <sz val="8"/>
            <color indexed="81"/>
            <rFont val="Tahoma"/>
            <family val="2"/>
          </rPr>
          <t>Period Coefficient, Ct</t>
        </r>
        <r>
          <rPr>
            <sz val="8"/>
            <color indexed="81"/>
            <rFont val="Tahoma"/>
            <family val="2"/>
          </rPr>
          <t xml:space="preserve">, has suggested range of values from
0.020 to 0.035. It is used in the equation for the assumed period of the building:  </t>
        </r>
        <r>
          <rPr>
            <b/>
            <sz val="8"/>
            <color indexed="81"/>
            <rFont val="Tahoma"/>
            <family val="2"/>
          </rPr>
          <t>T = Ct*h^3/4</t>
        </r>
        <r>
          <rPr>
            <sz val="8"/>
            <color indexed="81"/>
            <rFont val="Tahoma"/>
            <family val="2"/>
          </rPr>
          <t>.</t>
        </r>
        <r>
          <rPr>
            <sz val="8"/>
            <color indexed="81"/>
            <rFont val="Tahoma"/>
            <family val="2"/>
          </rPr>
          <t xml:space="preserve">
Then the </t>
        </r>
        <r>
          <rPr>
            <b/>
            <sz val="8"/>
            <color indexed="81"/>
            <rFont val="Tahoma"/>
            <family val="2"/>
          </rPr>
          <t>natural frequency, f</t>
        </r>
        <r>
          <rPr>
            <sz val="8"/>
            <color indexed="81"/>
            <rFont val="Tahoma"/>
            <family val="2"/>
          </rPr>
          <t xml:space="preserve">, </t>
        </r>
        <r>
          <rPr>
            <sz val="8"/>
            <color indexed="81"/>
            <rFont val="Tahoma"/>
            <family val="2"/>
          </rPr>
          <t xml:space="preserve">is determined by: </t>
        </r>
        <r>
          <rPr>
            <b/>
            <sz val="8"/>
            <color indexed="81"/>
            <rFont val="Tahoma"/>
            <family val="2"/>
          </rPr>
          <t xml:space="preserve"> f = 1/T</t>
        </r>
        <r>
          <rPr>
            <sz val="8"/>
            <color indexed="81"/>
            <rFont val="Tahoma"/>
            <family val="2"/>
          </rPr>
          <t>.
It is only used in the calculation of the Gust Factor, Gf, when a building is considered "flexible".  A building is considered "flexible" when it has a natural frequency, f &lt; 1 hz. Otherwise the building is considered "rigid".
  Note:  if the period, T, or the natural frequency, f, is already known
             (obtained by other means), then the value of Ct may be
             "manipulated" to give the desired results for T and f.</t>
        </r>
      </text>
    </comment>
    <comment ref="B29" authorId="3" shapeId="0">
      <text>
        <r>
          <rPr>
            <sz val="8"/>
            <color indexed="81"/>
            <rFont val="Tahoma"/>
            <family val="2"/>
          </rPr>
          <t xml:space="preserve">The building </t>
        </r>
        <r>
          <rPr>
            <b/>
            <sz val="8"/>
            <color indexed="81"/>
            <rFont val="Tahoma"/>
            <family val="2"/>
          </rPr>
          <t>Mean Roof Height, h</t>
        </r>
        <r>
          <rPr>
            <sz val="8"/>
            <color indexed="81"/>
            <rFont val="Tahoma"/>
            <family val="2"/>
          </rPr>
          <t>, is determined as follows:
  For buildings with roof angle &gt; 10 degrees:  h = (hr+he)/2
  For buildings with roof angle &lt;= 10 degrees:  h = he</t>
        </r>
      </text>
    </comment>
    <comment ref="G29" authorId="1" shapeId="0">
      <text>
        <r>
          <rPr>
            <sz val="8"/>
            <color indexed="81"/>
            <rFont val="Tahoma"/>
            <family val="2"/>
          </rPr>
          <t>Note: 'L' is the horizontal dimension of the building measured parallel to the wind direction.</t>
        </r>
      </text>
    </comment>
    <comment ref="C30" authorId="3" shapeId="0">
      <text>
        <r>
          <rPr>
            <b/>
            <sz val="8"/>
            <color indexed="81"/>
            <rFont val="Tahoma"/>
            <family val="2"/>
          </rPr>
          <t xml:space="preserve"> </t>
        </r>
        <r>
          <rPr>
            <b/>
            <u/>
            <sz val="8"/>
            <color indexed="81"/>
            <rFont val="Tahoma"/>
            <family val="2"/>
          </rPr>
          <t xml:space="preserve">Wall External Pressure Coefficients, Cp (Fig. 6-6)
</t>
        </r>
        <r>
          <rPr>
            <sz val="8"/>
            <color indexed="81"/>
            <rFont val="Tahoma"/>
            <family val="2"/>
          </rPr>
          <t xml:space="preserve">
      </t>
        </r>
        <r>
          <rPr>
            <u/>
            <sz val="8"/>
            <color indexed="81"/>
            <rFont val="Tahoma"/>
            <family val="2"/>
          </rPr>
          <t>Surface             L/B                 Cp           Use With</t>
        </r>
        <r>
          <rPr>
            <sz val="8"/>
            <color indexed="81"/>
            <rFont val="Tahoma"/>
            <family val="2"/>
          </rPr>
          <t xml:space="preserve">
         Windward     All values           0.8               qz
         </t>
        </r>
        <r>
          <rPr>
            <u/>
            <sz val="8"/>
            <color indexed="81"/>
            <rFont val="Tahoma"/>
            <family val="2"/>
          </rPr>
          <t xml:space="preserve">    Wall                                                             </t>
        </r>
        <r>
          <rPr>
            <sz val="8"/>
            <color indexed="81"/>
            <rFont val="Tahoma"/>
            <family val="2"/>
          </rPr>
          <t xml:space="preserve">
         Leeward            0-1               -0.5
            Wall                  2                -0.3               qh
         </t>
        </r>
        <r>
          <rPr>
            <u/>
            <sz val="8"/>
            <color indexed="81"/>
            <rFont val="Tahoma"/>
            <family val="2"/>
          </rPr>
          <t xml:space="preserve">                         &gt;=4              -0.2                   </t>
        </r>
        <r>
          <rPr>
            <sz val="8"/>
            <color indexed="81"/>
            <rFont val="Tahoma"/>
            <family val="2"/>
          </rPr>
          <t xml:space="preserve">
         Side Walls     All values          -0.7               qh</t>
        </r>
      </text>
    </comment>
    <comment ref="G30" authorId="1" shapeId="0">
      <text>
        <r>
          <rPr>
            <sz val="8"/>
            <color indexed="81"/>
            <rFont val="Tahoma"/>
            <family val="2"/>
          </rPr>
          <t>Note: 'B' is the horizontal dimension of the building measured normal to the wind direction.</t>
        </r>
      </text>
    </comment>
    <comment ref="M33" authorId="3" shapeId="0">
      <text>
        <r>
          <rPr>
            <b/>
            <u/>
            <sz val="8"/>
            <color indexed="81"/>
            <rFont val="Tahoma"/>
            <family val="2"/>
          </rPr>
          <t xml:space="preserve">Terrain Exposure Constants (Table 27.3-1)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r>
          <rPr>
            <sz val="8"/>
            <color indexed="81"/>
            <rFont val="Tahoma"/>
            <family val="2"/>
          </rPr>
          <t xml:space="preserve">
</t>
        </r>
      </text>
    </comment>
    <comment ref="M34" authorId="3" shapeId="0">
      <text>
        <r>
          <rPr>
            <b/>
            <u/>
            <sz val="8"/>
            <color indexed="81"/>
            <rFont val="Tahoma"/>
            <family val="2"/>
          </rPr>
          <t xml:space="preserve">Terrain Exposure Constants (Table 27.3-1)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r>
          <rPr>
            <sz val="8"/>
            <color indexed="81"/>
            <rFont val="Tahoma"/>
            <family val="2"/>
          </rPr>
          <t xml:space="preserve">
</t>
        </r>
      </text>
    </comment>
    <comment ref="C37" authorId="3" shapeId="0">
      <text>
        <r>
          <rPr>
            <b/>
            <sz val="8"/>
            <color indexed="81"/>
            <rFont val="Tahoma"/>
            <family val="2"/>
          </rPr>
          <t xml:space="preserve">        </t>
        </r>
        <r>
          <rPr>
            <b/>
            <u/>
            <sz val="8"/>
            <color indexed="81"/>
            <rFont val="Tahoma"/>
            <family val="2"/>
          </rPr>
          <t>Internal Pressure Coefficients, GCpi (Figure 6-5)</t>
        </r>
        <r>
          <rPr>
            <sz val="8"/>
            <color indexed="81"/>
            <rFont val="Tahoma"/>
            <family val="2"/>
          </rPr>
          <t xml:space="preserve">
</t>
        </r>
        <r>
          <rPr>
            <sz val="8"/>
            <color indexed="81"/>
            <rFont val="Tahoma"/>
            <family val="2"/>
          </rPr>
          <t xml:space="preserve">
    </t>
        </r>
        <r>
          <rPr>
            <u/>
            <sz val="8"/>
            <color indexed="81"/>
            <rFont val="Tahoma"/>
            <family val="2"/>
          </rPr>
          <t xml:space="preserve">          Condition                                                 (+/-) GCpi     
</t>
        </r>
        <r>
          <rPr>
            <sz val="8"/>
            <color indexed="81"/>
            <rFont val="Tahoma"/>
            <family val="2"/>
          </rPr>
          <t xml:space="preserve">    Partially enclosed buildings                                +0.55, -0.55
    Enclosed buildings                                              +0.18, -0.18
Per Sect. 6.5.11.1, for a partially enclosed building containing a single, unpartitioned large volume, the GCpi coefficients shall be multiplied by the following reduction factor, Ri:
    Ri = 1.0  or  Ri = 0.5*(1+(1/(1+Vi/(22800*Aog))^0.5)) &lt;= 1.0
      where:  Aog = total area of openings in the building envelope
                              (walls and roof, ft.^2).
                   Vi = unpartitioned internal volume (ft.^3).
</t>
        </r>
        <r>
          <rPr>
            <b/>
            <sz val="8"/>
            <color indexed="81"/>
            <rFont val="Tahoma"/>
            <family val="2"/>
          </rPr>
          <t>Note:</t>
        </r>
        <r>
          <rPr>
            <sz val="8"/>
            <color indexed="81"/>
            <rFont val="Tahoma"/>
            <family val="2"/>
          </rPr>
          <t xml:space="preserve">  This program assumes NO reduction of the GCpi coefficients
            for large volume buildings. Thus, Ri = 1.0.</t>
        </r>
      </text>
    </comment>
    <comment ref="C38" authorId="3" shapeId="0">
      <text>
        <r>
          <rPr>
            <b/>
            <sz val="8"/>
            <color indexed="81"/>
            <rFont val="Tahoma"/>
            <family val="2"/>
          </rPr>
          <t xml:space="preserve">        </t>
        </r>
        <r>
          <rPr>
            <b/>
            <u/>
            <sz val="8"/>
            <color indexed="81"/>
            <rFont val="Tahoma"/>
            <family val="2"/>
          </rPr>
          <t>Internal Pressure Coefficients, GCpi (Figure 6-5)</t>
        </r>
        <r>
          <rPr>
            <sz val="8"/>
            <color indexed="81"/>
            <rFont val="Tahoma"/>
            <family val="2"/>
          </rPr>
          <t xml:space="preserve">
</t>
        </r>
        <r>
          <rPr>
            <sz val="8"/>
            <color indexed="81"/>
            <rFont val="Tahoma"/>
            <family val="2"/>
          </rPr>
          <t xml:space="preserve">
    </t>
        </r>
        <r>
          <rPr>
            <u/>
            <sz val="8"/>
            <color indexed="81"/>
            <rFont val="Tahoma"/>
            <family val="2"/>
          </rPr>
          <t xml:space="preserve">          Condition                                                 (+/-) GCpi     
</t>
        </r>
        <r>
          <rPr>
            <sz val="8"/>
            <color indexed="81"/>
            <rFont val="Tahoma"/>
            <family val="2"/>
          </rPr>
          <t xml:space="preserve">    Partially enclosed buildings                                +0.55, -0.55
    Enclosed buildings                                              +0.18, -0.18
Per Sect. 6.5.11.1, for a partially enclosed building containing a single, unpartitioned large volume, the GCpi coefficients shall be multiplied by the following reduction factor, Ri:
    Ri = 1.0  or  Ri = 0.5*(1+(1/(1+Vi/(22800*Aog))^0.5)) &lt;= 1.0
      where:  Aog = total area of openings in the building envelope
                              (walls and roof, ft.^2).
                   Vi = unpartitioned internal volume (ft.^3).
</t>
        </r>
        <r>
          <rPr>
            <b/>
            <sz val="8"/>
            <color indexed="81"/>
            <rFont val="Tahoma"/>
            <family val="2"/>
          </rPr>
          <t>Note:</t>
        </r>
        <r>
          <rPr>
            <sz val="8"/>
            <color indexed="81"/>
            <rFont val="Tahoma"/>
            <family val="2"/>
          </rPr>
          <t xml:space="preserve">  This program assumes NO reduction of the GCpi coefficients
            for large volume buildings. Thus, Ri = 1.0.</t>
        </r>
      </text>
    </comment>
    <comment ref="E41" authorId="3" shapeId="0">
      <text>
        <r>
          <rPr>
            <b/>
            <u/>
            <sz val="8"/>
            <color indexed="81"/>
            <rFont val="Tahoma"/>
            <family val="2"/>
          </rPr>
          <t xml:space="preserve">Terrain Exposure Constants (Table 27.3-1)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r>
          <rPr>
            <sz val="8"/>
            <color indexed="81"/>
            <rFont val="Tahoma"/>
            <family val="2"/>
          </rPr>
          <t xml:space="preserve">
</t>
        </r>
      </text>
    </comment>
    <comment ref="C43" authorId="3" shapeId="0">
      <text>
        <r>
          <rPr>
            <b/>
            <sz val="8"/>
            <color indexed="81"/>
            <rFont val="Tahoma"/>
            <family val="2"/>
          </rPr>
          <t xml:space="preserve">                             </t>
        </r>
        <r>
          <rPr>
            <b/>
            <u/>
            <sz val="8"/>
            <color indexed="81"/>
            <rFont val="Tahoma"/>
            <family val="2"/>
          </rPr>
          <t>Importance Factor, I (Table 6-1):</t>
        </r>
        <r>
          <rPr>
            <b/>
            <sz val="8"/>
            <color indexed="81"/>
            <rFont val="Tahoma"/>
            <family val="2"/>
          </rPr>
          <t xml:space="preserve">
</t>
        </r>
        <r>
          <rPr>
            <sz val="8"/>
            <color indexed="81"/>
            <rFont val="Tahoma"/>
            <family val="2"/>
          </rPr>
          <t xml:space="preserve">
                       Non-Hurricane Prone Regions           Hurricane Prone Regions
Category        and Hurricane Prone Regions                 with V &gt; 100 mph
</t>
        </r>
        <r>
          <rPr>
            <u/>
            <sz val="8"/>
            <color indexed="81"/>
            <rFont val="Tahoma"/>
            <family val="2"/>
          </rPr>
          <t xml:space="preserve">                     with V = 85-100 mph and Alaska                                                </t>
        </r>
        <r>
          <rPr>
            <sz val="8"/>
            <color indexed="81"/>
            <rFont val="Tahoma"/>
            <family val="2"/>
          </rPr>
          <t xml:space="preserve">    </t>
        </r>
        <r>
          <rPr>
            <sz val="8"/>
            <color indexed="81"/>
            <rFont val="Tahoma"/>
            <family val="2"/>
          </rPr>
          <t xml:space="preserve">
      I                                    0.87                                               0.77
     II                                   1.00                                               1.00
     III                                  1.15                                               1.15
     IV                                  1.15                                                1.15
Note: in the U.S. and its territories hurricane prone regions are defined as:
  1. U.S. Atlantic Ocean and Gulf of Mexico coasts where the basic wind 
      speed is &gt; 90 mph.
  2. Hawaii, Puerto Rico, Guam, Virgin Islands, and American Samoa.</t>
        </r>
      </text>
    </comment>
    <comment ref="B47" authorId="0" shapeId="0">
      <text>
        <r>
          <rPr>
            <b/>
            <sz val="8"/>
            <color indexed="81"/>
            <rFont val="Tahoma"/>
            <family val="2"/>
          </rPr>
          <t xml:space="preserve"> </t>
        </r>
        <r>
          <rPr>
            <sz val="8"/>
            <color indexed="81"/>
            <rFont val="Tahoma"/>
            <family val="2"/>
          </rPr>
          <t>If the structure is "rigid", then the minimum of either the calculated value of 'G' for "rigid" structures or 0.85 is used.  If the structure is "flexible" then the calculated value of 'G' is used.
(See calculations on page 3.)</t>
        </r>
      </text>
    </comment>
    <comment ref="D48" authorId="1" shapeId="0">
      <text>
        <r>
          <rPr>
            <sz val="8"/>
            <color indexed="81"/>
            <rFont val="Tahoma"/>
            <family val="2"/>
          </rPr>
          <t xml:space="preserve">Per Code </t>
        </r>
        <r>
          <rPr>
            <b/>
            <sz val="8"/>
            <color indexed="81"/>
            <rFont val="Tahoma"/>
            <family val="2"/>
          </rPr>
          <t>Section 6.1.4.1</t>
        </r>
        <r>
          <rPr>
            <sz val="8"/>
            <color indexed="81"/>
            <rFont val="Tahoma"/>
            <family val="2"/>
          </rPr>
          <t xml:space="preserve">, the minimum wind load to be used in the design of the Main Wind-Force Resisting System shall not be less than </t>
        </r>
        <r>
          <rPr>
            <b/>
            <sz val="8"/>
            <color indexed="81"/>
            <rFont val="Tahoma"/>
            <family val="2"/>
          </rPr>
          <t>10 psf</t>
        </r>
        <r>
          <rPr>
            <sz val="8"/>
            <color indexed="81"/>
            <rFont val="Tahoma"/>
            <family val="2"/>
          </rPr>
          <t>.</t>
        </r>
      </text>
    </comment>
    <comment ref="G54" authorId="1" shapeId="0">
      <text>
        <r>
          <rPr>
            <sz val="8"/>
            <color indexed="81"/>
            <rFont val="Tahoma"/>
            <family val="2"/>
          </rPr>
          <t xml:space="preserve">Per Code </t>
        </r>
        <r>
          <rPr>
            <b/>
            <sz val="8"/>
            <color indexed="81"/>
            <rFont val="Tahoma"/>
            <family val="2"/>
          </rPr>
          <t>Section 6.1.4.1</t>
        </r>
        <r>
          <rPr>
            <sz val="8"/>
            <color indexed="81"/>
            <rFont val="Tahoma"/>
            <family val="2"/>
          </rPr>
          <t xml:space="preserve">, the minimum wind load to be used in the design of the MWFRS shall not be less than </t>
        </r>
        <r>
          <rPr>
            <b/>
            <sz val="8"/>
            <color indexed="81"/>
            <rFont val="Tahoma"/>
            <family val="2"/>
          </rPr>
          <t>10 psf</t>
        </r>
        <r>
          <rPr>
            <sz val="8"/>
            <color indexed="81"/>
            <rFont val="Tahoma"/>
            <family val="2"/>
          </rPr>
          <t xml:space="preserve"> multiplied by the area of the building or structure projected onto a vertical plane normal to the assumed wind direction.</t>
        </r>
      </text>
    </comment>
    <comment ref="B108" authorId="3" shapeId="0">
      <text>
        <r>
          <rPr>
            <sz val="8"/>
            <color indexed="81"/>
            <rFont val="Tahoma"/>
            <family val="2"/>
          </rPr>
          <t>Buildings which have a natural frequency, f &gt;= 1 Hz are considered "rigid".
Buildings which have a natural frequency, f &lt; 1 Hz are considered "flexible".</t>
        </r>
      </text>
    </comment>
    <comment ref="C110" authorId="3" shapeId="0">
      <text>
        <r>
          <rPr>
            <sz val="8"/>
            <color indexed="81"/>
            <rFont val="Tahoma"/>
            <family val="2"/>
          </rPr>
          <t xml:space="preserve">The </t>
        </r>
        <r>
          <rPr>
            <b/>
            <sz val="8"/>
            <color indexed="81"/>
            <rFont val="Tahoma"/>
            <family val="2"/>
          </rPr>
          <t>Gust Effect Factor, G</t>
        </r>
        <r>
          <rPr>
            <sz val="8"/>
            <color indexed="81"/>
            <rFont val="Tahoma"/>
            <family val="2"/>
          </rPr>
          <t xml:space="preserve">, for rigid buildings may be simply taken as </t>
        </r>
        <r>
          <rPr>
            <b/>
            <sz val="8"/>
            <color indexed="81"/>
            <rFont val="Tahoma"/>
            <family val="2"/>
          </rPr>
          <t>0.85</t>
        </r>
        <r>
          <rPr>
            <sz val="8"/>
            <color indexed="81"/>
            <rFont val="Tahoma"/>
            <family val="2"/>
          </rPr>
          <t xml:space="preserve"> for all building exposure conditions.
</t>
        </r>
        <r>
          <rPr>
            <u/>
            <sz val="8"/>
            <color indexed="81"/>
            <rFont val="Tahoma"/>
            <family val="2"/>
          </rPr>
          <t xml:space="preserve">
</t>
        </r>
        <r>
          <rPr>
            <sz val="8"/>
            <color indexed="81"/>
            <rFont val="Tahoma"/>
            <family val="2"/>
          </rPr>
          <t xml:space="preserve">
</t>
        </r>
      </text>
    </comment>
    <comment ref="E113" authorId="3" shapeId="0">
      <text>
        <r>
          <rPr>
            <b/>
            <sz val="8"/>
            <color indexed="81"/>
            <rFont val="Tahoma"/>
            <family val="2"/>
          </rPr>
          <t xml:space="preserve">                                        Terrain Exposure Constants (Table 6-2)
</t>
        </r>
        <r>
          <rPr>
            <u/>
            <sz val="8"/>
            <color indexed="81"/>
            <rFont val="Tahoma"/>
            <family val="2"/>
          </rPr>
          <t xml:space="preserve">Exposure         </t>
        </r>
        <r>
          <rPr>
            <u/>
            <sz val="8"/>
            <color indexed="81"/>
            <rFont val="Symbol"/>
            <family val="1"/>
            <charset val="2"/>
          </rPr>
          <t>a</t>
        </r>
        <r>
          <rPr>
            <u/>
            <sz val="8"/>
            <color indexed="81"/>
            <rFont val="Tahoma"/>
            <family val="2"/>
          </rPr>
          <t xml:space="preserve">        zg(ft)      </t>
        </r>
        <r>
          <rPr>
            <u/>
            <sz val="8"/>
            <color indexed="81"/>
            <rFont val="Symbol"/>
            <family val="1"/>
            <charset val="2"/>
          </rPr>
          <t>a</t>
        </r>
        <r>
          <rPr>
            <u/>
            <sz val="8"/>
            <color indexed="81"/>
            <rFont val="Tahoma"/>
            <family val="2"/>
          </rPr>
          <t xml:space="preserve">^        b^        </t>
        </r>
        <r>
          <rPr>
            <u/>
            <sz val="8"/>
            <color indexed="81"/>
            <rFont val="Symbol"/>
            <family val="1"/>
            <charset val="2"/>
          </rPr>
          <t>a</t>
        </r>
        <r>
          <rPr>
            <u/>
            <sz val="8"/>
            <color indexed="81"/>
            <rFont val="Tahoma"/>
            <family val="2"/>
          </rPr>
          <t xml:space="preserve">(bar)        b(bar)        c      </t>
        </r>
        <r>
          <rPr>
            <u/>
            <sz val="8"/>
            <color indexed="81"/>
            <rFont val="Italic"/>
          </rPr>
          <t xml:space="preserve"> l</t>
        </r>
        <r>
          <rPr>
            <u/>
            <sz val="8"/>
            <color indexed="81"/>
            <rFont val="Tahoma"/>
            <family val="2"/>
          </rPr>
          <t xml:space="preserve">(ft)        </t>
        </r>
        <r>
          <rPr>
            <u/>
            <sz val="8"/>
            <color indexed="81"/>
            <rFont val="Symbol"/>
            <family val="1"/>
            <charset val="2"/>
          </rPr>
          <t>e</t>
        </r>
        <r>
          <rPr>
            <u/>
            <sz val="8"/>
            <color indexed="81"/>
            <rFont val="Tahoma"/>
            <family val="2"/>
          </rPr>
          <t xml:space="preserve">        z(min)</t>
        </r>
        <r>
          <rPr>
            <sz val="8"/>
            <color indexed="81"/>
            <rFont val="Tahoma"/>
            <family val="2"/>
          </rPr>
          <t xml:space="preserve">                                                                     
     B                7.0      1200      1/7       0.84       1/4.0         0.45        0.30     320     1/3.0       30
     C                9.5       900     1/9.5     1.00       1/6.5         0.65        0.20     500      1/5.0       15
     D               11.5      700    1/11.5    1.07       1/9.0         0.80        0.15     650      1/8.0        7
Note:  z(min) = minimum height used to ensure that the equivalent height z(bar) is greater of
                         0.6*h or z(min). For buildings with h&lt;= z(min), z(bar) shall be taken as z(min).</t>
        </r>
        <r>
          <rPr>
            <u/>
            <sz val="8"/>
            <color indexed="81"/>
            <rFont val="Tahoma"/>
            <family val="2"/>
          </rPr>
          <t xml:space="preserve">
</t>
        </r>
      </text>
    </comment>
    <comment ref="B124" authorId="3" shapeId="0">
      <text>
        <r>
          <rPr>
            <sz val="8"/>
            <color indexed="81"/>
            <rFont val="Tahoma"/>
            <family val="2"/>
          </rPr>
          <t xml:space="preserve">The </t>
        </r>
        <r>
          <rPr>
            <b/>
            <sz val="8"/>
            <color indexed="81"/>
            <rFont val="Tahoma"/>
            <family val="2"/>
          </rPr>
          <t>Equivalent Height of the Building, z(bar)</t>
        </r>
        <r>
          <rPr>
            <sz val="8"/>
            <color indexed="81"/>
            <rFont val="Tahoma"/>
            <family val="2"/>
          </rPr>
          <t xml:space="preserve">.
z(bar) = 0.6*h  but not less than z(min) from Table 6-2.
  where: h = building mean roof height </t>
        </r>
      </text>
    </comment>
    <comment ref="B125" authorId="3" shapeId="0">
      <text>
        <r>
          <rPr>
            <sz val="8"/>
            <color indexed="81"/>
            <rFont val="Tahoma"/>
            <family val="2"/>
          </rPr>
          <t xml:space="preserve">The </t>
        </r>
        <r>
          <rPr>
            <b/>
            <sz val="8"/>
            <color indexed="81"/>
            <rFont val="Tahoma"/>
            <family val="2"/>
          </rPr>
          <t>Intensity of Turbulence</t>
        </r>
        <r>
          <rPr>
            <sz val="8"/>
            <color indexed="81"/>
            <rFont val="Tahoma"/>
            <family val="2"/>
          </rPr>
          <t xml:space="preserve"> at height = z(bar).
Iz(bar) = c*(33/z(bar))^(1/6)</t>
        </r>
      </text>
    </comment>
    <comment ref="B126" authorId="3" shapeId="0">
      <text>
        <r>
          <rPr>
            <sz val="8"/>
            <color indexed="81"/>
            <rFont val="Tahoma"/>
            <family val="2"/>
          </rPr>
          <t xml:space="preserve">The </t>
        </r>
        <r>
          <rPr>
            <b/>
            <sz val="8"/>
            <color indexed="81"/>
            <rFont val="Tahoma"/>
            <family val="2"/>
          </rPr>
          <t>Integral Length Scale of Turbulence</t>
        </r>
        <r>
          <rPr>
            <sz val="8"/>
            <color indexed="81"/>
            <rFont val="Tahoma"/>
            <family val="2"/>
          </rPr>
          <t xml:space="preserve"> at the equivalent height.  
Lz(bar) = </t>
        </r>
        <r>
          <rPr>
            <sz val="8"/>
            <color indexed="81"/>
            <rFont val="Italic"/>
          </rPr>
          <t>l</t>
        </r>
        <r>
          <rPr>
            <sz val="8"/>
            <color indexed="81"/>
            <rFont val="Tahoma"/>
            <family val="2"/>
          </rPr>
          <t>*(z(bar)/33)^(</t>
        </r>
        <r>
          <rPr>
            <sz val="8"/>
            <color indexed="81"/>
            <rFont val="Symbol"/>
            <family val="1"/>
            <charset val="2"/>
          </rPr>
          <t xml:space="preserve">e </t>
        </r>
        <r>
          <rPr>
            <sz val="8"/>
            <color indexed="81"/>
            <rFont val="Tahoma"/>
            <family val="2"/>
          </rPr>
          <t>(bar))</t>
        </r>
      </text>
    </comment>
    <comment ref="B127" authorId="1" shapeId="0">
      <text>
        <r>
          <rPr>
            <sz val="8"/>
            <color indexed="81"/>
            <rFont val="Tahoma"/>
            <family val="2"/>
          </rPr>
          <t>Peak Factor for backround response:
gq = 3.4  (per Sect. 6.5.8.1)</t>
        </r>
      </text>
    </comment>
    <comment ref="B128" authorId="1" shapeId="0">
      <text>
        <r>
          <rPr>
            <sz val="8"/>
            <color indexed="81"/>
            <rFont val="Tahoma"/>
            <family val="2"/>
          </rPr>
          <t>Peak Factor for wind response:
gv = 3.4  (per Sect. 6.5.8.1)</t>
        </r>
      </text>
    </comment>
    <comment ref="B129" authorId="1" shapeId="0">
      <text>
        <r>
          <rPr>
            <sz val="8"/>
            <color indexed="81"/>
            <rFont val="Tahoma"/>
            <family val="2"/>
          </rPr>
          <t>Peak Factor for resonant response:
gr = (2*(LN(3600*f)))^(1/2)+0.577/(2*LN(3600*f))^(1/2)
Note: the symbol, f, was subsituted for the original symbol,
          n1, in the equation above.</t>
        </r>
      </text>
    </comment>
    <comment ref="B130" authorId="3" shapeId="0">
      <text>
        <r>
          <rPr>
            <sz val="8"/>
            <color indexed="81"/>
            <rFont val="Tahoma"/>
            <family val="2"/>
          </rPr>
          <t xml:space="preserve">The </t>
        </r>
        <r>
          <rPr>
            <b/>
            <sz val="8"/>
            <color indexed="81"/>
            <rFont val="Tahoma"/>
            <family val="2"/>
          </rPr>
          <t>Backround Response Factor, Q</t>
        </r>
        <r>
          <rPr>
            <sz val="8"/>
            <color indexed="81"/>
            <rFont val="Tahoma"/>
            <family val="2"/>
          </rPr>
          <t>.
Q = (1/(1+0.63*((B+h)/Lz(bar))^0.63))^(1/2)
   where: B = building width normal to wind
               h = building mean roof height</t>
        </r>
      </text>
    </comment>
    <comment ref="C132" authorId="3" shapeId="0">
      <text>
        <r>
          <rPr>
            <b/>
            <sz val="8"/>
            <color indexed="81"/>
            <rFont val="Tahoma"/>
            <family val="2"/>
          </rPr>
          <t>The Gust Effect Factor, G</t>
        </r>
        <r>
          <rPr>
            <sz val="8"/>
            <color indexed="81"/>
            <rFont val="Tahoma"/>
            <family val="2"/>
          </rPr>
          <t xml:space="preserve">, for a rigid building as calculated from Eqn. 6-4. </t>
        </r>
      </text>
    </comment>
    <comment ref="B133" authorId="3" shapeId="0">
      <text>
        <r>
          <rPr>
            <sz val="8"/>
            <color indexed="81"/>
            <rFont val="Tahoma"/>
            <family val="2"/>
          </rPr>
          <t xml:space="preserve">The </t>
        </r>
        <r>
          <rPr>
            <b/>
            <sz val="8"/>
            <color indexed="81"/>
            <rFont val="Tahoma"/>
            <family val="2"/>
          </rPr>
          <t>Gust Effect Factor, G</t>
        </r>
        <r>
          <rPr>
            <sz val="8"/>
            <color indexed="81"/>
            <rFont val="Tahoma"/>
            <family val="2"/>
          </rPr>
          <t>, for a "rigid" structure.
G = 0.925*((1+1.7*gq*Iz(bar)*Q)/(1+1.7*gv*Iz(bar)))
       where: gq = 3.4  and gv = 3.4</t>
        </r>
      </text>
    </comment>
    <comment ref="C135" authorId="3" shapeId="0">
      <text>
        <r>
          <rPr>
            <sz val="8"/>
            <color indexed="81"/>
            <rFont val="Tahoma"/>
            <family val="2"/>
          </rPr>
          <t xml:space="preserve">The </t>
        </r>
        <r>
          <rPr>
            <b/>
            <sz val="8"/>
            <color indexed="81"/>
            <rFont val="Tahoma"/>
            <family val="2"/>
          </rPr>
          <t>Gust Effect Factor, Gf</t>
        </r>
        <r>
          <rPr>
            <sz val="8"/>
            <color indexed="81"/>
            <rFont val="Tahoma"/>
            <family val="2"/>
          </rPr>
          <t>, for a  flexible building as calculated from Eqn 6-8.  Note:  calculations below are applicable only for "flexible" buildings which have a natural frequency, f &lt; 1 hz.</t>
        </r>
      </text>
    </comment>
    <comment ref="B140" authorId="3" shapeId="0">
      <text>
        <r>
          <rPr>
            <sz val="8"/>
            <color indexed="81"/>
            <rFont val="Tahoma"/>
            <family val="2"/>
          </rPr>
          <t xml:space="preserve">The </t>
        </r>
        <r>
          <rPr>
            <b/>
            <sz val="8"/>
            <color indexed="81"/>
            <rFont val="Tahoma"/>
            <family val="2"/>
          </rPr>
          <t>Basic Wind Speed, V</t>
        </r>
        <r>
          <rPr>
            <sz val="8"/>
            <color indexed="81"/>
            <rFont val="Tahoma"/>
            <family val="2"/>
          </rPr>
          <t>, converted from units of mph to ft/sec.
V(fps) = V(mph)*(88/60)</t>
        </r>
      </text>
    </comment>
    <comment ref="B141" authorId="3" shapeId="0">
      <text>
        <r>
          <rPr>
            <sz val="8"/>
            <color indexed="81"/>
            <rFont val="Tahoma"/>
            <family val="2"/>
          </rPr>
          <t>The</t>
        </r>
        <r>
          <rPr>
            <b/>
            <sz val="8"/>
            <color indexed="81"/>
            <rFont val="Tahoma"/>
            <family val="2"/>
          </rPr>
          <t xml:space="preserve"> Mean Hourly Wind Speed, V(bar,zbar)</t>
        </r>
        <r>
          <rPr>
            <sz val="8"/>
            <color indexed="81"/>
            <rFont val="Tahoma"/>
            <family val="2"/>
          </rPr>
          <t>.
V(bar,zbar) = b(bar)*(z(bar)/33)^(</t>
        </r>
        <r>
          <rPr>
            <sz val="8"/>
            <color indexed="81"/>
            <rFont val="Symbol"/>
            <family val="1"/>
            <charset val="2"/>
          </rPr>
          <t>a</t>
        </r>
        <r>
          <rPr>
            <sz val="8"/>
            <color indexed="81"/>
            <rFont val="Tahoma"/>
            <family val="2"/>
          </rPr>
          <t>(bar))*V*(88/60)</t>
        </r>
      </text>
    </comment>
    <comment ref="B142" authorId="3" shapeId="0">
      <text>
        <r>
          <rPr>
            <sz val="8"/>
            <color indexed="81"/>
            <rFont val="Tahoma"/>
            <family val="2"/>
          </rPr>
          <t>N1 = f*Lz(bar)/(V(bar,zbar))
Note: the symbol, f, was subsituted for
          the original symbol, n1, in the 
          equation above.</t>
        </r>
      </text>
    </comment>
    <comment ref="B143" authorId="3" shapeId="0">
      <text>
        <r>
          <rPr>
            <sz val="8"/>
            <color indexed="81"/>
            <rFont val="Tahoma"/>
            <family val="2"/>
          </rPr>
          <t>Rn = 7.47*N1/(1+10.3*N1)^(5/3)</t>
        </r>
      </text>
    </comment>
    <comment ref="B144" authorId="3" shapeId="0">
      <text>
        <r>
          <rPr>
            <sz val="8"/>
            <color indexed="81"/>
            <rFont val="Symbol"/>
            <family val="1"/>
            <charset val="2"/>
          </rPr>
          <t>h</t>
        </r>
        <r>
          <rPr>
            <sz val="8"/>
            <color indexed="81"/>
            <rFont val="Tahoma"/>
            <family val="2"/>
          </rPr>
          <t>h = 4.6*f*h/(V(bar,zbar))
Note: the symbol, f, was subsituted
          for the original symbol, n1, in
          the equation above.</t>
        </r>
      </text>
    </comment>
    <comment ref="B145" authorId="3" shapeId="0">
      <text>
        <r>
          <rPr>
            <sz val="8"/>
            <color indexed="81"/>
            <rFont val="Tahoma"/>
            <family val="2"/>
          </rPr>
          <t>Rh = (1/</t>
        </r>
        <r>
          <rPr>
            <sz val="8"/>
            <color indexed="81"/>
            <rFont val="Symbol"/>
            <family val="1"/>
            <charset val="2"/>
          </rPr>
          <t>h</t>
        </r>
        <r>
          <rPr>
            <sz val="8"/>
            <color indexed="81"/>
            <rFont val="Tahoma"/>
            <family val="2"/>
          </rPr>
          <t>h)-1/(2*</t>
        </r>
        <r>
          <rPr>
            <sz val="8"/>
            <color indexed="81"/>
            <rFont val="Symbol"/>
            <family val="1"/>
            <charset val="2"/>
          </rPr>
          <t>h</t>
        </r>
        <r>
          <rPr>
            <sz val="8"/>
            <color indexed="81"/>
            <rFont val="Tahoma"/>
            <family val="2"/>
          </rPr>
          <t>h^2)*(1-e^(-2*</t>
        </r>
        <r>
          <rPr>
            <sz val="8"/>
            <color indexed="81"/>
            <rFont val="Symbol"/>
            <family val="1"/>
            <charset val="2"/>
          </rPr>
          <t>h</t>
        </r>
        <r>
          <rPr>
            <sz val="8"/>
            <color indexed="81"/>
            <rFont val="Tahoma"/>
            <family val="2"/>
          </rPr>
          <t xml:space="preserve">h))    for </t>
        </r>
        <r>
          <rPr>
            <sz val="8"/>
            <color indexed="81"/>
            <rFont val="Symbol"/>
            <family val="1"/>
            <charset val="2"/>
          </rPr>
          <t>h</t>
        </r>
        <r>
          <rPr>
            <sz val="8"/>
            <color indexed="81"/>
            <rFont val="Tahoma"/>
            <family val="2"/>
          </rPr>
          <t xml:space="preserve">h &gt; 0
or: Rh = 1    for </t>
        </r>
        <r>
          <rPr>
            <sz val="8"/>
            <color indexed="81"/>
            <rFont val="Symbol"/>
            <family val="1"/>
            <charset val="2"/>
          </rPr>
          <t>h</t>
        </r>
        <r>
          <rPr>
            <sz val="8"/>
            <color indexed="81"/>
            <rFont val="Tahoma"/>
            <family val="2"/>
          </rPr>
          <t>h = 0</t>
        </r>
      </text>
    </comment>
    <comment ref="B146" authorId="3" shapeId="0">
      <text>
        <r>
          <rPr>
            <sz val="8"/>
            <color indexed="81"/>
            <rFont val="Symbol"/>
            <family val="1"/>
            <charset val="2"/>
          </rPr>
          <t>h</t>
        </r>
        <r>
          <rPr>
            <sz val="8"/>
            <color indexed="81"/>
            <rFont val="Tahoma"/>
            <family val="2"/>
          </rPr>
          <t>B =4.6*f*B/(V(bar,zbar))
  where: B = building width normal to wind
Note: the symbol, f, was subsituted
          for the original symbol, n1, in
          the equation above.</t>
        </r>
      </text>
    </comment>
    <comment ref="B147" authorId="3" shapeId="0">
      <text>
        <r>
          <rPr>
            <sz val="8"/>
            <color indexed="81"/>
            <rFont val="Tahoma"/>
            <family val="2"/>
          </rPr>
          <t>RB = (1/</t>
        </r>
        <r>
          <rPr>
            <sz val="8"/>
            <color indexed="81"/>
            <rFont val="Symbol"/>
            <family val="1"/>
            <charset val="2"/>
          </rPr>
          <t>h</t>
        </r>
        <r>
          <rPr>
            <sz val="8"/>
            <color indexed="81"/>
            <rFont val="Tahoma"/>
            <family val="2"/>
          </rPr>
          <t>B)-1/(2*</t>
        </r>
        <r>
          <rPr>
            <sz val="8"/>
            <color indexed="81"/>
            <rFont val="Symbol"/>
            <family val="1"/>
            <charset val="2"/>
          </rPr>
          <t>h</t>
        </r>
        <r>
          <rPr>
            <sz val="8"/>
            <color indexed="81"/>
            <rFont val="Tahoma"/>
            <family val="2"/>
          </rPr>
          <t>B^2)*(1-e^(-2*</t>
        </r>
        <r>
          <rPr>
            <sz val="8"/>
            <color indexed="81"/>
            <rFont val="Symbol"/>
            <family val="1"/>
            <charset val="2"/>
          </rPr>
          <t>h</t>
        </r>
        <r>
          <rPr>
            <sz val="8"/>
            <color indexed="81"/>
            <rFont val="Tahoma"/>
            <family val="2"/>
          </rPr>
          <t xml:space="preserve">B))    for </t>
        </r>
        <r>
          <rPr>
            <sz val="8"/>
            <color indexed="81"/>
            <rFont val="Symbol"/>
            <family val="1"/>
            <charset val="2"/>
          </rPr>
          <t>h</t>
        </r>
        <r>
          <rPr>
            <sz val="8"/>
            <color indexed="81"/>
            <rFont val="Tahoma"/>
            <family val="2"/>
          </rPr>
          <t>B &gt; 0
or: RB = 1    for</t>
        </r>
        <r>
          <rPr>
            <sz val="8"/>
            <color indexed="81"/>
            <rFont val="GreekS"/>
          </rPr>
          <t xml:space="preserve"> </t>
        </r>
        <r>
          <rPr>
            <sz val="8"/>
            <color indexed="81"/>
            <rFont val="Symbol"/>
            <family val="1"/>
            <charset val="2"/>
          </rPr>
          <t>h</t>
        </r>
        <r>
          <rPr>
            <sz val="8"/>
            <color indexed="81"/>
            <rFont val="Tahoma"/>
            <family val="2"/>
          </rPr>
          <t>B = 0</t>
        </r>
      </text>
    </comment>
    <comment ref="B148" authorId="3" shapeId="0">
      <text>
        <r>
          <rPr>
            <sz val="8"/>
            <color indexed="81"/>
            <rFont val="Symbol"/>
            <family val="1"/>
            <charset val="2"/>
          </rPr>
          <t>h</t>
        </r>
        <r>
          <rPr>
            <sz val="8"/>
            <color indexed="81"/>
            <rFont val="Tahoma"/>
            <family val="2"/>
          </rPr>
          <t>L = 15.4*f*L/(V(bar,zbar))
  where: L = depth of building parallel to wind
Note: the symbol, f, was subsituted
          for the original symbol, n1, in
          the equation above.</t>
        </r>
      </text>
    </comment>
    <comment ref="B149" authorId="3" shapeId="0">
      <text>
        <r>
          <rPr>
            <sz val="8"/>
            <color indexed="81"/>
            <rFont val="Tahoma"/>
            <family val="2"/>
          </rPr>
          <t>RL = (1/</t>
        </r>
        <r>
          <rPr>
            <sz val="8"/>
            <color indexed="81"/>
            <rFont val="Symbol"/>
            <family val="1"/>
            <charset val="2"/>
          </rPr>
          <t>h</t>
        </r>
        <r>
          <rPr>
            <sz val="8"/>
            <color indexed="81"/>
            <rFont val="Tahoma"/>
            <family val="2"/>
          </rPr>
          <t>L)-1/(2*</t>
        </r>
        <r>
          <rPr>
            <sz val="8"/>
            <color indexed="81"/>
            <rFont val="Symbol"/>
            <family val="1"/>
            <charset val="2"/>
          </rPr>
          <t>h</t>
        </r>
        <r>
          <rPr>
            <sz val="8"/>
            <color indexed="81"/>
            <rFont val="Tahoma"/>
            <family val="2"/>
          </rPr>
          <t>L^2)*(1-e^(-2*</t>
        </r>
        <r>
          <rPr>
            <sz val="8"/>
            <color indexed="81"/>
            <rFont val="Symbol"/>
            <family val="1"/>
            <charset val="2"/>
          </rPr>
          <t>h</t>
        </r>
        <r>
          <rPr>
            <sz val="8"/>
            <color indexed="81"/>
            <rFont val="Tahoma"/>
            <family val="2"/>
          </rPr>
          <t>L))    for</t>
        </r>
        <r>
          <rPr>
            <sz val="8"/>
            <color indexed="81"/>
            <rFont val="GreekS"/>
          </rPr>
          <t xml:space="preserve"> </t>
        </r>
        <r>
          <rPr>
            <sz val="8"/>
            <color indexed="81"/>
            <rFont val="Symbol"/>
            <family val="1"/>
            <charset val="2"/>
          </rPr>
          <t>h</t>
        </r>
        <r>
          <rPr>
            <sz val="8"/>
            <color indexed="81"/>
            <rFont val="Tahoma"/>
            <family val="2"/>
          </rPr>
          <t xml:space="preserve">L &gt; 0
or: RL = 1    for </t>
        </r>
        <r>
          <rPr>
            <sz val="8"/>
            <color indexed="81"/>
            <rFont val="Symbol"/>
            <family val="1"/>
            <charset val="2"/>
          </rPr>
          <t>h</t>
        </r>
        <r>
          <rPr>
            <sz val="8"/>
            <color indexed="81"/>
            <rFont val="Tahoma"/>
            <family val="2"/>
          </rPr>
          <t>L = 0</t>
        </r>
      </text>
    </comment>
    <comment ref="B150" authorId="3" shapeId="0">
      <text>
        <r>
          <rPr>
            <sz val="8"/>
            <color indexed="81"/>
            <rFont val="Tahoma"/>
            <family val="2"/>
          </rPr>
          <t xml:space="preserve">The </t>
        </r>
        <r>
          <rPr>
            <b/>
            <sz val="8"/>
            <color indexed="81"/>
            <rFont val="Tahoma"/>
            <family val="2"/>
          </rPr>
          <t>Resonant Response Factor, R</t>
        </r>
        <r>
          <rPr>
            <sz val="8"/>
            <color indexed="81"/>
            <rFont val="Tahoma"/>
            <family val="2"/>
          </rPr>
          <t>.
R = ((1/</t>
        </r>
        <r>
          <rPr>
            <sz val="8"/>
            <color indexed="81"/>
            <rFont val="Symbol"/>
            <family val="1"/>
            <charset val="2"/>
          </rPr>
          <t>b</t>
        </r>
        <r>
          <rPr>
            <sz val="8"/>
            <color indexed="81"/>
            <rFont val="Tahoma"/>
            <family val="2"/>
          </rPr>
          <t>)*Rn*Rh*Rb*(0.53+0.47*Rd))^1/2</t>
        </r>
      </text>
    </comment>
    <comment ref="B151" authorId="3" shapeId="0">
      <text>
        <r>
          <rPr>
            <sz val="8"/>
            <color indexed="81"/>
            <rFont val="Tahoma"/>
            <family val="2"/>
          </rPr>
          <t xml:space="preserve">The </t>
        </r>
        <r>
          <rPr>
            <b/>
            <sz val="8"/>
            <color indexed="81"/>
            <rFont val="Tahoma"/>
            <family val="2"/>
          </rPr>
          <t>Gust Effect Factor, Gf</t>
        </r>
        <r>
          <rPr>
            <sz val="8"/>
            <color indexed="81"/>
            <rFont val="Tahoma"/>
            <family val="2"/>
          </rPr>
          <t>, for a "flexible" building.
Gf = 0.925*(1+1.7*Iz(bar)*(gq^2*Q^2+gr^2*R^2)^(1/2))/(1+1.7*gv*Iz(bar))</t>
        </r>
      </text>
    </comment>
    <comment ref="B152" authorId="1" shapeId="0">
      <text>
        <r>
          <rPr>
            <sz val="8"/>
            <color indexed="81"/>
            <rFont val="Tahoma"/>
            <family val="2"/>
          </rPr>
          <t>For a rigid building, the smaller of the value of either 0.85 or the value as calculated in item #2 is used for the gust effect factor, G.</t>
        </r>
      </text>
    </comment>
  </commentList>
</comments>
</file>

<file path=xl/comments3.xml><?xml version="1.0" encoding="utf-8"?>
<comments xmlns="http://schemas.openxmlformats.org/spreadsheetml/2006/main">
  <authors>
    <author xml:space="preserve"> </author>
    <author>ATOMANOV</author>
    <author>Bob Dalpiaz</author>
    <author>Alex Tomanovich</author>
    <author>4892</author>
    <author>O'Neal, Inc.</author>
  </authors>
  <commentList>
    <comment ref="AA1" authorId="0" shapeId="0">
      <text>
        <r>
          <rPr>
            <sz val="8"/>
            <color indexed="81"/>
            <rFont val="Tahoma"/>
            <family val="2"/>
          </rPr>
          <t xml:space="preserve">            "</t>
        </r>
        <r>
          <rPr>
            <b/>
            <sz val="8"/>
            <color indexed="81"/>
            <rFont val="Tahoma"/>
            <family val="2"/>
          </rPr>
          <t>ASCE710W.xls</t>
        </r>
        <r>
          <rPr>
            <sz val="8"/>
            <color indexed="81"/>
            <rFont val="Tahoma"/>
            <family val="2"/>
          </rPr>
          <t>"
written by: David Taylor, P.E.
based on a spreadsheet by:  Alex Tomanovich, P.E.</t>
        </r>
      </text>
    </comment>
    <comment ref="H3" authorId="1" shapeId="0">
      <text>
        <r>
          <rPr>
            <b/>
            <sz val="8"/>
            <color indexed="81"/>
            <rFont val="Tahoma"/>
            <family val="2"/>
          </rPr>
          <t xml:space="preserve">Note: </t>
        </r>
        <r>
          <rPr>
            <sz val="8"/>
            <color indexed="81"/>
            <rFont val="Tahoma"/>
            <family val="2"/>
          </rPr>
          <t xml:space="preserve"> This program assumes buildings are a maximum of 500 feet tall.</t>
        </r>
      </text>
    </comment>
    <comment ref="B9" authorId="2" shapeId="0">
      <text>
        <r>
          <rPr>
            <sz val="8"/>
            <color indexed="81"/>
            <rFont val="Tahoma"/>
            <family val="2"/>
          </rPr>
          <t>The</t>
        </r>
        <r>
          <rPr>
            <b/>
            <sz val="8"/>
            <color indexed="81"/>
            <rFont val="Tahoma"/>
            <family val="2"/>
          </rPr>
          <t xml:space="preserve"> Basic Design Wind Speed, V (mph)</t>
        </r>
        <r>
          <rPr>
            <sz val="8"/>
            <color indexed="81"/>
            <rFont val="Tahoma"/>
            <family val="2"/>
          </rPr>
          <t xml:space="preserve">, corresponds to a 3-second gust speed at 33' above ground in Exposure Category "C" and is associated with an annual probability for Risk Category of being equalled or exceeded (x-year mean recurrence interval per Risk Category).
</t>
        </r>
        <r>
          <rPr>
            <b/>
            <sz val="8"/>
            <color indexed="81"/>
            <rFont val="Tahoma"/>
            <family val="2"/>
          </rPr>
          <t>For Basic Wind Speed Map (Fig. 26.5-1A-C) see 'Wind Map' worksheet of this workbook.</t>
        </r>
      </text>
    </comment>
    <comment ref="B10" authorId="3" shapeId="0">
      <text>
        <r>
          <rPr>
            <b/>
            <sz val="8"/>
            <color indexed="81"/>
            <rFont val="Tahoma"/>
            <family val="2"/>
          </rPr>
          <t xml:space="preserve">                                                                          TABLE 1-1</t>
        </r>
        <r>
          <rPr>
            <b/>
            <u/>
            <sz val="8"/>
            <color indexed="81"/>
            <rFont val="Tahoma"/>
            <family val="2"/>
          </rPr>
          <t xml:space="preserve">
Occupancy Category of Buildings and Other Structures for Flood, Wind, Snow, Earthquake, and Ice Loads</t>
        </r>
        <r>
          <rPr>
            <sz val="8"/>
            <color indexed="81"/>
            <rFont val="Tahoma"/>
            <family val="2"/>
          </rPr>
          <t xml:space="preserve">                                                                                                      
</t>
        </r>
        <r>
          <rPr>
            <b/>
            <u/>
            <sz val="8"/>
            <color indexed="81"/>
            <rFont val="Tahoma"/>
            <family val="2"/>
          </rPr>
          <t xml:space="preserve">Nature of Occupancy                                                                                                                    Occupancy Category </t>
        </r>
        <r>
          <rPr>
            <sz val="8"/>
            <color indexed="81"/>
            <rFont val="Tahoma"/>
            <family val="2"/>
          </rPr>
          <t xml:space="preserve">
Buildings and structures that represent a low hazard to human life in the event of failure including,                  I
  but not limited to:
     - Agriculture facilities                                                                                                             
     - Certain temporary facilities
</t>
        </r>
        <r>
          <rPr>
            <u/>
            <sz val="8"/>
            <color indexed="81"/>
            <rFont val="Tahoma"/>
            <family val="2"/>
          </rPr>
          <t xml:space="preserve">     - Minor storage facilities                                                                                                                                              </t>
        </r>
        <r>
          <rPr>
            <sz val="8"/>
            <color indexed="81"/>
            <rFont val="Tahoma"/>
            <family val="2"/>
          </rPr>
          <t xml:space="preserve">       
</t>
        </r>
        <r>
          <rPr>
            <u/>
            <sz val="8"/>
            <color indexed="81"/>
            <rFont val="Tahoma"/>
            <family val="2"/>
          </rPr>
          <t xml:space="preserve">Buildings and other structures except those listed in Categories I, III and IV                                                      II        </t>
        </r>
        <r>
          <rPr>
            <sz val="8"/>
            <color indexed="81"/>
            <rFont val="Tahoma"/>
            <family val="2"/>
          </rPr>
          <t xml:space="preserve">
Buildings and other structures that represent a substantial hazard to human life in the event of                       III      
  failure including, but not limited to:
     - Buildings and other structures where more than 300 people congregate in one area
     - Buildings and other structures with day-care facilities with capacity greater than 150
     - Elementary or secondary school facilities with capacity greater than 250
     - Colleges &amp; adult education facilities with a capacity greater than 500
     - Health care facilities with a capacity greater than 50 resident patients but not having surgery
         or emergency treatment facilities
     - Jails and detention facilities
Buildings and other structures, not includes in Occupancy Category IV, with potential to cause 
  substantial economic impact and/or mass disruption of day-to-day civilian life in event of failure, 
  including, but not limited to:
     - Power generating stations, water treatment facilities, sewage treatment facilities, and
         telecommunication centers
     - Buildings and structures not included in Category IV containing sufficient quantities of toxic,
</t>
        </r>
        <r>
          <rPr>
            <u/>
            <sz val="8"/>
            <color indexed="81"/>
            <rFont val="Tahoma"/>
            <family val="2"/>
          </rPr>
          <t xml:space="preserve">         explosive, or other hazardous materials dangerous to the public if released                                                        </t>
        </r>
        <r>
          <rPr>
            <sz val="8"/>
            <color indexed="81"/>
            <rFont val="Tahoma"/>
            <family val="2"/>
          </rPr>
          <t xml:space="preserve">
Buildings and other structures designated as essential facilities including, but not limited to:                              IV
     - Hospitals and health care facilities having surgery or emergency treatment facilities
     - Fire, rescue and police stations and emergency vehicle garages
     - Designated earthquake, hurricane or other emergency shelters
     - Designated emergency preparedness, communication, and operation centers and other
         facilities required for emergency response 
     - Power-generating stations and other public utility facilities required in an emergency
     - Ancillary structures required foroperation of Category IV structures during an emergency
     - Aviation control towers, air traffic control centers and emergency aircraft hangars
     - Water storage facilities and pump structures required to maintain water pressure for fire suppression
     - Buildings and other structures having critical national defense functions
     - Buildings and structures containing extremelyhazardous materials where quantity of material 
         exceeds a threshhold quantity established by authority having jurisdiction </t>
        </r>
      </text>
    </comment>
    <comment ref="B11" authorId="2" shapeId="0">
      <text>
        <r>
          <rPr>
            <b/>
            <sz val="8"/>
            <color indexed="81"/>
            <rFont val="Tahoma"/>
            <family val="2"/>
          </rPr>
          <t>Surface Roughness Categories</t>
        </r>
        <r>
          <rPr>
            <sz val="8"/>
            <color indexed="81"/>
            <rFont val="Tahoma"/>
            <family val="2"/>
          </rPr>
          <t xml:space="preserve"> for the purpose of assigning </t>
        </r>
        <r>
          <rPr>
            <b/>
            <sz val="8"/>
            <color indexed="81"/>
            <rFont val="Tahoma"/>
            <family val="2"/>
          </rPr>
          <t>Exposure</t>
        </r>
        <r>
          <rPr>
            <sz val="8"/>
            <color indexed="81"/>
            <rFont val="Tahoma"/>
            <family val="2"/>
          </rPr>
          <t xml:space="preserve"> </t>
        </r>
        <r>
          <rPr>
            <b/>
            <sz val="8"/>
            <color indexed="81"/>
            <rFont val="Tahoma"/>
            <family val="2"/>
          </rPr>
          <t>Category</t>
        </r>
        <r>
          <rPr>
            <sz val="8"/>
            <color indexed="81"/>
            <rFont val="Tahoma"/>
            <family val="2"/>
          </rPr>
          <t xml:space="preserve"> are defined as follows:
</t>
        </r>
        <r>
          <rPr>
            <b/>
            <sz val="8"/>
            <color indexed="81"/>
            <rFont val="Tahoma"/>
            <family val="2"/>
          </rPr>
          <t xml:space="preserve">Surface Roughness "B":
</t>
        </r>
        <r>
          <rPr>
            <sz val="8"/>
            <color indexed="81"/>
            <rFont val="Tahoma"/>
            <family val="2"/>
          </rPr>
          <t xml:space="preserve">Urban and suburban areas, wooded areas or other terrain with numerous closely spaced obstructions having the size of single family dwellings or larger.
</t>
        </r>
        <r>
          <rPr>
            <b/>
            <sz val="8"/>
            <color indexed="81"/>
            <rFont val="Tahoma"/>
            <family val="2"/>
          </rPr>
          <t xml:space="preserve">Surface Roughness "C":
</t>
        </r>
        <r>
          <rPr>
            <sz val="8"/>
            <color indexed="81"/>
            <rFont val="Tahoma"/>
            <family val="2"/>
          </rPr>
          <t>Open terrain with scattered obstructions having heights generally &lt; 30 ft.  This category includes flat open country, grass lands, and all water surfaces in hurricane prone regions.</t>
        </r>
        <r>
          <rPr>
            <sz val="8"/>
            <color indexed="81"/>
            <rFont val="Tahoma"/>
            <family val="2"/>
          </rPr>
          <t xml:space="preserve">
</t>
        </r>
        <r>
          <rPr>
            <b/>
            <sz val="8"/>
            <color indexed="81"/>
            <rFont val="Tahoma"/>
            <family val="2"/>
          </rPr>
          <t>Surface Roughness "D":</t>
        </r>
        <r>
          <rPr>
            <sz val="8"/>
            <color indexed="81"/>
            <rFont val="Tahoma"/>
            <family val="2"/>
          </rPr>
          <t xml:space="preserve">
Flat, unobstructed areas and water surfaces outside hurricane prone regions.  This category includes smooth mud flats, salt flats, and unbroken ice.
</t>
        </r>
        <r>
          <rPr>
            <b/>
            <sz val="8"/>
            <color indexed="81"/>
            <rFont val="Tahoma"/>
            <family val="2"/>
          </rPr>
          <t>Exposure Categories</t>
        </r>
        <r>
          <rPr>
            <sz val="8"/>
            <color indexed="81"/>
            <rFont val="Tahoma"/>
            <family val="2"/>
          </rPr>
          <t xml:space="preserve"> are defined as follows:
</t>
        </r>
        <r>
          <rPr>
            <b/>
            <sz val="8"/>
            <color indexed="81"/>
            <rFont val="Tahoma"/>
            <family val="2"/>
          </rPr>
          <t xml:space="preserve">Exposure "B":
</t>
        </r>
        <r>
          <rPr>
            <sz val="8"/>
            <color indexed="81"/>
            <rFont val="Tahoma"/>
            <family val="2"/>
          </rPr>
          <t xml:space="preserve">Exposure B shall apply where the ground surface roughness condition, as defined by Surface Roughness B, prevails in the upwind direction for a distance of at least 2600 ft. or 20 times the building height, whichever is greater.
   Exception: For buildings whose mean roof height &lt;= 30 ft., the upwind 
   distance may be reduced to 1500 ft.
</t>
        </r>
        <r>
          <rPr>
            <b/>
            <sz val="8"/>
            <color indexed="81"/>
            <rFont val="Tahoma"/>
            <family val="2"/>
          </rPr>
          <t xml:space="preserve">Exposure "C":
</t>
        </r>
        <r>
          <rPr>
            <sz val="8"/>
            <color indexed="81"/>
            <rFont val="Tahoma"/>
            <family val="2"/>
          </rPr>
          <t xml:space="preserve">Exposure C shall apply for all cases where exposures B and D do not apply.
</t>
        </r>
        <r>
          <rPr>
            <b/>
            <sz val="8"/>
            <color indexed="81"/>
            <rFont val="Tahoma"/>
            <family val="2"/>
          </rPr>
          <t>Exposure "D":</t>
        </r>
        <r>
          <rPr>
            <sz val="8"/>
            <color indexed="81"/>
            <rFont val="Tahoma"/>
            <family val="2"/>
          </rPr>
          <t xml:space="preserve">
Exposure D shall apply where the ground surface roughness, as defined by Surface Roughness D, prevails in the upwind diection for a distance &gt;= 5,000 ft. or 20 times the building height, whichever is greater.  Exposure D shall extend into downwind areas of Surface Roughness B or C for a distance of 600 ft. or 20 times the height of the building, whichever is greater.</t>
        </r>
      </text>
    </comment>
    <comment ref="B13" authorId="0" shapeId="0">
      <text>
        <r>
          <rPr>
            <sz val="8"/>
            <color indexed="81"/>
            <rFont val="Tahoma"/>
            <family val="2"/>
          </rPr>
          <t>The eave height, 'he', is the distance from the ground surface adjacent to the building to the roof eave line at a particular wall.  
If the height of the eave varies along the wall, the average height shall be used.</t>
        </r>
      </text>
    </comment>
    <comment ref="B16" authorId="2" shapeId="0">
      <text>
        <r>
          <rPr>
            <sz val="8"/>
            <color indexed="81"/>
            <rFont val="Tahoma"/>
            <family val="2"/>
          </rPr>
          <t>This program assumes that a Gable roof is symmetrical, as the ridge line is assumed in the center of the building width, L.
For flat roofs (roof angle = 0 degrees), either Gable (G) or Monoslope (M) may be used.</t>
        </r>
      </text>
    </comment>
    <comment ref="B17" authorId="2" shapeId="0">
      <text>
        <r>
          <rPr>
            <sz val="8"/>
            <color indexed="81"/>
            <rFont val="Tahoma"/>
            <family val="2"/>
          </rPr>
          <t>The</t>
        </r>
        <r>
          <rPr>
            <b/>
            <sz val="8"/>
            <color indexed="81"/>
            <rFont val="Tahoma"/>
            <family val="2"/>
          </rPr>
          <t xml:space="preserve"> Topographic Factor, Kzt</t>
        </r>
        <r>
          <rPr>
            <sz val="8"/>
            <color indexed="81"/>
            <rFont val="Tahoma"/>
            <family val="2"/>
          </rPr>
          <t>, accounts for effect of wind speed-up over isolated hills and escarpments (</t>
        </r>
        <r>
          <rPr>
            <b/>
            <sz val="8"/>
            <color indexed="81"/>
            <rFont val="Tahoma"/>
            <family val="2"/>
          </rPr>
          <t>Sect. 26.8</t>
        </r>
        <r>
          <rPr>
            <sz val="8"/>
            <color indexed="81"/>
            <rFont val="Tahoma"/>
            <family val="2"/>
          </rPr>
          <t xml:space="preserve"> and </t>
        </r>
        <r>
          <rPr>
            <b/>
            <sz val="8"/>
            <color indexed="81"/>
            <rFont val="Tahoma"/>
            <family val="2"/>
          </rPr>
          <t>Fig. 26.8-1</t>
        </r>
        <r>
          <rPr>
            <sz val="8"/>
            <color indexed="81"/>
            <rFont val="Tahoma"/>
            <family val="2"/>
          </rPr>
          <t xml:space="preserve">).
</t>
        </r>
        <r>
          <rPr>
            <b/>
            <sz val="8"/>
            <color indexed="81"/>
            <rFont val="Tahoma"/>
            <family val="2"/>
          </rPr>
          <t>Kzt = (1+K1*K2*K3)^2</t>
        </r>
        <r>
          <rPr>
            <sz val="8"/>
            <color indexed="81"/>
            <rFont val="Tahoma"/>
            <family val="2"/>
          </rPr>
          <t xml:space="preserve">   (Eq. 26.8-1), where:
H   = height of hill or escarpment relative to the upwind terrain, in feet.
Lh  = Distance upwind of crest to where the difference in ground elevation is    
         half the height of hill or escarpment, in feet.
K1 = factor to account for shape of topographic feature and maximum   
        speed-up effect.
K2 = factor to account for reduction in speed-up with distance upwind or     
        downwind of crest.
K3 = factor to account for reduction in speed-up with height above local terrain.
x = distance (upwind or downwind) from the crest to the building site, in feet.
z = height above local ground level, in feet.
</t>
        </r>
        <r>
          <rPr>
            <b/>
            <sz val="8"/>
            <color indexed="81"/>
            <rFont val="Tahoma"/>
            <family val="2"/>
          </rPr>
          <t>The effect of wind speed-up shall not be required to be considered (Kzt = 1.0) when H/Lh &lt; 0.2, or H &lt; 15' for Exposures 'C' and 'D', or H &lt; 60' for Exposure 'B'.</t>
        </r>
      </text>
    </comment>
    <comment ref="B18" authorId="4" shapeId="0">
      <text>
        <r>
          <rPr>
            <b/>
            <u/>
            <sz val="8"/>
            <color indexed="81"/>
            <rFont val="Tahoma"/>
            <family val="2"/>
          </rPr>
          <t xml:space="preserve">Wind Directionality Factor, Kd (Table 26.6)
             </t>
        </r>
        <r>
          <rPr>
            <u/>
            <sz val="8"/>
            <color indexed="81"/>
            <rFont val="Tahoma"/>
            <family val="2"/>
          </rPr>
          <t xml:space="preserve">Structure Type                                  Kd  
</t>
        </r>
        <r>
          <rPr>
            <sz val="8"/>
            <color indexed="81"/>
            <rFont val="Tahoma"/>
            <family val="2"/>
          </rPr>
          <t xml:space="preserve">
Buildings
    Main Wind-Force Resisting System           0.85
    Components and Cladding                        0.85
Note:  this factor shall only be applied when
           used in conjunction with load combinations
           specified in Sect. 2.3 and 2.4.
           Otherwise, use Kd = 1.0. </t>
        </r>
      </text>
    </comment>
    <comment ref="B19" authorId="2" shapeId="0">
      <text>
        <r>
          <rPr>
            <sz val="8"/>
            <color indexed="81"/>
            <rFont val="Tahoma"/>
            <family val="2"/>
          </rPr>
          <t>This worksheet assumes either</t>
        </r>
        <r>
          <rPr>
            <b/>
            <sz val="8"/>
            <color indexed="81"/>
            <rFont val="Tahoma"/>
            <family val="2"/>
          </rPr>
          <t xml:space="preserve"> Enclosed</t>
        </r>
        <r>
          <rPr>
            <sz val="8"/>
            <color indexed="81"/>
            <rFont val="Tahoma"/>
            <family val="2"/>
          </rPr>
          <t xml:space="preserve"> or </t>
        </r>
        <r>
          <rPr>
            <b/>
            <sz val="8"/>
            <color indexed="81"/>
            <rFont val="Tahoma"/>
            <family val="2"/>
          </rPr>
          <t>Partially Enclosed</t>
        </r>
        <r>
          <rPr>
            <sz val="8"/>
            <color indexed="81"/>
            <rFont val="Tahoma"/>
            <family val="2"/>
          </rPr>
          <t xml:space="preserve"> buildings</t>
        </r>
        <r>
          <rPr>
            <sz val="8"/>
            <color indexed="81"/>
            <rFont val="Tahoma"/>
            <family val="2"/>
          </rPr>
          <t xml:space="preserve">, and does not consider open buildings.
</t>
        </r>
        <r>
          <rPr>
            <b/>
            <sz val="8"/>
            <color indexed="81"/>
            <rFont val="Tahoma"/>
            <family val="2"/>
          </rPr>
          <t>1.</t>
        </r>
        <r>
          <rPr>
            <sz val="8"/>
            <color indexed="81"/>
            <rFont val="Tahoma"/>
            <family val="2"/>
          </rPr>
          <t xml:space="preserve">  An enclosed building is a building that does not comply with the requirements       
      for open or partially enclosed buildings. 
</t>
        </r>
        <r>
          <rPr>
            <b/>
            <sz val="8"/>
            <color indexed="81"/>
            <rFont val="Tahoma"/>
            <family val="2"/>
          </rPr>
          <t>2.</t>
        </r>
        <r>
          <rPr>
            <sz val="8"/>
            <color indexed="81"/>
            <rFont val="Tahoma"/>
            <family val="2"/>
          </rPr>
          <t xml:space="preserve">  An open building is a structure having all walls at least 80% open.
</t>
        </r>
        <r>
          <rPr>
            <b/>
            <sz val="8"/>
            <color indexed="81"/>
            <rFont val="Tahoma"/>
            <family val="2"/>
          </rPr>
          <t xml:space="preserve">3. </t>
        </r>
        <r>
          <rPr>
            <sz val="8"/>
            <color indexed="81"/>
            <rFont val="Tahoma"/>
            <family val="2"/>
          </rPr>
          <t xml:space="preserve"> A partially enclosed building complies with both of the following conditions:
     </t>
        </r>
        <r>
          <rPr>
            <b/>
            <sz val="8"/>
            <color indexed="81"/>
            <rFont val="Tahoma"/>
            <family val="2"/>
          </rPr>
          <t xml:space="preserve">a.  </t>
        </r>
        <r>
          <rPr>
            <sz val="8"/>
            <color indexed="81"/>
            <rFont val="Tahoma"/>
            <family val="2"/>
          </rPr>
          <t xml:space="preserve">the total area of openings in a wall that receives positive external pressure   
         exceeds the sum of the areas of the openings in the balance of the building         
         envelope (walls and roof) by more than 10%; and
     </t>
        </r>
        <r>
          <rPr>
            <b/>
            <sz val="8"/>
            <color indexed="81"/>
            <rFont val="Tahoma"/>
            <family val="2"/>
          </rPr>
          <t xml:space="preserve">b.  </t>
        </r>
        <r>
          <rPr>
            <sz val="8"/>
            <color indexed="81"/>
            <rFont val="Tahoma"/>
            <family val="2"/>
          </rPr>
          <t>the total area of openings in a wall that receives positive external pressure          
         exceeds 4 sq ft or 1% of the area of that wall, whichever is smaller, and the      
         % of openings in balance of the building envelope does not exceed 20%.</t>
        </r>
      </text>
    </comment>
    <comment ref="B22" authorId="2" shapeId="0">
      <text>
        <r>
          <rPr>
            <sz val="8"/>
            <color indexed="81"/>
            <rFont val="Tahoma"/>
            <family val="2"/>
          </rPr>
          <t xml:space="preserve">The </t>
        </r>
        <r>
          <rPr>
            <b/>
            <sz val="8"/>
            <color indexed="81"/>
            <rFont val="Tahoma"/>
            <family val="2"/>
          </rPr>
          <t>Effective Area, Ae</t>
        </r>
        <r>
          <rPr>
            <sz val="8"/>
            <color indexed="81"/>
            <rFont val="Tahoma"/>
            <family val="2"/>
          </rPr>
          <t>, for a component or cladding panel equals the span length times the effective width that need not be less than 1/3 of the span length.  For a vertically spanning CMU or concrete wall, "Ae" equals the wall height squared divided by 3.  For a fastener, the value of "Ae" equals the area tributary to an individual fastener.
  Note:  Major structural components supporting tributary areas &gt; 700
             sq ft shall be permitted to be designed using the provisions for
             main wind-force resisting systems (MWFRS).</t>
        </r>
      </text>
    </comment>
    <comment ref="B27" authorId="2" shapeId="0">
      <text>
        <r>
          <rPr>
            <sz val="8"/>
            <color indexed="81"/>
            <rFont val="Tahoma"/>
            <family val="2"/>
          </rPr>
          <t xml:space="preserve">The building </t>
        </r>
        <r>
          <rPr>
            <b/>
            <sz val="8"/>
            <color indexed="81"/>
            <rFont val="Tahoma"/>
            <family val="2"/>
          </rPr>
          <t>Mean Roof Height, h</t>
        </r>
        <r>
          <rPr>
            <sz val="8"/>
            <color indexed="81"/>
            <rFont val="Tahoma"/>
            <family val="2"/>
          </rPr>
          <t>, is determined as follows:
  For buildings with roof angle &gt; 10 degrees:  h = (hr+he)/2
  For buildings with roof angle &lt;= 10 degrees:  h = he</t>
        </r>
      </text>
    </comment>
    <comment ref="C29" authorId="1" shapeId="0">
      <text>
        <r>
          <rPr>
            <b/>
            <sz val="8"/>
            <color indexed="81"/>
            <rFont val="Tahoma"/>
            <family val="2"/>
          </rPr>
          <t xml:space="preserve">      </t>
        </r>
        <r>
          <rPr>
            <b/>
            <u/>
            <sz val="8"/>
            <color indexed="81"/>
            <rFont val="Tahoma"/>
            <family val="2"/>
          </rPr>
          <t xml:space="preserve">FIG. 6-11A - Walls for Buildings with h &lt;= 60 ft.
</t>
        </r>
        <r>
          <rPr>
            <sz val="8"/>
            <color indexed="81"/>
            <rFont val="Tahoma"/>
            <family val="2"/>
          </rPr>
          <t xml:space="preserve">
Positive: Zone 4 &amp; 5
    (GCp) = 1.0                                  for  A &lt;= 10 sq.ft.
    (GCp) = 1.1766-0.1766*logA      for  10 &lt; A &lt;= 500 sq.ft.
    (GCp) = 0.7                                  for  A &gt; 500 sq.ft.
Negative: Zone 4
    (GCp) = -1.1                                 for  A &lt;= 10 sq.ft.
    (GCp) = -1.2766+0.1766*logA    for  10 &lt; A &lt;= 500 sq.ft.
    (GCp) = -0.8                                 for  A &gt; 500 sq.ft.
Negative: Zone 5
    (GCp) = -1.4                                 for  A &lt;= 10 sq.ft.
    (GCp) = -1.7532+0.3532*logA    for  10 &lt; A &lt;= 500 sq.ft.
    (GCp) = -0.8                                 for  A &gt; 500 sq.ft.
         </t>
        </r>
        <r>
          <rPr>
            <b/>
            <u/>
            <sz val="8"/>
            <color indexed="81"/>
            <rFont val="Tahoma"/>
            <family val="2"/>
          </rPr>
          <t>FIG. 6-17 - Walls for Buildings with h &gt; 60 ft.</t>
        </r>
        <r>
          <rPr>
            <sz val="8"/>
            <color indexed="81"/>
            <rFont val="Tahoma"/>
            <family val="2"/>
          </rPr>
          <t xml:space="preserve">
Positive: Zone 4 &amp; 5
    (GCp) = 0.9                                  for  A &lt;= 20 sq.ft.
    (GCp) = 1.1792-0.2146*logA      for  20 &lt; A &lt;= 500 sq.ft.
    (GCp) = 0.6                                  for  A &gt; 500 sq.ft.
Negative: Zone 4
    (GCp) = -0.9                                 for  A &lt;= 20 sq.ft.
    (GCp) = -1.0861+0.1431*logA    for  20 &lt; A &lt;= 500 sq.ft.
    (GCp) = -0.7                                 for  A &gt; 500 sq.ft.
Negative: Zone 5
    (GCp) = -1.8                                 for  A &lt;= 20 sq.ft.
    (GCp) = -2.5445+0.5723*logA    for  20 &lt; A &lt;= 500 sq.ft.
    (GCp) = -1.0                                 for  A &gt; 500 sq.ft.
</t>
        </r>
      </text>
    </comment>
    <comment ref="E34" authorId="2" shapeId="0">
      <text>
        <r>
          <rPr>
            <b/>
            <sz val="8"/>
            <color indexed="81"/>
            <rFont val="Tahoma"/>
            <family val="2"/>
          </rPr>
          <t xml:space="preserve">        </t>
        </r>
        <r>
          <rPr>
            <b/>
            <u/>
            <sz val="8"/>
            <color indexed="81"/>
            <rFont val="Tahoma"/>
            <family val="2"/>
          </rPr>
          <t>Internal Pressure Coefficients, GCpi (Figure 26.11-1)</t>
        </r>
        <r>
          <rPr>
            <sz val="8"/>
            <color indexed="81"/>
            <rFont val="Tahoma"/>
            <family val="2"/>
          </rPr>
          <t xml:space="preserve">
</t>
        </r>
        <r>
          <rPr>
            <sz val="8"/>
            <color indexed="81"/>
            <rFont val="Tahoma"/>
            <family val="2"/>
          </rPr>
          <t xml:space="preserve">
    </t>
        </r>
        <r>
          <rPr>
            <u/>
            <sz val="8"/>
            <color indexed="81"/>
            <rFont val="Tahoma"/>
            <family val="2"/>
          </rPr>
          <t xml:space="preserve">          Condition                                                 (+/-) GCpi     
</t>
        </r>
        <r>
          <rPr>
            <sz val="8"/>
            <color indexed="81"/>
            <rFont val="Tahoma"/>
            <family val="2"/>
          </rPr>
          <t xml:space="preserve">    Partially enclosed buildings                                +0.55, -0.55
    Enclosed buildings                                              +0.18, -0.18
Per Sect. 26.11, for a partially enclosed building containing a single, unpartitioned large volume, the GCpi coefficients shall be multiplied by the following reduction factor, Ri:
    Ri = 1.0  or  Ri = 0.5*(1+(1/(1+Vi/(22800*Aog))^0.5)) &lt;= 1.0
      where:  Aog = total area of openings in the building envelope
                              (walls and roof, ft.^2).
                   Vi = unpartitioned internal volume (ft.^3).
</t>
        </r>
        <r>
          <rPr>
            <b/>
            <sz val="8"/>
            <color indexed="81"/>
            <rFont val="Tahoma"/>
            <family val="2"/>
          </rPr>
          <t>Note:</t>
        </r>
        <r>
          <rPr>
            <sz val="8"/>
            <color indexed="81"/>
            <rFont val="Tahoma"/>
            <family val="2"/>
          </rPr>
          <t xml:space="preserve">  This program assumes NO reduction of the GCpi coefficients
            for large volume buildings. Thus, Ri = 1.0.</t>
        </r>
      </text>
    </comment>
    <comment ref="C39" authorId="2" shapeId="0">
      <text>
        <r>
          <rPr>
            <b/>
            <u/>
            <sz val="8"/>
            <color indexed="81"/>
            <rFont val="Tahoma"/>
            <family val="2"/>
          </rPr>
          <t xml:space="preserve">Terrain Exposure Constants (Table 26.9-1)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r>
          <rPr>
            <sz val="8"/>
            <color indexed="81"/>
            <rFont val="Tahoma"/>
            <family val="2"/>
          </rPr>
          <t xml:space="preserve">
</t>
        </r>
      </text>
    </comment>
    <comment ref="E46" authorId="1" shapeId="0">
      <text>
        <r>
          <rPr>
            <sz val="8"/>
            <color indexed="81"/>
            <rFont val="Tahoma"/>
            <family val="2"/>
          </rPr>
          <t xml:space="preserve">Per Code </t>
        </r>
        <r>
          <rPr>
            <b/>
            <sz val="8"/>
            <color indexed="81"/>
            <rFont val="Tahoma"/>
            <family val="2"/>
          </rPr>
          <t>Section 30.2.2</t>
        </r>
        <r>
          <rPr>
            <sz val="8"/>
            <color indexed="81"/>
            <rFont val="Tahoma"/>
            <family val="2"/>
          </rPr>
          <t xml:space="preserve">, the minimum wind load to be used in the design of the Main Wind-Force Resisting System shall not be less than </t>
        </r>
        <r>
          <rPr>
            <b/>
            <sz val="8"/>
            <color indexed="81"/>
            <rFont val="Tahoma"/>
            <family val="2"/>
          </rPr>
          <t>16 psf</t>
        </r>
        <r>
          <rPr>
            <sz val="8"/>
            <color indexed="81"/>
            <rFont val="Tahoma"/>
            <family val="2"/>
          </rPr>
          <t>.</t>
        </r>
      </text>
    </comment>
    <comment ref="H54" authorId="1" shapeId="0">
      <text>
        <r>
          <rPr>
            <sz val="8"/>
            <color indexed="81"/>
            <rFont val="Tahoma"/>
            <family val="2"/>
          </rPr>
          <t xml:space="preserve">Per Code </t>
        </r>
        <r>
          <rPr>
            <b/>
            <sz val="8"/>
            <color indexed="81"/>
            <rFont val="Tahoma"/>
            <family val="2"/>
          </rPr>
          <t>Section 30.2.2</t>
        </r>
        <r>
          <rPr>
            <sz val="8"/>
            <color indexed="81"/>
            <rFont val="Tahoma"/>
            <family val="2"/>
          </rPr>
          <t xml:space="preserve">, the minimum wind design pressure to be used in the design of components and cladding shall not be less than </t>
        </r>
        <r>
          <rPr>
            <b/>
            <sz val="8"/>
            <color indexed="81"/>
            <rFont val="Tahoma"/>
            <family val="2"/>
          </rPr>
          <t>16 psf</t>
        </r>
        <r>
          <rPr>
            <sz val="8"/>
            <color indexed="81"/>
            <rFont val="Tahoma"/>
            <family val="2"/>
          </rPr>
          <t xml:space="preserve"> acting in either direction normal to the surface.</t>
        </r>
      </text>
    </comment>
    <comment ref="E55" authorId="5" shapeId="0">
      <text>
        <r>
          <rPr>
            <sz val="8"/>
            <color indexed="81"/>
            <rFont val="Tahoma"/>
            <family val="2"/>
          </rPr>
          <t>Positive (+) pressure applies to windward wall.  Maximum positive pressure is evaluated using the positive (+) external wind pressure coefficient, '+GCp', in combination with the negative (-) internal pressure coefficient, '-GCpi'.</t>
        </r>
      </text>
    </comment>
    <comment ref="F55" authorId="5" shapeId="0">
      <text>
        <r>
          <rPr>
            <sz val="8"/>
            <color indexed="81"/>
            <rFont val="Tahoma"/>
            <family val="2"/>
          </rPr>
          <t>Negative (-) pressure applies to leeward wall and side walls.  Maximum negative pressure is evaluated using the negative (-) external wind pressure coefficient, '-GCp', in combination with the positive (+) internal pressure coefficient, '+GCpi'.</t>
        </r>
      </text>
    </comment>
    <comment ref="G55" authorId="5" shapeId="0">
      <text>
        <r>
          <rPr>
            <sz val="8"/>
            <color indexed="81"/>
            <rFont val="Tahoma"/>
            <family val="2"/>
          </rPr>
          <t>Positive (+) pressure applies to windward wall.  Maximum positive pressure is evaluated using the positive (+) external wind pressure coefficient, '+GCp', in combination with the negative (-) internal pressure coefficient, '-GCpi'.</t>
        </r>
      </text>
    </comment>
    <comment ref="H55" authorId="5" shapeId="0">
      <text>
        <r>
          <rPr>
            <sz val="8"/>
            <color indexed="81"/>
            <rFont val="Tahoma"/>
            <family val="2"/>
          </rPr>
          <t>Negative (-) pressure applies to leeward wall and side walls.  Maximum negative pressure is evaluated using the negative (-) external wind pressure coefficient, '-GCp', in combination with the positive (+) internal pressure coefficient, '+GCpi'.</t>
        </r>
      </text>
    </comment>
    <comment ref="F86" authorId="1" shapeId="0">
      <text>
        <r>
          <rPr>
            <sz val="8"/>
            <color indexed="81"/>
            <rFont val="Tahoma"/>
            <family val="2"/>
          </rPr>
          <t xml:space="preserve">For h &lt;= 60', width </t>
        </r>
        <r>
          <rPr>
            <b/>
            <sz val="8"/>
            <color indexed="81"/>
            <rFont val="Tahoma"/>
            <family val="2"/>
          </rPr>
          <t>'a'</t>
        </r>
        <r>
          <rPr>
            <sz val="8"/>
            <color indexed="81"/>
            <rFont val="Tahoma"/>
            <family val="2"/>
          </rPr>
          <t xml:space="preserve"> for Zone 5 is equal to 10% of least horizontal dimension or 0.4*h, whichever is smaller, but not less than either 4% of least horizontal dimension or 3'.
For h &gt; 60', width </t>
        </r>
        <r>
          <rPr>
            <b/>
            <sz val="8"/>
            <color indexed="81"/>
            <rFont val="Tahoma"/>
            <family val="2"/>
          </rPr>
          <t>'a'</t>
        </r>
        <r>
          <rPr>
            <sz val="8"/>
            <color indexed="81"/>
            <rFont val="Tahoma"/>
            <family val="2"/>
          </rPr>
          <t xml:space="preserve"> for Zone 5 is equal to 10% of least horizontal dimension, but not less than 3'.</t>
        </r>
      </text>
    </comment>
  </commentList>
</comments>
</file>

<file path=xl/comments4.xml><?xml version="1.0" encoding="utf-8"?>
<comments xmlns="http://schemas.openxmlformats.org/spreadsheetml/2006/main">
  <authors>
    <author xml:space="preserve"> </author>
    <author>ATOMANOV</author>
    <author>Bob Dalpiaz</author>
    <author>Alex Tomanovich</author>
    <author>4892</author>
  </authors>
  <commentList>
    <comment ref="AA1" authorId="0" shapeId="0">
      <text>
        <r>
          <rPr>
            <sz val="8"/>
            <color indexed="81"/>
            <rFont val="Tahoma"/>
            <family val="2"/>
          </rPr>
          <t xml:space="preserve">            "</t>
        </r>
        <r>
          <rPr>
            <b/>
            <sz val="8"/>
            <color indexed="81"/>
            <rFont val="Tahoma"/>
            <family val="2"/>
          </rPr>
          <t>ASCE710W.xls</t>
        </r>
        <r>
          <rPr>
            <sz val="8"/>
            <color indexed="81"/>
            <rFont val="Tahoma"/>
            <family val="2"/>
          </rPr>
          <t>"
written by: David R. Taylor, P.E.
based on a spreadsheet by:  Alex Tomanovich, P.E.</t>
        </r>
      </text>
    </comment>
    <comment ref="H3" authorId="1" shapeId="0">
      <text>
        <r>
          <rPr>
            <b/>
            <sz val="8"/>
            <color indexed="81"/>
            <rFont val="Tahoma"/>
            <family val="2"/>
          </rPr>
          <t xml:space="preserve">Note: </t>
        </r>
        <r>
          <rPr>
            <sz val="8"/>
            <color indexed="81"/>
            <rFont val="Tahoma"/>
            <family val="2"/>
          </rPr>
          <t xml:space="preserve"> This program assumes buildings are a maximum of 500 feet tall.</t>
        </r>
      </text>
    </comment>
    <comment ref="B9" authorId="2" shapeId="0">
      <text>
        <r>
          <rPr>
            <sz val="8"/>
            <color indexed="81"/>
            <rFont val="Tahoma"/>
            <family val="2"/>
          </rPr>
          <t>The</t>
        </r>
        <r>
          <rPr>
            <b/>
            <sz val="8"/>
            <color indexed="81"/>
            <rFont val="Tahoma"/>
            <family val="2"/>
          </rPr>
          <t xml:space="preserve"> Basic Design Wind Speed, V (mph)</t>
        </r>
        <r>
          <rPr>
            <sz val="8"/>
            <color indexed="81"/>
            <rFont val="Tahoma"/>
            <family val="2"/>
          </rPr>
          <t xml:space="preserve">, corresponds to a 3-second gust speed at 33' above ground in Exposure Category "C" and is associated with an annual probability for Risk Category of being equalled or exceeded (x-year mean recurrence interval per Risk Category).
</t>
        </r>
        <r>
          <rPr>
            <b/>
            <sz val="8"/>
            <color indexed="81"/>
            <rFont val="Tahoma"/>
            <family val="2"/>
          </rPr>
          <t>For Basic Wind Speed Map (Fig. 26.5-1A-C) see 'Wind Map' worksheet of this workbook.</t>
        </r>
      </text>
    </comment>
    <comment ref="B10" authorId="3" shapeId="0">
      <text>
        <r>
          <rPr>
            <b/>
            <sz val="8"/>
            <color indexed="81"/>
            <rFont val="Tahoma"/>
            <family val="2"/>
          </rPr>
          <t xml:space="preserve">                                                                          TABLE 1-1</t>
        </r>
        <r>
          <rPr>
            <b/>
            <u/>
            <sz val="8"/>
            <color indexed="81"/>
            <rFont val="Tahoma"/>
            <family val="2"/>
          </rPr>
          <t xml:space="preserve">
Occupancy Category of Buildings and Other Structures for Flood, Wind, Snow, Earthquake, and Ice Loads</t>
        </r>
        <r>
          <rPr>
            <sz val="8"/>
            <color indexed="81"/>
            <rFont val="Tahoma"/>
            <family val="2"/>
          </rPr>
          <t xml:space="preserve">                                                                                                      
</t>
        </r>
        <r>
          <rPr>
            <b/>
            <u/>
            <sz val="8"/>
            <color indexed="81"/>
            <rFont val="Tahoma"/>
            <family val="2"/>
          </rPr>
          <t xml:space="preserve">Nature of Occupancy                                                                                                                    Occupancy Category </t>
        </r>
        <r>
          <rPr>
            <sz val="8"/>
            <color indexed="81"/>
            <rFont val="Tahoma"/>
            <family val="2"/>
          </rPr>
          <t xml:space="preserve">
Buildings and structures that represent a low hazard to human life in the event of failure including,                  I
  but not limited to:
     - Agriculture facilities                                                                                                             
     - Certain temporary facilities
</t>
        </r>
        <r>
          <rPr>
            <u/>
            <sz val="8"/>
            <color indexed="81"/>
            <rFont val="Tahoma"/>
            <family val="2"/>
          </rPr>
          <t xml:space="preserve">     - Minor storage facilities                                                                                                                                              </t>
        </r>
        <r>
          <rPr>
            <sz val="8"/>
            <color indexed="81"/>
            <rFont val="Tahoma"/>
            <family val="2"/>
          </rPr>
          <t xml:space="preserve">       
</t>
        </r>
        <r>
          <rPr>
            <u/>
            <sz val="8"/>
            <color indexed="81"/>
            <rFont val="Tahoma"/>
            <family val="2"/>
          </rPr>
          <t xml:space="preserve">Buildings and other structures except those listed in Categories I, III and IV                                                      II        </t>
        </r>
        <r>
          <rPr>
            <sz val="8"/>
            <color indexed="81"/>
            <rFont val="Tahoma"/>
            <family val="2"/>
          </rPr>
          <t xml:space="preserve">
Buildings and other structures that represent a substantial hazard to human life in the event of                       III      
  failure including, but not limited to:
     - Buildings and other structures where more than 300 people congregate in one area
     - Buildings and other structures with day-care facilities with capacity greater than 150
     - Elementary or secondary school facilities with capacity greater than 250
     - Colleges &amp; adult education facilities with a capacity greater than 500
     - Health care facilities with a capacity greater than 50 resident patients but not having surgery
         or emergency treatment facilities
     - Jails and detention facilities
Buildings and other structures, not includes in Occupancy Category IV, with potential to cause 
  substantial economic impact and/or mass disruption of day-to-day civilian life in event of failure, 
  including, but not limited to:
     - Power generating stations, water treatment facilities, sewage treatment facilities, and
         telecommunication centers
     - Buildings and structures not included in Category IV containing sufficient quantities of toxic,
</t>
        </r>
        <r>
          <rPr>
            <u/>
            <sz val="8"/>
            <color indexed="81"/>
            <rFont val="Tahoma"/>
            <family val="2"/>
          </rPr>
          <t xml:space="preserve">         explosive, or other hazardous materials dangerous to the public if released                                                        </t>
        </r>
        <r>
          <rPr>
            <sz val="8"/>
            <color indexed="81"/>
            <rFont val="Tahoma"/>
            <family val="2"/>
          </rPr>
          <t xml:space="preserve">
Buildings and other structures designated as essential facilities including, but not limited to:                              IV
     - Hospitals and health care facilities having surgery or emergency treatment facilities
     - Fire, rescue and police stations and emergency vehicle garages
     - Designated earthquake, hurricane or other emergency shelters
     - Designated emergency preparedness, communication, and operation centers and other
         facilities required for emergency response 
     - Power-generating stations and other public utility facilities required in an emergency
     - Ancillary structures required foroperation of Category IV structures during an emergency
     - Aviation control towers, air traffic control centers and emergency aircraft hangars
     - Water storage facilities and pump structures required to maintain water pressure for fire suppression
     - Buildings and other structures having critical national defense functions
     - Buildings and structures containing extremelyhazardous materials where quantity of material 
         exceeds a threshhold quantity established by authority having jurisdiction </t>
        </r>
      </text>
    </comment>
    <comment ref="B11" authorId="2" shapeId="0">
      <text>
        <r>
          <rPr>
            <b/>
            <sz val="8"/>
            <color indexed="81"/>
            <rFont val="Tahoma"/>
            <family val="2"/>
          </rPr>
          <t>Surface Roughness Categories</t>
        </r>
        <r>
          <rPr>
            <sz val="8"/>
            <color indexed="81"/>
            <rFont val="Tahoma"/>
            <family val="2"/>
          </rPr>
          <t xml:space="preserve"> for the purpose of assigning </t>
        </r>
        <r>
          <rPr>
            <b/>
            <sz val="8"/>
            <color indexed="81"/>
            <rFont val="Tahoma"/>
            <family val="2"/>
          </rPr>
          <t>Exposure</t>
        </r>
        <r>
          <rPr>
            <sz val="8"/>
            <color indexed="81"/>
            <rFont val="Tahoma"/>
            <family val="2"/>
          </rPr>
          <t xml:space="preserve"> </t>
        </r>
        <r>
          <rPr>
            <b/>
            <sz val="8"/>
            <color indexed="81"/>
            <rFont val="Tahoma"/>
            <family val="2"/>
          </rPr>
          <t>Category</t>
        </r>
        <r>
          <rPr>
            <sz val="8"/>
            <color indexed="81"/>
            <rFont val="Tahoma"/>
            <family val="2"/>
          </rPr>
          <t xml:space="preserve"> are defined as follows:
</t>
        </r>
        <r>
          <rPr>
            <b/>
            <sz val="8"/>
            <color indexed="81"/>
            <rFont val="Tahoma"/>
            <family val="2"/>
          </rPr>
          <t xml:space="preserve">Surface Roughness "B":
</t>
        </r>
        <r>
          <rPr>
            <sz val="8"/>
            <color indexed="81"/>
            <rFont val="Tahoma"/>
            <family val="2"/>
          </rPr>
          <t xml:space="preserve">Urban and suburban areas, wooded areas or other terrain with numerous closely spaced obstructions having the size of single family dwellings or larger.
</t>
        </r>
        <r>
          <rPr>
            <b/>
            <sz val="8"/>
            <color indexed="81"/>
            <rFont val="Tahoma"/>
            <family val="2"/>
          </rPr>
          <t xml:space="preserve">Surface Roughness "C":
</t>
        </r>
        <r>
          <rPr>
            <sz val="8"/>
            <color indexed="81"/>
            <rFont val="Tahoma"/>
            <family val="2"/>
          </rPr>
          <t>Open terrain with scattered obstructions having heights generally &lt; 30 ft.  This category includes flat open country, grass lands, and all water surfaces in hurricane prone regions.</t>
        </r>
        <r>
          <rPr>
            <sz val="8"/>
            <color indexed="81"/>
            <rFont val="Tahoma"/>
            <family val="2"/>
          </rPr>
          <t xml:space="preserve">
</t>
        </r>
        <r>
          <rPr>
            <b/>
            <sz val="8"/>
            <color indexed="81"/>
            <rFont val="Tahoma"/>
            <family val="2"/>
          </rPr>
          <t>Surface Roughness "D":</t>
        </r>
        <r>
          <rPr>
            <sz val="8"/>
            <color indexed="81"/>
            <rFont val="Tahoma"/>
            <family val="2"/>
          </rPr>
          <t xml:space="preserve">
Flat, unobstructed areas and water surfaces outside hurricane prone regions.  This category includes smooth mud flats, salt flats, and unbroken ice.
</t>
        </r>
        <r>
          <rPr>
            <b/>
            <sz val="8"/>
            <color indexed="81"/>
            <rFont val="Tahoma"/>
            <family val="2"/>
          </rPr>
          <t>Exposure Categories</t>
        </r>
        <r>
          <rPr>
            <sz val="8"/>
            <color indexed="81"/>
            <rFont val="Tahoma"/>
            <family val="2"/>
          </rPr>
          <t xml:space="preserve"> are defined as follows:
</t>
        </r>
        <r>
          <rPr>
            <b/>
            <sz val="8"/>
            <color indexed="81"/>
            <rFont val="Tahoma"/>
            <family val="2"/>
          </rPr>
          <t xml:space="preserve">Exposure "B":
</t>
        </r>
        <r>
          <rPr>
            <sz val="8"/>
            <color indexed="81"/>
            <rFont val="Tahoma"/>
            <family val="2"/>
          </rPr>
          <t xml:space="preserve">Exposure B shall apply where the ground surface roughness condition, as defined by Surface Roughness B, prevails in the upwind direction for a distance of at least 2600 ft. or 20 times the building height, whichever is greater.
   Exception: For buildings whose mean roof height &lt;= 30 ft., the upwind 
   distance may be reduced to 1500 ft.
</t>
        </r>
        <r>
          <rPr>
            <b/>
            <sz val="8"/>
            <color indexed="81"/>
            <rFont val="Tahoma"/>
            <family val="2"/>
          </rPr>
          <t xml:space="preserve">Exposure "C":
</t>
        </r>
        <r>
          <rPr>
            <sz val="8"/>
            <color indexed="81"/>
            <rFont val="Tahoma"/>
            <family val="2"/>
          </rPr>
          <t xml:space="preserve">Exposure C shall apply for all cases where exposures B and D do not apply.
</t>
        </r>
        <r>
          <rPr>
            <b/>
            <sz val="8"/>
            <color indexed="81"/>
            <rFont val="Tahoma"/>
            <family val="2"/>
          </rPr>
          <t>Exposure "D":</t>
        </r>
        <r>
          <rPr>
            <sz val="8"/>
            <color indexed="81"/>
            <rFont val="Tahoma"/>
            <family val="2"/>
          </rPr>
          <t xml:space="preserve">
Exposure D shall apply where the ground surface roughness, as defined by Surface Roughness D, prevails in the upwind diection for a distance &gt;= 5,000 ft. or 20 times the building height, whichever is greater.  Exposure D shall extend into downwind areas of Surface Roughness B or C for a distance of 600 ft. or 20 times the height of the building, whichever is greater.</t>
        </r>
      </text>
    </comment>
    <comment ref="B13" authorId="0" shapeId="0">
      <text>
        <r>
          <rPr>
            <sz val="8"/>
            <color indexed="81"/>
            <rFont val="Tahoma"/>
            <family val="2"/>
          </rPr>
          <t>The eave height, 'he', is the distance from the ground surface adjacent to the building to the roof eave line at a particular wall.  
If the height of the eave varies along the wall, the average height shall be used.</t>
        </r>
      </text>
    </comment>
    <comment ref="B16" authorId="2" shapeId="0">
      <text>
        <r>
          <rPr>
            <sz val="8"/>
            <color indexed="81"/>
            <rFont val="Tahoma"/>
            <family val="2"/>
          </rPr>
          <t>This program assumes that a Gable roof is symmetrical, as the ridge line is assumed in the center of the building width, L.
For flat roofs (roof angle = 0 degrees), either Gable (G) or Monoslope (M) may be used.</t>
        </r>
      </text>
    </comment>
    <comment ref="B17" authorId="2" shapeId="0">
      <text>
        <r>
          <rPr>
            <sz val="8"/>
            <color indexed="81"/>
            <rFont val="Tahoma"/>
            <family val="2"/>
          </rPr>
          <t>The</t>
        </r>
        <r>
          <rPr>
            <b/>
            <sz val="8"/>
            <color indexed="81"/>
            <rFont val="Tahoma"/>
            <family val="2"/>
          </rPr>
          <t xml:space="preserve"> Topographic Factor, Kzt</t>
        </r>
        <r>
          <rPr>
            <sz val="8"/>
            <color indexed="81"/>
            <rFont val="Tahoma"/>
            <family val="2"/>
          </rPr>
          <t>, accounts for effect of wind speed-up over isolated hills and escarpments (</t>
        </r>
        <r>
          <rPr>
            <b/>
            <sz val="8"/>
            <color indexed="81"/>
            <rFont val="Tahoma"/>
            <family val="2"/>
          </rPr>
          <t>Sect. 26.8</t>
        </r>
        <r>
          <rPr>
            <sz val="8"/>
            <color indexed="81"/>
            <rFont val="Tahoma"/>
            <family val="2"/>
          </rPr>
          <t xml:space="preserve"> and </t>
        </r>
        <r>
          <rPr>
            <b/>
            <sz val="8"/>
            <color indexed="81"/>
            <rFont val="Tahoma"/>
            <family val="2"/>
          </rPr>
          <t>Fig. 26.8-1</t>
        </r>
        <r>
          <rPr>
            <sz val="8"/>
            <color indexed="81"/>
            <rFont val="Tahoma"/>
            <family val="2"/>
          </rPr>
          <t xml:space="preserve">).
</t>
        </r>
        <r>
          <rPr>
            <b/>
            <sz val="8"/>
            <color indexed="81"/>
            <rFont val="Tahoma"/>
            <family val="2"/>
          </rPr>
          <t>Kzt = (1+K1*K2*K3)^2</t>
        </r>
        <r>
          <rPr>
            <sz val="8"/>
            <color indexed="81"/>
            <rFont val="Tahoma"/>
            <family val="2"/>
          </rPr>
          <t xml:space="preserve">   (Eq. 26.8-1), where:
H   = height of hill or escarpment relative to the upwind terrain, in feet.
Lh  = Distance upwind of crest to where the difference in ground elevation is    
         half the height of hill or escarpment, in feet.
K1 = factor to account for shape of topographic feature and maximum   
        speed-up effect.
K2 = factor to account for reduction in speed-up with distance upwind or     
        downwind of crest.
K3 = factor to account for reduction in speed-up with height above local terrain.
x = distance (upwind or downwind) from the crest to the building site, in feet.
z = height above local ground level, in feet.
</t>
        </r>
        <r>
          <rPr>
            <b/>
            <sz val="8"/>
            <color indexed="81"/>
            <rFont val="Tahoma"/>
            <family val="2"/>
          </rPr>
          <t>The effect of wind speed-up shall not be required to be considered (Kzt = 1.0) when H/Lh &lt; 0.2, or H &lt; 15' for Exposures 'C' and 'D', or H &lt; 60' for Exposure 'B'.</t>
        </r>
      </text>
    </comment>
    <comment ref="B18" authorId="4" shapeId="0">
      <text>
        <r>
          <rPr>
            <b/>
            <u/>
            <sz val="8"/>
            <color indexed="81"/>
            <rFont val="Tahoma"/>
            <family val="2"/>
          </rPr>
          <t xml:space="preserve">Wind Directionality Factor, Kd (Table 26.6)
             </t>
        </r>
        <r>
          <rPr>
            <u/>
            <sz val="8"/>
            <color indexed="81"/>
            <rFont val="Tahoma"/>
            <family val="2"/>
          </rPr>
          <t xml:space="preserve">Structure Type                                  Kd  
</t>
        </r>
        <r>
          <rPr>
            <sz val="8"/>
            <color indexed="81"/>
            <rFont val="Tahoma"/>
            <family val="2"/>
          </rPr>
          <t xml:space="preserve">
Buildings
    Main Wind-Force Resisting System           0.85
    Components and Cladding                        0.85
Note:  this factor shall only be applied when
           used in conjunction with load combinations
           specified in Sect. 2.3 and 2.4.
           Otherwise, use Kd = 1.0. </t>
        </r>
      </text>
    </comment>
    <comment ref="B19" authorId="2" shapeId="0">
      <text>
        <r>
          <rPr>
            <sz val="8"/>
            <color indexed="81"/>
            <rFont val="Tahoma"/>
            <family val="2"/>
          </rPr>
          <t>This worksheet assumes either</t>
        </r>
        <r>
          <rPr>
            <b/>
            <sz val="8"/>
            <color indexed="81"/>
            <rFont val="Tahoma"/>
            <family val="2"/>
          </rPr>
          <t xml:space="preserve"> Enclosed</t>
        </r>
        <r>
          <rPr>
            <sz val="8"/>
            <color indexed="81"/>
            <rFont val="Tahoma"/>
            <family val="2"/>
          </rPr>
          <t xml:space="preserve"> or </t>
        </r>
        <r>
          <rPr>
            <b/>
            <sz val="8"/>
            <color indexed="81"/>
            <rFont val="Tahoma"/>
            <family val="2"/>
          </rPr>
          <t>Partially Enclosed</t>
        </r>
        <r>
          <rPr>
            <sz val="8"/>
            <color indexed="81"/>
            <rFont val="Tahoma"/>
            <family val="2"/>
          </rPr>
          <t xml:space="preserve"> buildings</t>
        </r>
        <r>
          <rPr>
            <sz val="8"/>
            <color indexed="81"/>
            <rFont val="Tahoma"/>
            <family val="2"/>
          </rPr>
          <t xml:space="preserve">, and does not consider open buildings.
</t>
        </r>
        <r>
          <rPr>
            <b/>
            <sz val="8"/>
            <color indexed="81"/>
            <rFont val="Tahoma"/>
            <family val="2"/>
          </rPr>
          <t>1.</t>
        </r>
        <r>
          <rPr>
            <sz val="8"/>
            <color indexed="81"/>
            <rFont val="Tahoma"/>
            <family val="2"/>
          </rPr>
          <t xml:space="preserve">  An enclosed building is a building that does not comply with the requirements       
      for open or partially enclosed buildings. 
</t>
        </r>
        <r>
          <rPr>
            <b/>
            <sz val="8"/>
            <color indexed="81"/>
            <rFont val="Tahoma"/>
            <family val="2"/>
          </rPr>
          <t>2.</t>
        </r>
        <r>
          <rPr>
            <sz val="8"/>
            <color indexed="81"/>
            <rFont val="Tahoma"/>
            <family val="2"/>
          </rPr>
          <t xml:space="preserve">  An open building is a structure having all walls at least 80% open.
</t>
        </r>
        <r>
          <rPr>
            <b/>
            <sz val="8"/>
            <color indexed="81"/>
            <rFont val="Tahoma"/>
            <family val="2"/>
          </rPr>
          <t xml:space="preserve">3. </t>
        </r>
        <r>
          <rPr>
            <sz val="8"/>
            <color indexed="81"/>
            <rFont val="Tahoma"/>
            <family val="2"/>
          </rPr>
          <t xml:space="preserve"> A partially enclosed building complies with both of the following conditions:
     </t>
        </r>
        <r>
          <rPr>
            <b/>
            <sz val="8"/>
            <color indexed="81"/>
            <rFont val="Tahoma"/>
            <family val="2"/>
          </rPr>
          <t xml:space="preserve">a.  </t>
        </r>
        <r>
          <rPr>
            <sz val="8"/>
            <color indexed="81"/>
            <rFont val="Tahoma"/>
            <family val="2"/>
          </rPr>
          <t xml:space="preserve">the total area of openings in a wall that receives positive external pressure   
         exceeds the sum of the areas of the openings in the balance of the building         
         envelope (walls and roof) by more than 10%; and
     </t>
        </r>
        <r>
          <rPr>
            <b/>
            <sz val="8"/>
            <color indexed="81"/>
            <rFont val="Tahoma"/>
            <family val="2"/>
          </rPr>
          <t xml:space="preserve">b.  </t>
        </r>
        <r>
          <rPr>
            <sz val="8"/>
            <color indexed="81"/>
            <rFont val="Tahoma"/>
            <family val="2"/>
          </rPr>
          <t>the total area of openings in a wall that receives positive external pressure          
         exceeds 4 sq ft or 1% of the area of that wall, whichever is smaller, and the      
         % of openings in balance of the building envelope does not exceed 20%.</t>
        </r>
      </text>
    </comment>
    <comment ref="B22" authorId="2" shapeId="0">
      <text>
        <r>
          <rPr>
            <sz val="8"/>
            <color indexed="81"/>
            <rFont val="Tahoma"/>
            <family val="2"/>
          </rPr>
          <t xml:space="preserve">The </t>
        </r>
        <r>
          <rPr>
            <b/>
            <sz val="8"/>
            <color indexed="81"/>
            <rFont val="Tahoma"/>
            <family val="2"/>
          </rPr>
          <t>Effective Area, Ae</t>
        </r>
        <r>
          <rPr>
            <sz val="8"/>
            <color indexed="81"/>
            <rFont val="Tahoma"/>
            <family val="2"/>
          </rPr>
          <t>, for a component or cladding panel equals the span length times the effective width that need not be less than 1/3 of the span length; however, for a fastener it is the area tributary to an individual fastener.
  Note:  Major structural components supporting tributary areas &gt; 700
             sq ft shall be permitted to be designed using the provisions for
             main wind-force resisting systems (MWFRS).</t>
        </r>
      </text>
    </comment>
    <comment ref="B28" authorId="2" shapeId="0">
      <text>
        <r>
          <rPr>
            <sz val="8"/>
            <color indexed="81"/>
            <rFont val="Tahoma"/>
            <family val="2"/>
          </rPr>
          <t xml:space="preserve">The building </t>
        </r>
        <r>
          <rPr>
            <b/>
            <sz val="8"/>
            <color indexed="81"/>
            <rFont val="Tahoma"/>
            <family val="2"/>
          </rPr>
          <t>Mean Roof Height, h</t>
        </r>
        <r>
          <rPr>
            <sz val="8"/>
            <color indexed="81"/>
            <rFont val="Tahoma"/>
            <family val="2"/>
          </rPr>
          <t>, is determined as follows:
  For buildings with roof angle &gt; 10 degrees:  h = (hr+he)/2
  For buildings with roof angle &lt;= 10 degrees:  h = he</t>
        </r>
      </text>
    </comment>
    <comment ref="E31" authorId="1" shapeId="0">
      <text>
        <r>
          <rPr>
            <b/>
            <sz val="8"/>
            <color indexed="81"/>
            <rFont val="Tahoma"/>
            <family val="2"/>
          </rPr>
          <t xml:space="preserve">      </t>
        </r>
        <r>
          <rPr>
            <b/>
            <u/>
            <sz val="8"/>
            <color indexed="81"/>
            <rFont val="Tahoma"/>
            <family val="2"/>
          </rPr>
          <t xml:space="preserve">FIG. 30.4-2A - Roofs for Buildings with h &lt;= 60 ft.
</t>
        </r>
        <r>
          <rPr>
            <b/>
            <sz val="8"/>
            <color indexed="81"/>
            <rFont val="Tahoma"/>
            <family val="2"/>
          </rPr>
          <t xml:space="preserve">For </t>
        </r>
        <r>
          <rPr>
            <b/>
            <sz val="8"/>
            <color indexed="81"/>
            <rFont val="Symbol"/>
            <family val="1"/>
            <charset val="2"/>
          </rPr>
          <t>q</t>
        </r>
        <r>
          <rPr>
            <b/>
            <sz val="8"/>
            <color indexed="81"/>
            <rFont val="Tahoma"/>
            <family val="2"/>
          </rPr>
          <t xml:space="preserve"> &lt;= 7:</t>
        </r>
        <r>
          <rPr>
            <sz val="8"/>
            <color indexed="81"/>
            <rFont val="Tahoma"/>
            <family val="2"/>
          </rPr>
          <t xml:space="preserve">
Positive without overhang: Zone 1,2,3
    (GCp) = 0.3                                  for  A &lt;= 10 sq.ft.
    (GCp) = 0.4000-0.1000*logA      for  10 &lt; A &lt;= 100 sq.ft.
    (GCp) = 0.2                                  for  A &gt; 100 sq.ft.
Negative without overhang: Zone 1
    (GCp) = -1.0                                 for  A &lt;= 10 sq.ft.
    (GCp) = -1.1000+0.1000*logA    for  10 &lt; A &lt;= 100 sq.ft.
    (GCp) = -0.9                                 for  A &gt; 100 sq.ft.
Negative without overhang: Zone 2
    (GCp) = -1.8                                 for  A &lt;= 10 sq.ft.
    (GCp) = -2.5000+0.7000*logA    for  10 &lt; A &lt;= 100 sq.ft.
    (GCp) = -0.8                                 for  A &gt; 100 sq.ft.
Negative without overhang: Zone 3
    (GCp) = -2.8                                 for  A &lt;= 10 sq.ft.
    (GCp) = -4.5000+1.7000*logA    for  10 &lt; A &lt;= 100 sq.ft.
    (GCp) = -1.1                                 for  A &gt; 100 sq.ft.
</t>
        </r>
      </text>
    </comment>
    <comment ref="F31" authorId="1" shapeId="0">
      <text>
        <r>
          <rPr>
            <b/>
            <sz val="8"/>
            <color indexed="81"/>
            <rFont val="Tahoma"/>
            <family val="2"/>
          </rPr>
          <t xml:space="preserve">      </t>
        </r>
        <r>
          <rPr>
            <b/>
            <u/>
            <sz val="8"/>
            <color indexed="81"/>
            <rFont val="Tahoma"/>
            <family val="2"/>
          </rPr>
          <t xml:space="preserve">FIG. 30.4-2A - Roofs for Buildings with h &lt;= 60 ft.
</t>
        </r>
        <r>
          <rPr>
            <b/>
            <sz val="8"/>
            <color indexed="81"/>
            <rFont val="Tahoma"/>
            <family val="2"/>
          </rPr>
          <t xml:space="preserve">For </t>
        </r>
        <r>
          <rPr>
            <b/>
            <sz val="8"/>
            <color indexed="81"/>
            <rFont val="Symbol"/>
            <family val="1"/>
            <charset val="2"/>
          </rPr>
          <t>q</t>
        </r>
        <r>
          <rPr>
            <b/>
            <sz val="8"/>
            <color indexed="81"/>
            <rFont val="Tahoma"/>
            <family val="2"/>
          </rPr>
          <t xml:space="preserve"> &lt;= 7:</t>
        </r>
        <r>
          <rPr>
            <sz val="8"/>
            <color indexed="81"/>
            <rFont val="Tahoma"/>
            <family val="2"/>
          </rPr>
          <t xml:space="preserve">
Positive with overhang: Zone 1,2,3
    (GCp) = 0.3                                  for  A &lt;= 10 sq.ft.
    (GCp) = 0.4000-0.1000*logA      for  10 &lt; A &lt;= 100 sq.ft.
    (GCp) = 0.2                                  for  A &gt; 100 sq.ft.
Negative with overhang: Zone 1 &amp; 2
    (GCp) = -1.7                                 for  A &lt;= 10 sq.ft.
    (GCp) = -1.8000+0.1000*logA    for  10 &lt; A &lt;= 100 sq.ft.
    (GCp) = -3.0307+0.7153*logA    for  100 &lt; A &lt;= 500 sq.ft.    
    (GCp) = -1.1                                 for  A &gt; 500 sq.ft.
Negative with overhang: Zone 3
    (GCp) = -2.8                                 for  A &lt;= 10 sq.ft.
    (GCp) = -4.8000+2.0000*logA    for  10 &lt; A &lt;= 100 sq.ft.
    (GCp) = -0.8                                 for  A &gt; 100 sq.ft.
</t>
        </r>
      </text>
    </comment>
    <comment ref="G31" authorId="1" shapeId="0">
      <text>
        <r>
          <rPr>
            <b/>
            <sz val="8"/>
            <color indexed="81"/>
            <rFont val="Tahoma"/>
            <family val="2"/>
          </rPr>
          <t xml:space="preserve">         </t>
        </r>
        <r>
          <rPr>
            <b/>
            <u/>
            <sz val="8"/>
            <color indexed="81"/>
            <rFont val="Tahoma"/>
            <family val="2"/>
          </rPr>
          <t xml:space="preserve">FIG. 30.6-1 - Roofs for Buildings with h &gt; 60 ft.
Note: for </t>
        </r>
        <r>
          <rPr>
            <b/>
            <u/>
            <sz val="8"/>
            <color indexed="81"/>
            <rFont val="Symbol"/>
            <family val="1"/>
            <charset val="2"/>
          </rPr>
          <t>q</t>
        </r>
        <r>
          <rPr>
            <b/>
            <u/>
            <sz val="8"/>
            <color indexed="81"/>
            <rFont val="Tahoma"/>
            <family val="2"/>
          </rPr>
          <t xml:space="preserve"> &gt; 10, use FIG. 30.4-2B and 30.4-2C
</t>
        </r>
        <r>
          <rPr>
            <b/>
            <sz val="8"/>
            <color indexed="81"/>
            <rFont val="Tahoma"/>
            <family val="2"/>
          </rPr>
          <t xml:space="preserve">For </t>
        </r>
        <r>
          <rPr>
            <b/>
            <sz val="8"/>
            <color indexed="81"/>
            <rFont val="Symbol"/>
            <family val="1"/>
            <charset val="2"/>
          </rPr>
          <t>q</t>
        </r>
        <r>
          <rPr>
            <b/>
            <sz val="8"/>
            <color indexed="81"/>
            <rFont val="Tahoma"/>
            <family val="2"/>
          </rPr>
          <t xml:space="preserve"> &lt;= 10:</t>
        </r>
        <r>
          <rPr>
            <sz val="8"/>
            <color indexed="81"/>
            <rFont val="Tahoma"/>
            <family val="2"/>
          </rPr>
          <t xml:space="preserve">
Negative without overhang: Zone 1
    (GCp) = -1.4                                  for  A &lt;= 10 sq.ft.
    (GCp) = -1.6943-0.2943*logA      for  10 &lt; A &lt;= 500 sq.ft.
    (GCp) = -0.9                                  for  A &gt; 500 sq.ft.
Negative without overhang: Zone 2
    (GCp) = -2.3                                  for  A &lt;= 10 sq.ft.
    (GCp) = -2.7120+0.4120*logA     for  10 &lt; A &lt;= 500 sq.ft.
    (GCp) = -1.6                                  for  A &gt; 500 sq.ft.
Negative without overhang: Zone 3
    (GCp) = -3.2                                 for  A &lt;= 10 sq.ft.
    (GCp) = -3.7297+0.5297*logA    for  10 &lt; A &lt;= 500 sq.ft.
    (GCp) = -2.3                                 for  A &gt; 500 sq.ft.
</t>
        </r>
      </text>
    </comment>
    <comment ref="H31" authorId="1" shapeId="0">
      <text>
        <r>
          <rPr>
            <b/>
            <sz val="8"/>
            <color indexed="81"/>
            <rFont val="Tahoma"/>
            <family val="2"/>
          </rPr>
          <t xml:space="preserve">        </t>
        </r>
        <r>
          <rPr>
            <b/>
            <u/>
            <sz val="8"/>
            <color indexed="81"/>
            <rFont val="Tahoma"/>
            <family val="2"/>
          </rPr>
          <t xml:space="preserve">FIG. 30.6-1 - Roofs for Buildings with h &gt; 60 ft.
Note: for all buildings with overhangs, use FIG. 30.4-2B thru 30.4-2C
</t>
        </r>
        <r>
          <rPr>
            <b/>
            <sz val="8"/>
            <color indexed="81"/>
            <rFont val="Tahoma"/>
            <family val="2"/>
          </rPr>
          <t xml:space="preserve">For </t>
        </r>
        <r>
          <rPr>
            <b/>
            <sz val="8"/>
            <color indexed="81"/>
            <rFont val="Symbol"/>
            <family val="1"/>
            <charset val="2"/>
          </rPr>
          <t>q</t>
        </r>
        <r>
          <rPr>
            <b/>
            <sz val="8"/>
            <color indexed="81"/>
            <rFont val="Tahoma"/>
            <family val="2"/>
          </rPr>
          <t xml:space="preserve"> &lt;= 10:</t>
        </r>
        <r>
          <rPr>
            <sz val="8"/>
            <color indexed="81"/>
            <rFont val="Tahoma"/>
            <family val="2"/>
          </rPr>
          <t xml:space="preserve">
Positive with overhang: Zone 1,2,3
    (GCp) = 0.3                                  for  A &lt;= 10 sq.ft.
    (GCp) = 0.4000-0.1000*logA      for  10 &lt; A &lt;= 100 sq.ft.
    (GCp) = 0.2                                  for  A &gt; 100 sq.ft.
Negative with overhang: Zone 1 &amp; 2
    (GCp) = -1.7                                 for  A &lt;= 10 sq.ft.
    (GCp) = -1.8000+0.1000*logA    for  10 &lt; A &lt;= 100 sq.ft.
    (GCp) = -3.0307+0.7153*logA    for  100 &lt; A &lt;= 500 sq.ft.    
    (GCp) = -1.1                                 for  A &gt; 500 sq.ft.
Negative with overhang: Zone 3
    (GCp) = -2.8                                 for  A &lt;= 10 sq.ft.
    (GCp) = -4.8000+2.0000*logA    for  10 &lt; A &lt;= 100 sq.ft.
    (GCp) = -0.8                                 for  A &gt; 100 sq.ft.
</t>
        </r>
      </text>
    </comment>
    <comment ref="E32" authorId="1" shapeId="0">
      <text>
        <r>
          <rPr>
            <b/>
            <sz val="8"/>
            <color indexed="81"/>
            <rFont val="Tahoma"/>
            <family val="2"/>
          </rPr>
          <t xml:space="preserve">      </t>
        </r>
        <r>
          <rPr>
            <b/>
            <u/>
            <sz val="8"/>
            <color indexed="81"/>
            <rFont val="Tahoma"/>
            <family val="2"/>
          </rPr>
          <t xml:space="preserve">FIG. 30.4-2B - Roofs for Buildings with h &lt;= 60 ft.
</t>
        </r>
        <r>
          <rPr>
            <b/>
            <sz val="8"/>
            <color indexed="81"/>
            <rFont val="Tahoma"/>
            <family val="2"/>
          </rPr>
          <t xml:space="preserve">For 7 &lt; </t>
        </r>
        <r>
          <rPr>
            <b/>
            <sz val="8"/>
            <color indexed="81"/>
            <rFont val="Symbol"/>
            <family val="1"/>
            <charset val="2"/>
          </rPr>
          <t>q</t>
        </r>
        <r>
          <rPr>
            <b/>
            <sz val="8"/>
            <color indexed="81"/>
            <rFont val="Tahoma"/>
            <family val="2"/>
          </rPr>
          <t xml:space="preserve"> &lt;= 27:</t>
        </r>
        <r>
          <rPr>
            <sz val="8"/>
            <color indexed="81"/>
            <rFont val="Tahoma"/>
            <family val="2"/>
          </rPr>
          <t xml:space="preserve">
Positive without overhang: Zone 1,2,3
    (GCp) = 0.5                                  for  A &lt;= 10 sq.ft.
    (GCp) = 0.7000-0.2000*logA      for  10 &lt; A &lt;= 100 sq.ft.
    (GCp) = 0.3                                  for  A &gt; 100 sq.ft.
Negative without overhang: Zone 1
    (GCp) = -0.9                                 for  A &lt;= 10 sq.ft.
    (GCp) = -1.0000+0.1000*logA    for  10 &lt; A &lt;= 100 sq.ft.
    (GCp) = -0.8                                 for  A &gt; 100 sq.ft.
Negative without overhang: Zone 2 &amp; 3
    (GCp) = -2.1                                 for  A &lt;= 10 sq.ft.
    (GCp) = -2.8000+0.7000*logA    for  10 &lt; A &lt;= 100 sq.ft.
    (GCp) = -1.4                                 for  A &gt; 100 sq.ft.
</t>
        </r>
      </text>
    </comment>
    <comment ref="F32" authorId="1" shapeId="0">
      <text>
        <r>
          <rPr>
            <b/>
            <sz val="8"/>
            <color indexed="81"/>
            <rFont val="Tahoma"/>
            <family val="2"/>
          </rPr>
          <t xml:space="preserve">      </t>
        </r>
        <r>
          <rPr>
            <b/>
            <u/>
            <sz val="8"/>
            <color indexed="81"/>
            <rFont val="Tahoma"/>
            <family val="2"/>
          </rPr>
          <t xml:space="preserve">FIG. 30.4-2B - Roofs for Buildings with h &lt;= 60 ft.
</t>
        </r>
        <r>
          <rPr>
            <b/>
            <sz val="8"/>
            <color indexed="81"/>
            <rFont val="Tahoma"/>
            <family val="2"/>
          </rPr>
          <t xml:space="preserve">For 7 &lt; </t>
        </r>
        <r>
          <rPr>
            <b/>
            <sz val="8"/>
            <color indexed="81"/>
            <rFont val="Symbol"/>
            <family val="1"/>
            <charset val="2"/>
          </rPr>
          <t>q</t>
        </r>
        <r>
          <rPr>
            <b/>
            <sz val="8"/>
            <color indexed="81"/>
            <rFont val="Tahoma"/>
            <family val="2"/>
          </rPr>
          <t xml:space="preserve"> &lt;= 27:</t>
        </r>
        <r>
          <rPr>
            <sz val="8"/>
            <color indexed="81"/>
            <rFont val="Tahoma"/>
            <family val="2"/>
          </rPr>
          <t xml:space="preserve">
Positive with overhang: Zone 1,2,3
    (GCp) = 0.5                                  for  A &lt;= 10 sq.ft.
    (GCp) = 0.7000-0.2000*logA      for  10 &lt; A &lt;= 100 sq.ft.
    (GCp) = 0.3                                  for  A &gt; 100 sq.ft.
Negative with overhang: Zone 1
    (GCp) = -0.9                                 for  A &lt;= 10 sq.ft.
    (GCp) = -1.0000+0.1000*logA    for  10 &lt; A &lt;= 100 sq.ft.
    (GCp) = -0.8                                 for  A &gt; 100 sq.ft.
Negative with overhang: Zone 2 &amp; 3
    (GCp) = -2.1                                 for  A &lt;= 10 sq.ft.
    (GCp) = -2.8000+0.7000*logA    for  10 &lt; A &lt;= 100 sq.ft.
    (GCp) = -1.4                                 for  A &gt; 100 sq.ft.
</t>
        </r>
      </text>
    </comment>
    <comment ref="G32" authorId="1" shapeId="0">
      <text>
        <r>
          <rPr>
            <b/>
            <sz val="8"/>
            <color indexed="81"/>
            <rFont val="Tahoma"/>
            <family val="2"/>
          </rPr>
          <t xml:space="preserve">         </t>
        </r>
        <r>
          <rPr>
            <b/>
            <u/>
            <sz val="8"/>
            <color indexed="81"/>
            <rFont val="Tahoma"/>
            <family val="2"/>
          </rPr>
          <t xml:space="preserve">FIG. 30.6-1 - Roofs for Buildings with h &gt; 60 ft.
Note: for </t>
        </r>
        <r>
          <rPr>
            <b/>
            <u/>
            <sz val="8"/>
            <color indexed="81"/>
            <rFont val="Symbol"/>
            <family val="1"/>
            <charset val="2"/>
          </rPr>
          <t>q</t>
        </r>
        <r>
          <rPr>
            <b/>
            <u/>
            <sz val="8"/>
            <color indexed="81"/>
            <rFont val="Tahoma"/>
            <family val="2"/>
          </rPr>
          <t xml:space="preserve"> &gt; 10, use FIG. 30.4-2B and 30.4-2C
</t>
        </r>
        <r>
          <rPr>
            <b/>
            <sz val="8"/>
            <color indexed="81"/>
            <rFont val="Tahoma"/>
            <family val="2"/>
          </rPr>
          <t xml:space="preserve">For 10 &lt; </t>
        </r>
        <r>
          <rPr>
            <b/>
            <sz val="8"/>
            <color indexed="81"/>
            <rFont val="Symbol"/>
            <family val="1"/>
            <charset val="2"/>
          </rPr>
          <t>q</t>
        </r>
        <r>
          <rPr>
            <b/>
            <sz val="8"/>
            <color indexed="81"/>
            <rFont val="Tahoma"/>
            <family val="2"/>
          </rPr>
          <t xml:space="preserve"> &lt;= 30:</t>
        </r>
        <r>
          <rPr>
            <sz val="8"/>
            <color indexed="81"/>
            <rFont val="Tahoma"/>
            <family val="2"/>
          </rPr>
          <t xml:space="preserve">
Positive without overhang: Zone 1,2,3
    (GCp) = 0.5                                  for  A &lt;= 10 sq.ft.
    (GCp) = 0.7000-0.2000*logA      for  10 &lt; A &lt;= 100 sq.ft.
    (GCp) = 0.3                                  for  A &gt; 100 sq.ft.
Negative without overhang: Zone 1
    (GCp) = -0.9                                 for  A &lt;= 10 sq.ft.
    (GCp) = -1.0000+0.1000*logA    for  10 &lt; A &lt;= 100 sq.ft.
    (GCp) = -0.8                                 for  A &gt; 100 sq.ft.
Negative without overhang: Zone 2 &amp; 3
    (GCp) = -2.1                                 for  A &lt;= 10 sq.ft.
    (GCp) = -2.8000+0.7000*logA    for  10 &lt; A &lt;= 100 sq.ft.
    (GCp) = -1.4                                 for  A &gt; 100 sq.ft.
</t>
        </r>
      </text>
    </comment>
    <comment ref="H32" authorId="1" shapeId="0">
      <text>
        <r>
          <rPr>
            <b/>
            <sz val="8"/>
            <color indexed="81"/>
            <rFont val="Tahoma"/>
            <family val="2"/>
          </rPr>
          <t xml:space="preserve">        </t>
        </r>
        <r>
          <rPr>
            <b/>
            <u/>
            <sz val="8"/>
            <color indexed="81"/>
            <rFont val="Tahoma"/>
            <family val="2"/>
          </rPr>
          <t>FIG. 30.6-1 - Roofs for Buildings with h &gt; 60 ft.
Note: for all buildings with overhangs, use FIG. 30.4-2B thru 30.4-2C</t>
        </r>
        <r>
          <rPr>
            <b/>
            <sz val="8"/>
            <color indexed="81"/>
            <rFont val="Tahoma"/>
            <family val="2"/>
          </rPr>
          <t xml:space="preserve">
</t>
        </r>
        <r>
          <rPr>
            <b/>
            <u/>
            <sz val="8"/>
            <color indexed="81"/>
            <rFont val="Tahoma"/>
            <family val="2"/>
          </rPr>
          <t xml:space="preserve">
</t>
        </r>
        <r>
          <rPr>
            <b/>
            <sz val="8"/>
            <color indexed="81"/>
            <rFont val="Tahoma"/>
            <family val="2"/>
          </rPr>
          <t xml:space="preserve">For 10 &lt; </t>
        </r>
        <r>
          <rPr>
            <b/>
            <sz val="8"/>
            <color indexed="81"/>
            <rFont val="Symbol"/>
            <family val="1"/>
            <charset val="2"/>
          </rPr>
          <t>q</t>
        </r>
        <r>
          <rPr>
            <b/>
            <sz val="8"/>
            <color indexed="81"/>
            <rFont val="Tahoma"/>
            <family val="2"/>
          </rPr>
          <t xml:space="preserve"> &lt;= 30:</t>
        </r>
        <r>
          <rPr>
            <sz val="8"/>
            <color indexed="81"/>
            <rFont val="Tahoma"/>
            <family val="2"/>
          </rPr>
          <t xml:space="preserve">
Positive with overhang: Zone 1,2,3
    (GCp) = 0.5                                  for  A &lt;= 10 sq.ft.
    (GCp) = 0.7000-0.2000*logA      for  10 &lt; A &lt;= 100 sq.ft.
    (GCp) = 0.3                                  for  A &gt; 100 sq.ft.
Negative with overhang: Zone 1
    (GCp) = -0.9                                 for  A &lt;= 10 sq.ft.
    (GCp) = -1.0000+0.1000*logA    for  10 &lt; A &lt;= 100 sq.ft.
    (GCp) = -0.8                                 for  A &gt; 100 sq.ft.
Negative with overhang: Zone 2 &amp; 3
    (GCp) = -2.1                                 for  A &lt;= 10 sq.ft.
    (GCp) = -2.8000+0.7000*logA    for  10 &lt; A &lt;= 100 sq.ft.
    (GCp) = -1.4                                 for  A &gt; 100 sq.ft.
</t>
        </r>
      </text>
    </comment>
    <comment ref="E33" authorId="1" shapeId="0">
      <text>
        <r>
          <rPr>
            <b/>
            <sz val="8"/>
            <color indexed="81"/>
            <rFont val="Tahoma"/>
            <family val="2"/>
          </rPr>
          <t xml:space="preserve">      </t>
        </r>
        <r>
          <rPr>
            <b/>
            <u/>
            <sz val="8"/>
            <color indexed="81"/>
            <rFont val="Tahoma"/>
            <family val="2"/>
          </rPr>
          <t xml:space="preserve">FIG. 30.4-2C - Roofs for Buildings with h &lt;= 60 ft.
</t>
        </r>
        <r>
          <rPr>
            <b/>
            <sz val="8"/>
            <color indexed="81"/>
            <rFont val="Tahoma"/>
            <family val="2"/>
          </rPr>
          <t xml:space="preserve">For 27 &lt; </t>
        </r>
        <r>
          <rPr>
            <b/>
            <sz val="8"/>
            <color indexed="81"/>
            <rFont val="Symbol"/>
            <family val="1"/>
            <charset val="2"/>
          </rPr>
          <t>q</t>
        </r>
        <r>
          <rPr>
            <b/>
            <sz val="8"/>
            <color indexed="81"/>
            <rFont val="Tahoma"/>
            <family val="2"/>
          </rPr>
          <t xml:space="preserve"> &lt;= 45:</t>
        </r>
        <r>
          <rPr>
            <sz val="8"/>
            <color indexed="81"/>
            <rFont val="Tahoma"/>
            <family val="2"/>
          </rPr>
          <t xml:space="preserve">
Positive without overhang: Zone 1,2,3
    (GCp) = 0.9                                  for  A &lt;= 10 sq.ft.
    (GCp) = 1.0000-0.1000*logA      for  10 &lt; A &lt;= 100 sq.ft.
    (GCp) = 0.8                                  for  A &gt; 100 sq.ft.
Negative without overhang: Zone 1
    (GCp) = -1.0                                 for  A &lt;= 10 sq.ft.
    (GCp) = -1.2000+0.2000*logA    for  10 &lt; A &lt;= 100 sq.ft.
    (GCp) = -0.8                                 for  A &gt; 100 sq.ft.
Negative without overhang: Zone 2 &amp; 3
    (GCp) = -1.2                                 for  A &lt;= 10 sq.ft.
    (GCp) = -1.4000+0.2000*logA    for  10 &lt; A &lt;= 100 sq.ft.
    (GCp) = -1.0                                 for  A &gt; 100 sq.ft.
</t>
        </r>
      </text>
    </comment>
    <comment ref="F33" authorId="1" shapeId="0">
      <text>
        <r>
          <rPr>
            <b/>
            <sz val="8"/>
            <color indexed="81"/>
            <rFont val="Tahoma"/>
            <family val="2"/>
          </rPr>
          <t xml:space="preserve">      </t>
        </r>
        <r>
          <rPr>
            <b/>
            <u/>
            <sz val="8"/>
            <color indexed="81"/>
            <rFont val="Tahoma"/>
            <family val="2"/>
          </rPr>
          <t xml:space="preserve">FIG. 30.4-2C - Roofs for Buildings with h &lt;= 60 ft.
</t>
        </r>
        <r>
          <rPr>
            <b/>
            <sz val="8"/>
            <color indexed="81"/>
            <rFont val="Tahoma"/>
            <family val="2"/>
          </rPr>
          <t xml:space="preserve">For 27 &lt; </t>
        </r>
        <r>
          <rPr>
            <b/>
            <sz val="8"/>
            <color indexed="81"/>
            <rFont val="Symbol"/>
            <family val="1"/>
            <charset val="2"/>
          </rPr>
          <t>q</t>
        </r>
        <r>
          <rPr>
            <b/>
            <sz val="8"/>
            <color indexed="81"/>
            <rFont val="Tahoma"/>
            <family val="2"/>
          </rPr>
          <t xml:space="preserve"> &lt;= 45:</t>
        </r>
        <r>
          <rPr>
            <sz val="8"/>
            <color indexed="81"/>
            <rFont val="Tahoma"/>
            <family val="2"/>
          </rPr>
          <t xml:space="preserve">
Positive with overhang: Zone 1,2,3
    (GCp) = 0.9                                  for  A &lt;= 10 sq.ft.
    (GCp) = 1.0000-0.1000*logA      for  10 &lt; A &lt;= 100 sq.ft.
    (GCp) = 0.8                                  for  A &gt; 100 sq.ft.
Negative with overhang: Zone 1
    (GCp) = -1.0                                 for  A &lt;= 10 sq.ft.
    (GCp) = -1.2000+0.2000*logA    for  10 &lt; A &lt;= 100 sq.ft.
    (GCp) = -0.8                                 for  A &gt; 100 sq.ft.
Negative with overhang: Zone 2 &amp; 3
    (GCp) = -1.2                                 for  A &lt;= 10 sq.ft.
    (GCp) = -1.4000+0.2000*logA    for  10 &lt; A &lt;= 100 sq.ft.
    (GCp) = -1.0                                 for  A &gt; 100 sq.ft.
</t>
        </r>
      </text>
    </comment>
    <comment ref="G33" authorId="1" shapeId="0">
      <text>
        <r>
          <rPr>
            <b/>
            <sz val="8"/>
            <color indexed="81"/>
            <rFont val="Tahoma"/>
            <family val="2"/>
          </rPr>
          <t xml:space="preserve">        </t>
        </r>
        <r>
          <rPr>
            <b/>
            <u/>
            <sz val="8"/>
            <color indexed="81"/>
            <rFont val="Tahoma"/>
            <family val="2"/>
          </rPr>
          <t xml:space="preserve">FIG. 30.6-1 - Roofs for Buildings with h &gt; 60 ft.
Note: for </t>
        </r>
        <r>
          <rPr>
            <b/>
            <u/>
            <sz val="8"/>
            <color indexed="81"/>
            <rFont val="Symbol"/>
            <family val="1"/>
            <charset val="2"/>
          </rPr>
          <t>q</t>
        </r>
        <r>
          <rPr>
            <b/>
            <u/>
            <sz val="8"/>
            <color indexed="81"/>
            <rFont val="Tahoma"/>
            <family val="2"/>
          </rPr>
          <t xml:space="preserve"> &gt; 10, use FIG. 30.4-2B and 30.4-2C
</t>
        </r>
        <r>
          <rPr>
            <b/>
            <sz val="8"/>
            <color indexed="81"/>
            <rFont val="Tahoma"/>
            <family val="2"/>
          </rPr>
          <t xml:space="preserve">For 30 &lt; </t>
        </r>
        <r>
          <rPr>
            <b/>
            <sz val="8"/>
            <color indexed="81"/>
            <rFont val="Symbol"/>
            <family val="1"/>
            <charset val="2"/>
          </rPr>
          <t>q</t>
        </r>
        <r>
          <rPr>
            <b/>
            <sz val="8"/>
            <color indexed="81"/>
            <rFont val="Tahoma"/>
            <family val="2"/>
          </rPr>
          <t xml:space="preserve"> &lt;= 45:</t>
        </r>
        <r>
          <rPr>
            <sz val="8"/>
            <color indexed="81"/>
            <rFont val="Tahoma"/>
            <family val="2"/>
          </rPr>
          <t xml:space="preserve">
Positive without overhang: Zone 1,2,3
    (GCp) = 0.9                                  for  A &lt;= 10 sq.ft.
    (GCp) = 1.0000-0.1000*logA      for  10 &lt; A &lt;= 100 sq.ft.
    (GCp) = 0.8                                  for  A &gt; 100 sq.ft.
Negative without overhang: Zone 1
    (GCp) = -1.0                                 for  A &lt;= 10 sq.ft.
    (GCp) = -1.2000+0.2000*logA    for  10 &lt; A &lt;= 100 sq.ft.
    (GCp) = -0.8                                 for  A &gt; 100 sq.ft.
Negative without overhang: Zone 2 &amp; 3
    (GCp) = -1.2                                 for  A &lt;= 10 sq.ft.
    (GCp) = -1.4000+0.2000*logA    for  10 &lt; A &lt;= 100 sq.ft.
    (GCp) = -1.0                                 for  A &gt; 100 sq.ft.
</t>
        </r>
      </text>
    </comment>
    <comment ref="H33" authorId="1" shapeId="0">
      <text>
        <r>
          <rPr>
            <b/>
            <sz val="8"/>
            <color indexed="81"/>
            <rFont val="Tahoma"/>
            <family val="2"/>
          </rPr>
          <t xml:space="preserve">       </t>
        </r>
        <r>
          <rPr>
            <b/>
            <u/>
            <sz val="8"/>
            <color indexed="81"/>
            <rFont val="Tahoma"/>
            <family val="2"/>
          </rPr>
          <t xml:space="preserve">FIG. 30.6-1 - Roofs for Buildings with h &gt; 60 ft.
Note: for all buildings with overhangs, use FIG. 30.4-2B thru 30.4-2C
</t>
        </r>
        <r>
          <rPr>
            <b/>
            <sz val="8"/>
            <color indexed="81"/>
            <rFont val="Tahoma"/>
            <family val="2"/>
          </rPr>
          <t xml:space="preserve">For 30 &lt; </t>
        </r>
        <r>
          <rPr>
            <b/>
            <sz val="8"/>
            <color indexed="81"/>
            <rFont val="Symbol"/>
            <family val="1"/>
            <charset val="2"/>
          </rPr>
          <t>q</t>
        </r>
        <r>
          <rPr>
            <b/>
            <sz val="8"/>
            <color indexed="81"/>
            <rFont val="Tahoma"/>
            <family val="2"/>
          </rPr>
          <t xml:space="preserve"> &lt;= 45:</t>
        </r>
        <r>
          <rPr>
            <sz val="8"/>
            <color indexed="81"/>
            <rFont val="Tahoma"/>
            <family val="2"/>
          </rPr>
          <t xml:space="preserve">
Positive with overhang: Zone 1,2,3
    (GCp) = 0.9                                  for  A &lt;= 10 sq.ft.
    (GCp) = 1.0000-0.1000*logA      for  10 &lt; A &lt;= 100 sq.ft.
    (GCp) = 0.8                                  for  A &gt; 100 sq.ft.
Negative with overhang: Zone 1
    (GCp) = -1.0                                 for  A &lt;= 10 sq.ft.
    (GCp) = -1.2000+0.2000*logA    for  10 &lt; A &lt;= 100 sq.ft.
    (GCp) = -0.8                                 for  A &gt; 100 sq.ft.
Negative with overhang: Zone 2 &amp; 3
    (GCp) = -1.2                                 for  A &lt;= 10 sq.ft.
    (GCp) = -1.4000+0.2000*logA    for  10 &lt; A &lt;= 100 sq.ft.
    (GCp) = -1.0                                 for  A &gt; 100 sq.ft.
</t>
        </r>
      </text>
    </comment>
    <comment ref="E35" authorId="2" shapeId="0">
      <text>
        <r>
          <rPr>
            <b/>
            <sz val="8"/>
            <color indexed="81"/>
            <rFont val="Tahoma"/>
            <family val="2"/>
          </rPr>
          <t xml:space="preserve">        </t>
        </r>
        <r>
          <rPr>
            <b/>
            <u/>
            <sz val="8"/>
            <color indexed="81"/>
            <rFont val="Tahoma"/>
            <family val="2"/>
          </rPr>
          <t>Internal Pressure Coefficients, GCpi (Figure 26.11-1)</t>
        </r>
        <r>
          <rPr>
            <sz val="8"/>
            <color indexed="81"/>
            <rFont val="Tahoma"/>
            <family val="2"/>
          </rPr>
          <t xml:space="preserve">
</t>
        </r>
        <r>
          <rPr>
            <sz val="8"/>
            <color indexed="81"/>
            <rFont val="Tahoma"/>
            <family val="2"/>
          </rPr>
          <t xml:space="preserve">
    </t>
        </r>
        <r>
          <rPr>
            <u/>
            <sz val="8"/>
            <color indexed="81"/>
            <rFont val="Tahoma"/>
            <family val="2"/>
          </rPr>
          <t xml:space="preserve">          Condition                                                 (+/-) GCpi     
</t>
        </r>
        <r>
          <rPr>
            <sz val="8"/>
            <color indexed="81"/>
            <rFont val="Tahoma"/>
            <family val="2"/>
          </rPr>
          <t xml:space="preserve">    Partially enclosed buildings                                +0.55, -0.55
    Enclosed buildings                                              +0.18, -0.18
Per Sect. 26.11, for a partially enclosed building containing a single, unpartitioned large volume, the GCpi coefficients shall be multiplied by the following reduction factor, Ri:
    Ri = 1.0  or  Ri = 0.5*(1+(1/(1+Vi/(22800*Aog))^0.5)) &lt;= 1.0
      where:  Aog = total area of openings in the building envelope
                              (walls and roof, ft.^2).
                   Vi = unpartitioned internal volume (ft.^3).
</t>
        </r>
        <r>
          <rPr>
            <b/>
            <sz val="8"/>
            <color indexed="81"/>
            <rFont val="Tahoma"/>
            <family val="2"/>
          </rPr>
          <t>Note:</t>
        </r>
        <r>
          <rPr>
            <sz val="8"/>
            <color indexed="81"/>
            <rFont val="Tahoma"/>
            <family val="2"/>
          </rPr>
          <t xml:space="preserve">  This program assumes NO reduction of the GCpi coefficients
            for large volume buildings. Thus, Ri = 1.0.</t>
        </r>
      </text>
    </comment>
    <comment ref="C39" authorId="2" shapeId="0">
      <text>
        <r>
          <rPr>
            <b/>
            <u/>
            <sz val="8"/>
            <color indexed="81"/>
            <rFont val="Tahoma"/>
            <family val="2"/>
          </rPr>
          <t xml:space="preserve">Terrain Exposure Constants (Table 26.9-1)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r>
          <rPr>
            <sz val="8"/>
            <color indexed="81"/>
            <rFont val="Tahoma"/>
            <family val="2"/>
          </rPr>
          <t xml:space="preserve">
</t>
        </r>
      </text>
    </comment>
    <comment ref="D46" authorId="1" shapeId="0">
      <text>
        <r>
          <rPr>
            <sz val="8"/>
            <color indexed="81"/>
            <rFont val="Tahoma"/>
            <family val="2"/>
          </rPr>
          <t xml:space="preserve">Per Code </t>
        </r>
        <r>
          <rPr>
            <b/>
            <sz val="8"/>
            <color indexed="81"/>
            <rFont val="Tahoma"/>
            <family val="2"/>
          </rPr>
          <t>Section 30.2.2</t>
        </r>
        <r>
          <rPr>
            <sz val="8"/>
            <color indexed="81"/>
            <rFont val="Tahoma"/>
            <family val="2"/>
          </rPr>
          <t xml:space="preserve">, the minimum wind load to be used in the design of the Main Wind-Force Resisting System shall not be less than </t>
        </r>
        <r>
          <rPr>
            <b/>
            <sz val="8"/>
            <color indexed="81"/>
            <rFont val="Tahoma"/>
            <family val="2"/>
          </rPr>
          <t>16 psf</t>
        </r>
        <r>
          <rPr>
            <sz val="8"/>
            <color indexed="81"/>
            <rFont val="Tahoma"/>
            <family val="2"/>
          </rPr>
          <t>.</t>
        </r>
      </text>
    </comment>
    <comment ref="H54" authorId="1" shapeId="0">
      <text>
        <r>
          <rPr>
            <sz val="8"/>
            <color indexed="81"/>
            <rFont val="Tahoma"/>
            <family val="2"/>
          </rPr>
          <t xml:space="preserve">Per Code </t>
        </r>
        <r>
          <rPr>
            <b/>
            <sz val="8"/>
            <color indexed="81"/>
            <rFont val="Tahoma"/>
            <family val="2"/>
          </rPr>
          <t>Section 30.2.2</t>
        </r>
        <r>
          <rPr>
            <sz val="8"/>
            <color indexed="81"/>
            <rFont val="Tahoma"/>
            <family val="2"/>
          </rPr>
          <t xml:space="preserve">, the minimum wind design pressure to be used in the design of components and cladding shall not be less than </t>
        </r>
        <r>
          <rPr>
            <b/>
            <sz val="8"/>
            <color indexed="81"/>
            <rFont val="Tahoma"/>
            <family val="2"/>
          </rPr>
          <t>16 psf</t>
        </r>
        <r>
          <rPr>
            <sz val="8"/>
            <color indexed="81"/>
            <rFont val="Tahoma"/>
            <family val="2"/>
          </rPr>
          <t xml:space="preserve"> acting in either direction normal to the surface.</t>
        </r>
      </text>
    </comment>
    <comment ref="E86" authorId="1" shapeId="0">
      <text>
        <r>
          <rPr>
            <sz val="8"/>
            <color indexed="81"/>
            <rFont val="Tahoma"/>
            <family val="2"/>
          </rPr>
          <t xml:space="preserve">For h &lt;= 60', width </t>
        </r>
        <r>
          <rPr>
            <b/>
            <sz val="8"/>
            <color indexed="81"/>
            <rFont val="Tahoma"/>
            <family val="2"/>
          </rPr>
          <t>'a'</t>
        </r>
        <r>
          <rPr>
            <sz val="8"/>
            <color indexed="81"/>
            <rFont val="Tahoma"/>
            <family val="2"/>
          </rPr>
          <t xml:space="preserve"> for Zone 2 is equal to 10% of least horizontal dimension or 0.4*h, whichever is smaller, but not less than either 4% of least horizontal dimension or 3'.
For h &gt; 60', width </t>
        </r>
        <r>
          <rPr>
            <b/>
            <sz val="8"/>
            <color indexed="81"/>
            <rFont val="Tahoma"/>
            <family val="2"/>
          </rPr>
          <t>'a'</t>
        </r>
        <r>
          <rPr>
            <sz val="8"/>
            <color indexed="81"/>
            <rFont val="Tahoma"/>
            <family val="2"/>
          </rPr>
          <t xml:space="preserve"> for Zone 2 is equal to 10% of least horizontal dimension, but not less than 3'.</t>
        </r>
      </text>
    </comment>
  </commentList>
</comments>
</file>

<file path=xl/comments5.xml><?xml version="1.0" encoding="utf-8"?>
<comments xmlns="http://schemas.openxmlformats.org/spreadsheetml/2006/main">
  <authors>
    <author xml:space="preserve"> </author>
    <author>Bob Dalpiaz</author>
    <author>Alex Tomanovich</author>
    <author>4892</author>
    <author>ATOMANOV</author>
  </authors>
  <commentList>
    <comment ref="AA1" authorId="0" shapeId="0">
      <text>
        <r>
          <rPr>
            <sz val="8"/>
            <color indexed="81"/>
            <rFont val="Tahoma"/>
            <family val="2"/>
          </rPr>
          <t xml:space="preserve">            "</t>
        </r>
        <r>
          <rPr>
            <b/>
            <sz val="8"/>
            <color indexed="81"/>
            <rFont val="Tahoma"/>
            <family val="2"/>
          </rPr>
          <t>ASCE710W.xls</t>
        </r>
        <r>
          <rPr>
            <sz val="8"/>
            <color indexed="81"/>
            <rFont val="Tahoma"/>
            <family val="2"/>
          </rPr>
          <t>"
written by: William Fultz, P.E.
based on a spreadsheet by:  Alex Tomanovich, P.E.</t>
        </r>
      </text>
    </comment>
    <comment ref="J3" authorId="0" shapeId="0">
      <text>
        <r>
          <rPr>
            <b/>
            <u/>
            <sz val="8"/>
            <color indexed="81"/>
            <rFont val="Tahoma"/>
            <family val="2"/>
          </rPr>
          <t>Note:</t>
        </r>
        <r>
          <rPr>
            <sz val="8"/>
            <color indexed="81"/>
            <rFont val="Tahoma"/>
            <family val="2"/>
          </rPr>
          <t xml:space="preserve"> This program assumes open structures are a maximum of 500 ft. tall.</t>
        </r>
      </text>
    </comment>
    <comment ref="C9" authorId="1" shapeId="0">
      <text>
        <r>
          <rPr>
            <sz val="8"/>
            <color indexed="81"/>
            <rFont val="Tahoma"/>
            <family val="2"/>
          </rPr>
          <t>The</t>
        </r>
        <r>
          <rPr>
            <b/>
            <sz val="8"/>
            <color indexed="81"/>
            <rFont val="Tahoma"/>
            <family val="2"/>
          </rPr>
          <t xml:space="preserve"> Basic Design Wind Speed, V (mph)</t>
        </r>
        <r>
          <rPr>
            <sz val="8"/>
            <color indexed="81"/>
            <rFont val="Tahoma"/>
            <family val="2"/>
          </rPr>
          <t xml:space="preserve">, corresponds to a 3-second gust speed at 33' above ground in Exposure Category "C" and is associated with an annual probability for Risk Category of being equalled or exceeded (x-year mean recurrence interval per Risk Category).
</t>
        </r>
        <r>
          <rPr>
            <b/>
            <sz val="8"/>
            <color indexed="81"/>
            <rFont val="Tahoma"/>
            <family val="2"/>
          </rPr>
          <t>For Basic Wind Speed Map (Fig. 26.5-1A-C) see 'Wind Map' worksheet of this workbook.</t>
        </r>
      </text>
    </comment>
    <comment ref="C10" authorId="2" shapeId="0">
      <text>
        <r>
          <rPr>
            <b/>
            <sz val="8"/>
            <color indexed="81"/>
            <rFont val="Tahoma"/>
            <family val="2"/>
          </rPr>
          <t xml:space="preserve">                                                                          TABLE 1-1</t>
        </r>
        <r>
          <rPr>
            <b/>
            <u/>
            <sz val="8"/>
            <color indexed="81"/>
            <rFont val="Tahoma"/>
            <family val="2"/>
          </rPr>
          <t xml:space="preserve">
Occupancy Category of Buildings and Other Structures for Flood, Wind, Snow, Earthquake, and Ice Loads</t>
        </r>
        <r>
          <rPr>
            <sz val="8"/>
            <color indexed="81"/>
            <rFont val="Tahoma"/>
            <family val="2"/>
          </rPr>
          <t xml:space="preserve">                                                                                                      
</t>
        </r>
        <r>
          <rPr>
            <b/>
            <u/>
            <sz val="8"/>
            <color indexed="81"/>
            <rFont val="Tahoma"/>
            <family val="2"/>
          </rPr>
          <t xml:space="preserve">Nature of Occupancy                                                                                                                    Occupancy Category </t>
        </r>
        <r>
          <rPr>
            <sz val="8"/>
            <color indexed="81"/>
            <rFont val="Tahoma"/>
            <family val="2"/>
          </rPr>
          <t xml:space="preserve">
Buildings and structures that represent a low hazard to human life in the event of failure including,                  I
  but not limited to:
     - Agriculture facilities                                                                                                             
     - Certain temporary facilities
</t>
        </r>
        <r>
          <rPr>
            <u/>
            <sz val="8"/>
            <color indexed="81"/>
            <rFont val="Tahoma"/>
            <family val="2"/>
          </rPr>
          <t xml:space="preserve">     - Minor storage facilities                                                                                                                                              </t>
        </r>
        <r>
          <rPr>
            <sz val="8"/>
            <color indexed="81"/>
            <rFont val="Tahoma"/>
            <family val="2"/>
          </rPr>
          <t xml:space="preserve">       
</t>
        </r>
        <r>
          <rPr>
            <u/>
            <sz val="8"/>
            <color indexed="81"/>
            <rFont val="Tahoma"/>
            <family val="2"/>
          </rPr>
          <t xml:space="preserve">Buildings and other structures except those listed in Categories I, III and IV                                                      II        </t>
        </r>
        <r>
          <rPr>
            <sz val="8"/>
            <color indexed="81"/>
            <rFont val="Tahoma"/>
            <family val="2"/>
          </rPr>
          <t xml:space="preserve">
Buildings and other structures that represent a substantial hazard to human life in the event of                       III      
  failure including, but not limited to:
     - Buildings and other structures where more than 300 people congregate in one area
     - Buildings and other structures with day-care facilities with capacity greater than 150
     - Elementary or secondary school facilities with capacity greater than 250
     - Colleges &amp; adult education facilities with a capacity greater than 500
     - Health care facilities with a capacity greater than 50 resident patients but not having surgery
         or emergency treatment facilities
     - Jails and detention facilities
Buildings and other structures, not includes in Occupancy Category IV, with potential to cause 
  substantial economic impact and/or mass disruption of day-to-day civilian life in event of failure, 
  including, but not limited to:
     - Power generating stations, water treatment facilities, sewage treatment facilities, and
         telecommunication centers
     - Buildings and structures not included in Category IV containing sufficient quantities of toxic,
</t>
        </r>
        <r>
          <rPr>
            <u/>
            <sz val="8"/>
            <color indexed="81"/>
            <rFont val="Tahoma"/>
            <family val="2"/>
          </rPr>
          <t xml:space="preserve">         explosive, or other hazardous materials dangerous to the public if released                                                        </t>
        </r>
        <r>
          <rPr>
            <sz val="8"/>
            <color indexed="81"/>
            <rFont val="Tahoma"/>
            <family val="2"/>
          </rPr>
          <t xml:space="preserve">
Buildings and other structures designated as essential facilities including, but not limited to:                              IV
     - Hospitals and health care facilities having surgery or emergency treatment facilities
     - Fire, rescue and police stations and emergency vehicle garages
     - Designated earthquake, hurricane or other emergency shelters
     - Designated emergency preparedness, communication, and operation centers and other
         facilities required for emergency response 
     - Power-generating stations and other public utility facilities required in an emergency
     - Ancillary structures required foroperation of Category IV structures during an emergency
     - Aviation control towers, air traffic control centers and emergency aircraft hangars
     - Water storage facilities and pump structures required to maintain water pressure for fire suppression
     - Buildings and other structures having critical national defense functions
     - Buildings and structures containing extremelyhazardous materials where quantity of material 
         exceeds a threshhold quantity established by authority having jurisdiction </t>
        </r>
      </text>
    </comment>
    <comment ref="C11" authorId="1" shapeId="0">
      <text>
        <r>
          <rPr>
            <b/>
            <sz val="8"/>
            <color indexed="81"/>
            <rFont val="Tahoma"/>
            <family val="2"/>
          </rPr>
          <t>Surface Roughness Categories</t>
        </r>
        <r>
          <rPr>
            <sz val="8"/>
            <color indexed="81"/>
            <rFont val="Tahoma"/>
            <family val="2"/>
          </rPr>
          <t xml:space="preserve"> for the purpose of assigning </t>
        </r>
        <r>
          <rPr>
            <b/>
            <sz val="8"/>
            <color indexed="81"/>
            <rFont val="Tahoma"/>
            <family val="2"/>
          </rPr>
          <t>Exposure</t>
        </r>
        <r>
          <rPr>
            <sz val="8"/>
            <color indexed="81"/>
            <rFont val="Tahoma"/>
            <family val="2"/>
          </rPr>
          <t xml:space="preserve"> </t>
        </r>
        <r>
          <rPr>
            <b/>
            <sz val="8"/>
            <color indexed="81"/>
            <rFont val="Tahoma"/>
            <family val="2"/>
          </rPr>
          <t>Category</t>
        </r>
        <r>
          <rPr>
            <sz val="8"/>
            <color indexed="81"/>
            <rFont val="Tahoma"/>
            <family val="2"/>
          </rPr>
          <t xml:space="preserve"> are defined as follows:
</t>
        </r>
        <r>
          <rPr>
            <b/>
            <sz val="8"/>
            <color indexed="81"/>
            <rFont val="Tahoma"/>
            <family val="2"/>
          </rPr>
          <t xml:space="preserve">Surface Roughness "B":
</t>
        </r>
        <r>
          <rPr>
            <sz val="8"/>
            <color indexed="81"/>
            <rFont val="Tahoma"/>
            <family val="2"/>
          </rPr>
          <t xml:space="preserve">Urban and suburban areas, wooded areas or other terrain with numerous closely spaced obstructions having the size of single family dwellings or larger.
</t>
        </r>
        <r>
          <rPr>
            <b/>
            <sz val="8"/>
            <color indexed="81"/>
            <rFont val="Tahoma"/>
            <family val="2"/>
          </rPr>
          <t xml:space="preserve">Surface Roughness "C":
</t>
        </r>
        <r>
          <rPr>
            <sz val="8"/>
            <color indexed="81"/>
            <rFont val="Tahoma"/>
            <family val="2"/>
          </rPr>
          <t>Open terrain with scattered obstructions having heights generally &lt; 30 ft.  This category includes flat open country, grass lands, and all water surfaces in hurricane prone regions.</t>
        </r>
        <r>
          <rPr>
            <sz val="8"/>
            <color indexed="81"/>
            <rFont val="Tahoma"/>
            <family val="2"/>
          </rPr>
          <t xml:space="preserve">
</t>
        </r>
        <r>
          <rPr>
            <b/>
            <sz val="8"/>
            <color indexed="81"/>
            <rFont val="Tahoma"/>
            <family val="2"/>
          </rPr>
          <t>Surface Roughness "D":</t>
        </r>
        <r>
          <rPr>
            <sz val="8"/>
            <color indexed="81"/>
            <rFont val="Tahoma"/>
            <family val="2"/>
          </rPr>
          <t xml:space="preserve">
Flat, unobstructed areas and water surfaces outside hurricane prone regions.  This category includes smooth mud flats, salt flats, and unbroken ice.
</t>
        </r>
        <r>
          <rPr>
            <b/>
            <sz val="8"/>
            <color indexed="81"/>
            <rFont val="Tahoma"/>
            <family val="2"/>
          </rPr>
          <t>Exposure Categories</t>
        </r>
        <r>
          <rPr>
            <sz val="8"/>
            <color indexed="81"/>
            <rFont val="Tahoma"/>
            <family val="2"/>
          </rPr>
          <t xml:space="preserve"> are defined as follows:
</t>
        </r>
        <r>
          <rPr>
            <b/>
            <sz val="8"/>
            <color indexed="81"/>
            <rFont val="Tahoma"/>
            <family val="2"/>
          </rPr>
          <t xml:space="preserve">Exposure "B":
</t>
        </r>
        <r>
          <rPr>
            <sz val="8"/>
            <color indexed="81"/>
            <rFont val="Tahoma"/>
            <family val="2"/>
          </rPr>
          <t xml:space="preserve">Exposure B shall apply where the ground surface roughness condition, as defined by Surface Roughness B, prevails in the upwind direction for a distance of at least 2600 ft. or 20 times the building height, whichever is greater.
   Exception: For buildings whose mean roof height &lt;= 30 ft., the upwind 
   distance may be reduced to 1500 ft.
</t>
        </r>
        <r>
          <rPr>
            <b/>
            <sz val="8"/>
            <color indexed="81"/>
            <rFont val="Tahoma"/>
            <family val="2"/>
          </rPr>
          <t xml:space="preserve">Exposure "C":
</t>
        </r>
        <r>
          <rPr>
            <sz val="8"/>
            <color indexed="81"/>
            <rFont val="Tahoma"/>
            <family val="2"/>
          </rPr>
          <t xml:space="preserve">Exposure C shall apply for all cases where exposures B and D do not apply.
</t>
        </r>
        <r>
          <rPr>
            <b/>
            <sz val="8"/>
            <color indexed="81"/>
            <rFont val="Tahoma"/>
            <family val="2"/>
          </rPr>
          <t>Exposure "D":</t>
        </r>
        <r>
          <rPr>
            <sz val="8"/>
            <color indexed="81"/>
            <rFont val="Tahoma"/>
            <family val="2"/>
          </rPr>
          <t xml:space="preserve">
Exposure D shall apply where the ground surface roughness, as defined by Surface Roughness D, prevails in the upwind diection for a distance &gt;= 5,000 ft. or 20 times the building height, whichever is greater.  Exposure D shall extend into downwind areas of Surface Roughness B or C for a distance of 600 ft. or 20 times the height of the building, whichever is greater.</t>
        </r>
      </text>
    </comment>
    <comment ref="C12" authorId="1" shapeId="0">
      <text>
        <r>
          <rPr>
            <sz val="8"/>
            <color indexed="81"/>
            <rFont val="Tahoma"/>
            <family val="2"/>
          </rPr>
          <t>The</t>
        </r>
        <r>
          <rPr>
            <b/>
            <sz val="8"/>
            <color indexed="81"/>
            <rFont val="Tahoma"/>
            <family val="2"/>
          </rPr>
          <t xml:space="preserve"> Topographic Factor, Kzt</t>
        </r>
        <r>
          <rPr>
            <sz val="8"/>
            <color indexed="81"/>
            <rFont val="Tahoma"/>
            <family val="2"/>
          </rPr>
          <t>, accounts for effect of wind speed-up over isolated hills and escarpments (</t>
        </r>
        <r>
          <rPr>
            <b/>
            <sz val="8"/>
            <color indexed="81"/>
            <rFont val="Tahoma"/>
            <family val="2"/>
          </rPr>
          <t>Sect. 26.8</t>
        </r>
        <r>
          <rPr>
            <sz val="8"/>
            <color indexed="81"/>
            <rFont val="Tahoma"/>
            <family val="2"/>
          </rPr>
          <t xml:space="preserve"> and </t>
        </r>
        <r>
          <rPr>
            <b/>
            <sz val="8"/>
            <color indexed="81"/>
            <rFont val="Tahoma"/>
            <family val="2"/>
          </rPr>
          <t>Fig. 26.8-1</t>
        </r>
        <r>
          <rPr>
            <sz val="8"/>
            <color indexed="81"/>
            <rFont val="Tahoma"/>
            <family val="2"/>
          </rPr>
          <t xml:space="preserve">).
</t>
        </r>
        <r>
          <rPr>
            <b/>
            <sz val="8"/>
            <color indexed="81"/>
            <rFont val="Tahoma"/>
            <family val="2"/>
          </rPr>
          <t>Kzt = (1+K1*K2*K3)^2</t>
        </r>
        <r>
          <rPr>
            <sz val="8"/>
            <color indexed="81"/>
            <rFont val="Tahoma"/>
            <family val="2"/>
          </rPr>
          <t xml:space="preserve">   (Eq. 26.8-1), where:
H   = height of hill or escarpment relative to the upwind terrain, in feet.
Lh  = Distance upwind of crest to where the difference in ground elevation is    
         half the height of hill or escarpment, in feet.
K1 = factor to account for shape of topographic feature and maximum   
        speed-up effect.
K2 = factor to account for reduction in speed-up with distance upwind or     
        downwind of crest.
K3 = factor to account for reduction in speed-up with height above local terrain.
x = distance (upwind or downwind) from the crest to the building site, in feet.
z = height above local ground level, in feet.
</t>
        </r>
        <r>
          <rPr>
            <b/>
            <sz val="8"/>
            <color indexed="81"/>
            <rFont val="Tahoma"/>
            <family val="2"/>
          </rPr>
          <t>The effect of wind speed-up shall not be required to be considered (Kzt = 1.0) when H/Lh &lt; 0.2, or H &lt; 15' for Exposures 'C' and 'D', or H &lt; 60' for Exposure 'B'.</t>
        </r>
      </text>
    </comment>
    <comment ref="H12" authorId="1" shapeId="0">
      <text>
        <r>
          <rPr>
            <b/>
            <u/>
            <sz val="8"/>
            <color indexed="81"/>
            <rFont val="Tahoma"/>
            <family val="2"/>
          </rPr>
          <t xml:space="preserve">Terrain Exposure Constants (Table 26.9-1)
</t>
        </r>
        <r>
          <rPr>
            <u/>
            <sz val="8"/>
            <color indexed="81"/>
            <rFont val="Tahoma"/>
            <family val="2"/>
          </rPr>
          <t xml:space="preserve">
</t>
        </r>
        <r>
          <rPr>
            <sz val="8"/>
            <color indexed="81"/>
            <rFont val="Tahoma"/>
            <family val="2"/>
          </rPr>
          <t xml:space="preserve">    </t>
        </r>
        <r>
          <rPr>
            <u/>
            <sz val="8"/>
            <color indexed="81"/>
            <rFont val="Tahoma"/>
            <family val="2"/>
          </rPr>
          <t xml:space="preserve">Exposure Category           </t>
        </r>
        <r>
          <rPr>
            <u/>
            <sz val="8"/>
            <color indexed="81"/>
            <rFont val="Symbol"/>
            <family val="1"/>
            <charset val="2"/>
          </rPr>
          <t>a</t>
        </r>
        <r>
          <rPr>
            <u/>
            <sz val="8"/>
            <color indexed="81"/>
            <rFont val="Tahoma"/>
            <family val="2"/>
          </rPr>
          <t xml:space="preserve">           zg (ft)</t>
        </r>
        <r>
          <rPr>
            <sz val="8"/>
            <color indexed="81"/>
            <rFont val="Tahoma"/>
            <family val="2"/>
          </rPr>
          <t xml:space="preserve">
                B                          7.0         1,200
                C                          9.5           900
                D                         11.5          700</t>
        </r>
        <r>
          <rPr>
            <u/>
            <sz val="8"/>
            <color indexed="81"/>
            <rFont val="Tahoma"/>
            <family val="2"/>
          </rPr>
          <t xml:space="preserve">
</t>
        </r>
        <r>
          <rPr>
            <sz val="8"/>
            <color indexed="81"/>
            <rFont val="Tahoma"/>
            <family val="2"/>
          </rPr>
          <t xml:space="preserve">
</t>
        </r>
      </text>
    </comment>
    <comment ref="G15" authorId="0" shapeId="0">
      <text>
        <r>
          <rPr>
            <b/>
            <sz val="8"/>
            <color indexed="81"/>
            <rFont val="Tahoma"/>
            <family val="2"/>
          </rPr>
          <t xml:space="preserve"> </t>
        </r>
        <r>
          <rPr>
            <sz val="8"/>
            <color indexed="81"/>
            <rFont val="Tahoma"/>
            <family val="2"/>
          </rPr>
          <t>If the structure is "rigid", then the minimum of either the calculated value of 'G' for "rigid" structures or 0.85 is used.  If the structure is "flexible" then the calculated value of 'G' is used.
(See calculations on page 2.)</t>
        </r>
      </text>
    </comment>
    <comment ref="C16" authorId="1" shapeId="0">
      <text>
        <r>
          <rPr>
            <sz val="8"/>
            <color indexed="81"/>
            <rFont val="Tahoma"/>
            <family val="2"/>
          </rPr>
          <t xml:space="preserve">The </t>
        </r>
        <r>
          <rPr>
            <b/>
            <sz val="8"/>
            <color indexed="81"/>
            <rFont val="Tahoma"/>
            <family val="2"/>
          </rPr>
          <t xml:space="preserve">Damping Ratio, </t>
        </r>
        <r>
          <rPr>
            <b/>
            <sz val="8"/>
            <color indexed="81"/>
            <rFont val="Symbol"/>
            <family val="1"/>
            <charset val="2"/>
          </rPr>
          <t>b</t>
        </r>
        <r>
          <rPr>
            <sz val="8"/>
            <color indexed="81"/>
            <rFont val="Tahoma"/>
            <family val="2"/>
          </rPr>
          <t>,</t>
        </r>
        <r>
          <rPr>
            <b/>
            <sz val="8"/>
            <color indexed="81"/>
            <rFont val="Tahoma"/>
            <family val="2"/>
          </rPr>
          <t xml:space="preserve"> </t>
        </r>
        <r>
          <rPr>
            <sz val="8"/>
            <color indexed="81"/>
            <rFont val="Tahoma"/>
            <family val="2"/>
          </rPr>
          <t xml:space="preserve">is the percent of critical damping. 
It is only used in the calculation of the Gust Factor, Gf, when a structure is considered "flexible".  A structure is considered "flexible" when it has a natural frequency,
f &lt; 1 hz. Otherwise the structure is considered "rigid".
Suggested range of values is from 0.010 to 0.070.
</t>
        </r>
        <r>
          <rPr>
            <b/>
            <u/>
            <sz val="8"/>
            <color indexed="81"/>
            <rFont val="Tahoma"/>
            <family val="2"/>
          </rPr>
          <t>Note:</t>
        </r>
        <r>
          <rPr>
            <b/>
            <sz val="8"/>
            <color indexed="81"/>
            <rFont val="Tahoma"/>
            <family val="2"/>
          </rPr>
          <t xml:space="preserve">  if the structure is "flexible", the smaller the value of the damping ratio, the larger the gust effect factor, Gf, becomes.</t>
        </r>
      </text>
    </comment>
    <comment ref="C17" authorId="1" shapeId="0">
      <text>
        <r>
          <rPr>
            <sz val="8"/>
            <color indexed="81"/>
            <rFont val="Tahoma"/>
            <family val="2"/>
          </rPr>
          <t xml:space="preserve">The structure </t>
        </r>
        <r>
          <rPr>
            <b/>
            <sz val="8"/>
            <color indexed="81"/>
            <rFont val="Tahoma"/>
            <family val="2"/>
          </rPr>
          <t>Period Coefficient, Ct</t>
        </r>
        <r>
          <rPr>
            <sz val="8"/>
            <color indexed="81"/>
            <rFont val="Tahoma"/>
            <family val="2"/>
          </rPr>
          <t xml:space="preserve">, has suggested range of values from
0.020 to 0.035. It is used in the equation for the assumed period of the structure:  </t>
        </r>
        <r>
          <rPr>
            <b/>
            <sz val="8"/>
            <color indexed="81"/>
            <rFont val="Tahoma"/>
            <family val="2"/>
          </rPr>
          <t>T = Ct*h^3/4</t>
        </r>
        <r>
          <rPr>
            <sz val="8"/>
            <color indexed="81"/>
            <rFont val="Tahoma"/>
            <family val="2"/>
          </rPr>
          <t>.</t>
        </r>
        <r>
          <rPr>
            <sz val="8"/>
            <color indexed="81"/>
            <rFont val="Tahoma"/>
            <family val="2"/>
          </rPr>
          <t xml:space="preserve">
Then the </t>
        </r>
        <r>
          <rPr>
            <b/>
            <sz val="8"/>
            <color indexed="81"/>
            <rFont val="Tahoma"/>
            <family val="2"/>
          </rPr>
          <t>natural frequency, f</t>
        </r>
        <r>
          <rPr>
            <sz val="8"/>
            <color indexed="81"/>
            <rFont val="Tahoma"/>
            <family val="2"/>
          </rPr>
          <t xml:space="preserve">,  is determined by: </t>
        </r>
        <r>
          <rPr>
            <b/>
            <sz val="8"/>
            <color indexed="81"/>
            <rFont val="Tahoma"/>
            <family val="2"/>
          </rPr>
          <t xml:space="preserve"> f = 1/T</t>
        </r>
        <r>
          <rPr>
            <sz val="8"/>
            <color indexed="81"/>
            <rFont val="Tahoma"/>
            <family val="2"/>
          </rPr>
          <t>.
It is only used in the calculation of the Gust Factor, Gf, when a structure is considered "flexible".  A structure is considered "flexible" when it has a natural frequency, f &lt; 1 hz. Otherwise the structure is considered "rigid".
  Note:  if the period, T, or the natural frequency, f, is already known
             (obtained by other means), then the value of Ct may be
             "manipulated" to give the desired results for T and f.</t>
        </r>
      </text>
    </comment>
    <comment ref="C18" authorId="3" shapeId="0">
      <text>
        <r>
          <rPr>
            <b/>
            <u/>
            <sz val="8"/>
            <color indexed="81"/>
            <rFont val="Tahoma"/>
            <family val="2"/>
          </rPr>
          <t xml:space="preserve">Wind Directionality Factor, Kd (Table 26.6)
             </t>
        </r>
        <r>
          <rPr>
            <u/>
            <sz val="8"/>
            <color indexed="81"/>
            <rFont val="Tahoma"/>
            <family val="2"/>
          </rPr>
          <t xml:space="preserve">Structure Type                                  Kd  
</t>
        </r>
        <r>
          <rPr>
            <sz val="8"/>
            <color indexed="81"/>
            <rFont val="Tahoma"/>
            <family val="2"/>
          </rPr>
          <t xml:space="preserve">
Buildings
    Main Wind-Force Resisting System           0.85
    Components and Cladding                        0.85
Note:  this factor shall only be applied when
           used in conjunction with load combinations
           specified in Sect. 2.3 and 2.4.
           Otherwise, use Kd = 1.0. </t>
        </r>
      </text>
    </comment>
    <comment ref="I20" authorId="4" shapeId="0">
      <text>
        <r>
          <rPr>
            <sz val="8"/>
            <color indexed="81"/>
            <rFont val="Tahoma"/>
            <family val="2"/>
          </rPr>
          <t xml:space="preserve">Per Code </t>
        </r>
        <r>
          <rPr>
            <b/>
            <sz val="8"/>
            <color indexed="81"/>
            <rFont val="Tahoma"/>
            <family val="2"/>
          </rPr>
          <t>Section 27.4.7</t>
        </r>
        <r>
          <rPr>
            <sz val="8"/>
            <color indexed="81"/>
            <rFont val="Tahoma"/>
            <family val="2"/>
          </rPr>
          <t xml:space="preserve">, the design wind force for open buildings and other structures shall not be less than </t>
        </r>
        <r>
          <rPr>
            <b/>
            <sz val="8"/>
            <color indexed="81"/>
            <rFont val="Tahoma"/>
            <family val="2"/>
          </rPr>
          <t xml:space="preserve">16 psf </t>
        </r>
        <r>
          <rPr>
            <sz val="8"/>
            <color indexed="81"/>
            <rFont val="Tahoma"/>
            <family val="2"/>
          </rPr>
          <t>multiplied by the area, 'Af', the area normal to the wind direction.</t>
        </r>
      </text>
    </comment>
    <comment ref="I25" authorId="4" shapeId="0">
      <text>
        <r>
          <rPr>
            <sz val="8"/>
            <color indexed="81"/>
            <rFont val="Tahoma"/>
            <family val="2"/>
          </rPr>
          <t xml:space="preserve">Per Code </t>
        </r>
        <r>
          <rPr>
            <b/>
            <sz val="8"/>
            <color indexed="81"/>
            <rFont val="Tahoma"/>
            <family val="2"/>
          </rPr>
          <t>Section 27.4.7</t>
        </r>
        <r>
          <rPr>
            <sz val="8"/>
            <color indexed="81"/>
            <rFont val="Tahoma"/>
            <family val="2"/>
          </rPr>
          <t xml:space="preserve">, the design wind force for open buildings and other structures shall not be less than </t>
        </r>
        <r>
          <rPr>
            <b/>
            <sz val="8"/>
            <color indexed="81"/>
            <rFont val="Tahoma"/>
            <family val="2"/>
          </rPr>
          <t>16 psf</t>
        </r>
        <r>
          <rPr>
            <sz val="8"/>
            <color indexed="81"/>
            <rFont val="Tahoma"/>
            <family val="2"/>
          </rPr>
          <t xml:space="preserve"> multiplied by the area, 'Af', the area normal to the wind direction.</t>
        </r>
      </text>
    </comment>
    <comment ref="I26" authorId="0" shapeId="0">
      <text>
        <r>
          <rPr>
            <sz val="8"/>
            <color indexed="81"/>
            <rFont val="Tahoma"/>
            <family val="2"/>
          </rPr>
          <t>Note: User is to input applicable values of the force coefficient, 'Cf', in the table.  
(Four different values are permitted.)  
See page 3 below for details and replication of ASCE 7-10 Figures 29.5-2 and 29.-3.</t>
        </r>
      </text>
    </comment>
    <comment ref="B60" authorId="1" shapeId="0">
      <text>
        <r>
          <rPr>
            <sz val="8"/>
            <color indexed="81"/>
            <rFont val="Tahoma"/>
            <family val="2"/>
          </rPr>
          <t>Structures which have a natural frequency, f &gt;= 1 Hz are considered "rigid".
Structures which have a natural frequency, f &lt; 1 Hz are considered "flexible".</t>
        </r>
      </text>
    </comment>
    <comment ref="D62" authorId="1" shapeId="0">
      <text>
        <r>
          <rPr>
            <sz val="8"/>
            <color indexed="81"/>
            <rFont val="Tahoma"/>
            <family val="2"/>
          </rPr>
          <t xml:space="preserve">The </t>
        </r>
        <r>
          <rPr>
            <b/>
            <sz val="8"/>
            <color indexed="81"/>
            <rFont val="Tahoma"/>
            <family val="2"/>
          </rPr>
          <t>Gust Effect Factor, G</t>
        </r>
        <r>
          <rPr>
            <sz val="8"/>
            <color indexed="81"/>
            <rFont val="Tahoma"/>
            <family val="2"/>
          </rPr>
          <t xml:space="preserve">, for rigid structures may be simply taken as </t>
        </r>
        <r>
          <rPr>
            <b/>
            <sz val="8"/>
            <color indexed="81"/>
            <rFont val="Tahoma"/>
            <family val="2"/>
          </rPr>
          <t>0.85</t>
        </r>
        <r>
          <rPr>
            <sz val="8"/>
            <color indexed="81"/>
            <rFont val="Tahoma"/>
            <family val="2"/>
          </rPr>
          <t xml:space="preserve"> for all structure exposure conditions.
</t>
        </r>
        <r>
          <rPr>
            <u/>
            <sz val="8"/>
            <color indexed="81"/>
            <rFont val="Tahoma"/>
            <family val="2"/>
          </rPr>
          <t xml:space="preserve">
</t>
        </r>
        <r>
          <rPr>
            <sz val="8"/>
            <color indexed="81"/>
            <rFont val="Tahoma"/>
            <family val="2"/>
          </rPr>
          <t xml:space="preserve">
</t>
        </r>
      </text>
    </comment>
    <comment ref="H65" authorId="1" shapeId="0">
      <text>
        <r>
          <rPr>
            <b/>
            <sz val="8"/>
            <color indexed="81"/>
            <rFont val="Tahoma"/>
            <family val="2"/>
          </rPr>
          <t xml:space="preserve">                                        Terrain Exposure Constants (Table 26.9-1)
</t>
        </r>
        <r>
          <rPr>
            <u/>
            <sz val="8"/>
            <color indexed="81"/>
            <rFont val="Tahoma"/>
            <family val="2"/>
          </rPr>
          <t xml:space="preserve">Exposure         </t>
        </r>
        <r>
          <rPr>
            <u/>
            <sz val="8"/>
            <color indexed="81"/>
            <rFont val="Symbol"/>
            <family val="1"/>
            <charset val="2"/>
          </rPr>
          <t>a</t>
        </r>
        <r>
          <rPr>
            <u/>
            <sz val="8"/>
            <color indexed="81"/>
            <rFont val="Tahoma"/>
            <family val="2"/>
          </rPr>
          <t xml:space="preserve">        zg(ft)      </t>
        </r>
        <r>
          <rPr>
            <u/>
            <sz val="8"/>
            <color indexed="81"/>
            <rFont val="Symbol"/>
            <family val="1"/>
            <charset val="2"/>
          </rPr>
          <t>a</t>
        </r>
        <r>
          <rPr>
            <u/>
            <sz val="8"/>
            <color indexed="81"/>
            <rFont val="Tahoma"/>
            <family val="2"/>
          </rPr>
          <t xml:space="preserve">^        b^        </t>
        </r>
        <r>
          <rPr>
            <u/>
            <sz val="8"/>
            <color indexed="81"/>
            <rFont val="Symbol"/>
            <family val="1"/>
            <charset val="2"/>
          </rPr>
          <t>a</t>
        </r>
        <r>
          <rPr>
            <u/>
            <sz val="8"/>
            <color indexed="81"/>
            <rFont val="Tahoma"/>
            <family val="2"/>
          </rPr>
          <t xml:space="preserve">(bar)        b(bar)        c      </t>
        </r>
        <r>
          <rPr>
            <u/>
            <sz val="8"/>
            <color indexed="81"/>
            <rFont val="Italic"/>
          </rPr>
          <t xml:space="preserve"> l</t>
        </r>
        <r>
          <rPr>
            <u/>
            <sz val="8"/>
            <color indexed="81"/>
            <rFont val="Tahoma"/>
            <family val="2"/>
          </rPr>
          <t xml:space="preserve">(ft)        </t>
        </r>
        <r>
          <rPr>
            <u/>
            <sz val="8"/>
            <color indexed="81"/>
            <rFont val="Symbol"/>
            <family val="1"/>
            <charset val="2"/>
          </rPr>
          <t>e</t>
        </r>
        <r>
          <rPr>
            <u/>
            <sz val="8"/>
            <color indexed="81"/>
            <rFont val="Tahoma"/>
            <family val="2"/>
          </rPr>
          <t xml:space="preserve">        z(min)</t>
        </r>
        <r>
          <rPr>
            <sz val="8"/>
            <color indexed="81"/>
            <rFont val="Tahoma"/>
            <family val="2"/>
          </rPr>
          <t xml:space="preserve">                                                                     
     B                7.0      1200      1/7       0.84       1/4.0         0.45        0.30     320     1/3.0       30
     C                9.5       900     1/9.5     1.00       1/6.5         0.65        0.20     500      1/5.0       15
     D               11.5      700    1/11.5    1.07       1/9.0         0.80        0.15     650      1/8.0        7
Note:  z(min) = minimum height used to ensure that the equivalent height z(bar) is greater of
                         0.6*h or z(min). For buildings with h&lt;= z(min), z(bar) shall be taken as z(min).</t>
        </r>
        <r>
          <rPr>
            <u/>
            <sz val="8"/>
            <color indexed="81"/>
            <rFont val="Tahoma"/>
            <family val="2"/>
          </rPr>
          <t xml:space="preserve">
</t>
        </r>
      </text>
    </comment>
    <comment ref="B76" authorId="1" shapeId="0">
      <text>
        <r>
          <rPr>
            <sz val="8"/>
            <color indexed="81"/>
            <rFont val="Tahoma"/>
            <family val="2"/>
          </rPr>
          <t xml:space="preserve">The </t>
        </r>
        <r>
          <rPr>
            <b/>
            <sz val="8"/>
            <color indexed="81"/>
            <rFont val="Tahoma"/>
            <family val="2"/>
          </rPr>
          <t>Equivalent Height of the Structure, z(bar)</t>
        </r>
        <r>
          <rPr>
            <sz val="8"/>
            <color indexed="81"/>
            <rFont val="Tahoma"/>
            <family val="2"/>
          </rPr>
          <t>.
z(bar) = 0.6*h  but not less than z(min) from Table C28.4-1.</t>
        </r>
      </text>
    </comment>
    <comment ref="B77" authorId="1" shapeId="0">
      <text>
        <r>
          <rPr>
            <sz val="8"/>
            <color indexed="81"/>
            <rFont val="Tahoma"/>
            <family val="2"/>
          </rPr>
          <t xml:space="preserve">The </t>
        </r>
        <r>
          <rPr>
            <b/>
            <sz val="8"/>
            <color indexed="81"/>
            <rFont val="Tahoma"/>
            <family val="2"/>
          </rPr>
          <t>Intensity of Turbulence</t>
        </r>
        <r>
          <rPr>
            <sz val="8"/>
            <color indexed="81"/>
            <rFont val="Tahoma"/>
            <family val="2"/>
          </rPr>
          <t xml:space="preserve"> at height = z(bar).
Iz(bar) = c*(33/z(bar))^(1/6)</t>
        </r>
      </text>
    </comment>
    <comment ref="B78" authorId="1" shapeId="0">
      <text>
        <r>
          <rPr>
            <sz val="8"/>
            <color indexed="81"/>
            <rFont val="Tahoma"/>
            <family val="2"/>
          </rPr>
          <t xml:space="preserve">The </t>
        </r>
        <r>
          <rPr>
            <b/>
            <sz val="8"/>
            <color indexed="81"/>
            <rFont val="Tahoma"/>
            <family val="2"/>
          </rPr>
          <t>Integral Length Scale of Turbulence</t>
        </r>
        <r>
          <rPr>
            <sz val="8"/>
            <color indexed="81"/>
            <rFont val="Tahoma"/>
            <family val="2"/>
          </rPr>
          <t xml:space="preserve"> at the equivalent height.  
Lz(bar) = </t>
        </r>
        <r>
          <rPr>
            <sz val="8"/>
            <color indexed="81"/>
            <rFont val="Italic"/>
          </rPr>
          <t>l</t>
        </r>
        <r>
          <rPr>
            <sz val="8"/>
            <color indexed="81"/>
            <rFont val="Tahoma"/>
            <family val="2"/>
          </rPr>
          <t>*(z(bar)/33)^(</t>
        </r>
        <r>
          <rPr>
            <sz val="8"/>
            <color indexed="81"/>
            <rFont val="Symbol"/>
            <family val="1"/>
            <charset val="2"/>
          </rPr>
          <t xml:space="preserve">e </t>
        </r>
        <r>
          <rPr>
            <sz val="8"/>
            <color indexed="81"/>
            <rFont val="Tahoma"/>
            <family val="2"/>
          </rPr>
          <t>(bar))</t>
        </r>
      </text>
    </comment>
    <comment ref="B79" authorId="4" shapeId="0">
      <text>
        <r>
          <rPr>
            <sz val="8"/>
            <color indexed="81"/>
            <rFont val="Tahoma"/>
            <family val="2"/>
          </rPr>
          <t>Peak Factor for backround response:
gq = 3.4  (per Sect. 26.9.3)</t>
        </r>
      </text>
    </comment>
    <comment ref="B80" authorId="4" shapeId="0">
      <text>
        <r>
          <rPr>
            <sz val="8"/>
            <color indexed="81"/>
            <rFont val="Tahoma"/>
            <family val="2"/>
          </rPr>
          <t>Peak Factor for wind response:
gv = 3.4  (per Sect. 26.9.3)</t>
        </r>
      </text>
    </comment>
    <comment ref="B81" authorId="4" shapeId="0">
      <text>
        <r>
          <rPr>
            <sz val="8"/>
            <color indexed="81"/>
            <rFont val="Tahoma"/>
            <family val="2"/>
          </rPr>
          <t>Peak Factor for resonant response:
gr = (2*(LN(3600*f)))^(1/2)+0.577/(2*LN(3600*f))^(1/2)
Note: the symbol, f, was subsituted for the original symbol,
          n1, in the equation above.</t>
        </r>
      </text>
    </comment>
    <comment ref="B82" authorId="1" shapeId="0">
      <text>
        <r>
          <rPr>
            <sz val="8"/>
            <color indexed="81"/>
            <rFont val="Tahoma"/>
            <family val="2"/>
          </rPr>
          <t xml:space="preserve">The </t>
        </r>
        <r>
          <rPr>
            <b/>
            <sz val="8"/>
            <color indexed="81"/>
            <rFont val="Tahoma"/>
            <family val="2"/>
          </rPr>
          <t>Backround Response Factor, Q</t>
        </r>
        <r>
          <rPr>
            <sz val="8"/>
            <color indexed="81"/>
            <rFont val="Tahoma"/>
            <family val="2"/>
          </rPr>
          <t>.
Q = (1/(1+0.63*((B+h)/Lz(bar))^0.63))^(1/2)
   where: B = structure width normal to wind
               h = structure mean roof height</t>
        </r>
      </text>
    </comment>
    <comment ref="C84" authorId="1" shapeId="0">
      <text>
        <r>
          <rPr>
            <b/>
            <sz val="8"/>
            <color indexed="81"/>
            <rFont val="Tahoma"/>
            <family val="2"/>
          </rPr>
          <t>The Gust Effect Factor, G</t>
        </r>
        <r>
          <rPr>
            <sz val="8"/>
            <color indexed="81"/>
            <rFont val="Tahoma"/>
            <family val="2"/>
          </rPr>
          <t xml:space="preserve">, for a rigid structure as calculated from Eqn. 26.9-6. </t>
        </r>
      </text>
    </comment>
    <comment ref="B85" authorId="1" shapeId="0">
      <text>
        <r>
          <rPr>
            <sz val="8"/>
            <color indexed="81"/>
            <rFont val="Tahoma"/>
            <family val="2"/>
          </rPr>
          <t xml:space="preserve">The </t>
        </r>
        <r>
          <rPr>
            <b/>
            <sz val="8"/>
            <color indexed="81"/>
            <rFont val="Tahoma"/>
            <family val="2"/>
          </rPr>
          <t>Gust Effect Factor, G</t>
        </r>
        <r>
          <rPr>
            <sz val="8"/>
            <color indexed="81"/>
            <rFont val="Tahoma"/>
            <family val="2"/>
          </rPr>
          <t>, for a "rigid" structure.
G = 0.925*((1+1.7*gq*Iz(bar)*Q)/(1+1.7*gv*Iz(bar)))
       where: gq = 3.4  and gv = 3.4</t>
        </r>
      </text>
    </comment>
    <comment ref="D87" authorId="1" shapeId="0">
      <text>
        <r>
          <rPr>
            <sz val="8"/>
            <color indexed="81"/>
            <rFont val="Tahoma"/>
            <family val="2"/>
          </rPr>
          <t xml:space="preserve">The </t>
        </r>
        <r>
          <rPr>
            <b/>
            <sz val="8"/>
            <color indexed="81"/>
            <rFont val="Tahoma"/>
            <family val="2"/>
          </rPr>
          <t>Gust Effect Factor, Gf</t>
        </r>
        <r>
          <rPr>
            <sz val="8"/>
            <color indexed="81"/>
            <rFont val="Tahoma"/>
            <family val="2"/>
          </rPr>
          <t>, for a  flexible structure as calculated from Eqn 26.9-10.  Note:  calculations below are applicable only for "flexible" structures which have a natural frequency, f &lt; 1 hz.</t>
        </r>
      </text>
    </comment>
    <comment ref="B92" authorId="1" shapeId="0">
      <text>
        <r>
          <rPr>
            <sz val="8"/>
            <color indexed="81"/>
            <rFont val="Tahoma"/>
            <family val="2"/>
          </rPr>
          <t xml:space="preserve">The </t>
        </r>
        <r>
          <rPr>
            <b/>
            <sz val="8"/>
            <color indexed="81"/>
            <rFont val="Tahoma"/>
            <family val="2"/>
          </rPr>
          <t>Basic Wind Speed, V</t>
        </r>
        <r>
          <rPr>
            <sz val="8"/>
            <color indexed="81"/>
            <rFont val="Tahoma"/>
            <family val="2"/>
          </rPr>
          <t>, converted from units of mph to ft/sec.
V(fps) = V(mph)*(88/60)</t>
        </r>
      </text>
    </comment>
    <comment ref="B93" authorId="1" shapeId="0">
      <text>
        <r>
          <rPr>
            <sz val="8"/>
            <color indexed="81"/>
            <rFont val="Tahoma"/>
            <family val="2"/>
          </rPr>
          <t>The</t>
        </r>
        <r>
          <rPr>
            <b/>
            <sz val="8"/>
            <color indexed="81"/>
            <rFont val="Tahoma"/>
            <family val="2"/>
          </rPr>
          <t xml:space="preserve"> Mean Hourly Wind Speed, V(bar,zbar)</t>
        </r>
        <r>
          <rPr>
            <sz val="8"/>
            <color indexed="81"/>
            <rFont val="Tahoma"/>
            <family val="2"/>
          </rPr>
          <t>.
V(bar,zbar) = b(bar)*(z(bar)/33)^(</t>
        </r>
        <r>
          <rPr>
            <sz val="8"/>
            <color indexed="81"/>
            <rFont val="Symbol"/>
            <family val="1"/>
            <charset val="2"/>
          </rPr>
          <t>a</t>
        </r>
        <r>
          <rPr>
            <sz val="8"/>
            <color indexed="81"/>
            <rFont val="Tahoma"/>
            <family val="2"/>
          </rPr>
          <t>(bar))*V*(88/60)</t>
        </r>
      </text>
    </comment>
    <comment ref="B94" authorId="1" shapeId="0">
      <text>
        <r>
          <rPr>
            <sz val="8"/>
            <color indexed="81"/>
            <rFont val="Tahoma"/>
            <family val="2"/>
          </rPr>
          <t>N1 = f*Lz(bar)/(V(bar,zbar))
Note: the symbol, f, was subsituted for
          the original symbol, n1, in the 
          equation above.</t>
        </r>
      </text>
    </comment>
    <comment ref="B95" authorId="1" shapeId="0">
      <text>
        <r>
          <rPr>
            <sz val="8"/>
            <color indexed="81"/>
            <rFont val="Tahoma"/>
            <family val="2"/>
          </rPr>
          <t>Rn = 7.47*N1/(1+10.3*N1)^(5/3)</t>
        </r>
      </text>
    </comment>
    <comment ref="B96" authorId="1" shapeId="0">
      <text>
        <r>
          <rPr>
            <sz val="8"/>
            <color indexed="81"/>
            <rFont val="Symbol"/>
            <family val="1"/>
            <charset val="2"/>
          </rPr>
          <t>h</t>
        </r>
        <r>
          <rPr>
            <sz val="8"/>
            <color indexed="81"/>
            <rFont val="Tahoma"/>
            <family val="2"/>
          </rPr>
          <t>h = 4.6*f*h/(V(bar,zbar))
Note: the symbol, f, was subsituted
          for the original symbol, n1, in
          the equation above.</t>
        </r>
      </text>
    </comment>
    <comment ref="B97" authorId="1" shapeId="0">
      <text>
        <r>
          <rPr>
            <sz val="8"/>
            <color indexed="81"/>
            <rFont val="Tahoma"/>
            <family val="2"/>
          </rPr>
          <t>Rh = (1/</t>
        </r>
        <r>
          <rPr>
            <sz val="8"/>
            <color indexed="81"/>
            <rFont val="Symbol"/>
            <family val="1"/>
            <charset val="2"/>
          </rPr>
          <t>h</t>
        </r>
        <r>
          <rPr>
            <sz val="8"/>
            <color indexed="81"/>
            <rFont val="Tahoma"/>
            <family val="2"/>
          </rPr>
          <t>h)-1/(2*</t>
        </r>
        <r>
          <rPr>
            <sz val="8"/>
            <color indexed="81"/>
            <rFont val="Symbol"/>
            <family val="1"/>
            <charset val="2"/>
          </rPr>
          <t>h</t>
        </r>
        <r>
          <rPr>
            <sz val="8"/>
            <color indexed="81"/>
            <rFont val="Tahoma"/>
            <family val="2"/>
          </rPr>
          <t>h^2)*(1-e^(-2*</t>
        </r>
        <r>
          <rPr>
            <sz val="8"/>
            <color indexed="81"/>
            <rFont val="Symbol"/>
            <family val="1"/>
            <charset val="2"/>
          </rPr>
          <t>h</t>
        </r>
        <r>
          <rPr>
            <sz val="8"/>
            <color indexed="81"/>
            <rFont val="Tahoma"/>
            <family val="2"/>
          </rPr>
          <t xml:space="preserve">h))    for </t>
        </r>
        <r>
          <rPr>
            <sz val="8"/>
            <color indexed="81"/>
            <rFont val="Symbol"/>
            <family val="1"/>
            <charset val="2"/>
          </rPr>
          <t>h</t>
        </r>
        <r>
          <rPr>
            <sz val="8"/>
            <color indexed="81"/>
            <rFont val="Tahoma"/>
            <family val="2"/>
          </rPr>
          <t xml:space="preserve">h &gt; 0
or: Rh = 1    for </t>
        </r>
        <r>
          <rPr>
            <sz val="8"/>
            <color indexed="81"/>
            <rFont val="Symbol"/>
            <family val="1"/>
            <charset val="2"/>
          </rPr>
          <t>h</t>
        </r>
        <r>
          <rPr>
            <sz val="8"/>
            <color indexed="81"/>
            <rFont val="Tahoma"/>
            <family val="2"/>
          </rPr>
          <t>h = 0</t>
        </r>
      </text>
    </comment>
    <comment ref="B98" authorId="1" shapeId="0">
      <text>
        <r>
          <rPr>
            <sz val="8"/>
            <color indexed="81"/>
            <rFont val="Symbol"/>
            <family val="1"/>
            <charset val="2"/>
          </rPr>
          <t>h</t>
        </r>
        <r>
          <rPr>
            <sz val="8"/>
            <color indexed="81"/>
            <rFont val="Tahoma"/>
            <family val="2"/>
          </rPr>
          <t>b =4.6*f*B/(V(bar,zbar))
  where: B = building width normal to wind
Note: the symbol, f, was subsituted
          for the original symbol, n1, in
          the equation above.</t>
        </r>
      </text>
    </comment>
    <comment ref="B99" authorId="1" shapeId="0">
      <text>
        <r>
          <rPr>
            <sz val="8"/>
            <color indexed="81"/>
            <rFont val="Tahoma"/>
            <family val="2"/>
          </rPr>
          <t>RB = (1/</t>
        </r>
        <r>
          <rPr>
            <sz val="8"/>
            <color indexed="81"/>
            <rFont val="Symbol"/>
            <family val="1"/>
            <charset val="2"/>
          </rPr>
          <t>h</t>
        </r>
        <r>
          <rPr>
            <sz val="8"/>
            <color indexed="81"/>
            <rFont val="Tahoma"/>
            <family val="2"/>
          </rPr>
          <t>B)-1/(2*</t>
        </r>
        <r>
          <rPr>
            <sz val="8"/>
            <color indexed="81"/>
            <rFont val="Symbol"/>
            <family val="1"/>
            <charset val="2"/>
          </rPr>
          <t>h</t>
        </r>
        <r>
          <rPr>
            <sz val="8"/>
            <color indexed="81"/>
            <rFont val="Tahoma"/>
            <family val="2"/>
          </rPr>
          <t>B^2)*(1-e^(-2*</t>
        </r>
        <r>
          <rPr>
            <sz val="8"/>
            <color indexed="81"/>
            <rFont val="Symbol"/>
            <family val="1"/>
            <charset val="2"/>
          </rPr>
          <t>h</t>
        </r>
        <r>
          <rPr>
            <sz val="8"/>
            <color indexed="81"/>
            <rFont val="Tahoma"/>
            <family val="2"/>
          </rPr>
          <t xml:space="preserve">B))    for </t>
        </r>
        <r>
          <rPr>
            <sz val="8"/>
            <color indexed="81"/>
            <rFont val="Symbol"/>
            <family val="1"/>
            <charset val="2"/>
          </rPr>
          <t>h</t>
        </r>
        <r>
          <rPr>
            <sz val="8"/>
            <color indexed="81"/>
            <rFont val="Tahoma"/>
            <family val="2"/>
          </rPr>
          <t>B &gt; 0
or: RB = 1    for</t>
        </r>
        <r>
          <rPr>
            <sz val="8"/>
            <color indexed="81"/>
            <rFont val="GreekS"/>
          </rPr>
          <t xml:space="preserve"> </t>
        </r>
        <r>
          <rPr>
            <sz val="8"/>
            <color indexed="81"/>
            <rFont val="Symbol"/>
            <family val="1"/>
            <charset val="2"/>
          </rPr>
          <t>h</t>
        </r>
        <r>
          <rPr>
            <sz val="8"/>
            <color indexed="81"/>
            <rFont val="Tahoma"/>
            <family val="2"/>
          </rPr>
          <t>B = 0</t>
        </r>
      </text>
    </comment>
    <comment ref="B100" authorId="1" shapeId="0">
      <text>
        <r>
          <rPr>
            <sz val="8"/>
            <color indexed="81"/>
            <rFont val="Symbol"/>
            <family val="1"/>
            <charset val="2"/>
          </rPr>
          <t>h</t>
        </r>
        <r>
          <rPr>
            <sz val="8"/>
            <color indexed="81"/>
            <rFont val="Tahoma"/>
            <family val="2"/>
          </rPr>
          <t>d = 15.4*f*L/(V(bar,zbar))
  where: L = depth of building parallel to wind
Note: the symbol, f, was subsituted
          for the original symbol, n1, in
          the equation above.</t>
        </r>
      </text>
    </comment>
    <comment ref="B101" authorId="1" shapeId="0">
      <text>
        <r>
          <rPr>
            <sz val="8"/>
            <color indexed="81"/>
            <rFont val="Tahoma"/>
            <family val="2"/>
          </rPr>
          <t>RL = (1/</t>
        </r>
        <r>
          <rPr>
            <sz val="8"/>
            <color indexed="81"/>
            <rFont val="Symbol"/>
            <family val="1"/>
            <charset val="2"/>
          </rPr>
          <t>h</t>
        </r>
        <r>
          <rPr>
            <sz val="8"/>
            <color indexed="81"/>
            <rFont val="Tahoma"/>
            <family val="2"/>
          </rPr>
          <t>L)-1/(2*</t>
        </r>
        <r>
          <rPr>
            <sz val="8"/>
            <color indexed="81"/>
            <rFont val="Symbol"/>
            <family val="1"/>
            <charset val="2"/>
          </rPr>
          <t>h</t>
        </r>
        <r>
          <rPr>
            <sz val="8"/>
            <color indexed="81"/>
            <rFont val="Tahoma"/>
            <family val="2"/>
          </rPr>
          <t>L^2)*(1-e^(-2*</t>
        </r>
        <r>
          <rPr>
            <sz val="8"/>
            <color indexed="81"/>
            <rFont val="Symbol"/>
            <family val="1"/>
            <charset val="2"/>
          </rPr>
          <t>h</t>
        </r>
        <r>
          <rPr>
            <sz val="8"/>
            <color indexed="81"/>
            <rFont val="Tahoma"/>
            <family val="2"/>
          </rPr>
          <t>L))    for</t>
        </r>
        <r>
          <rPr>
            <sz val="8"/>
            <color indexed="81"/>
            <rFont val="GreekS"/>
          </rPr>
          <t xml:space="preserve"> </t>
        </r>
        <r>
          <rPr>
            <sz val="8"/>
            <color indexed="81"/>
            <rFont val="Symbol"/>
            <family val="1"/>
            <charset val="2"/>
          </rPr>
          <t>h</t>
        </r>
        <r>
          <rPr>
            <sz val="8"/>
            <color indexed="81"/>
            <rFont val="Tahoma"/>
            <family val="2"/>
          </rPr>
          <t xml:space="preserve">L &gt; 0
or: RL = 1    for </t>
        </r>
        <r>
          <rPr>
            <sz val="8"/>
            <color indexed="81"/>
            <rFont val="Symbol"/>
            <family val="1"/>
            <charset val="2"/>
          </rPr>
          <t>h</t>
        </r>
        <r>
          <rPr>
            <sz val="8"/>
            <color indexed="81"/>
            <rFont val="Tahoma"/>
            <family val="2"/>
          </rPr>
          <t>L = 0</t>
        </r>
      </text>
    </comment>
    <comment ref="B102" authorId="1" shapeId="0">
      <text>
        <r>
          <rPr>
            <sz val="8"/>
            <color indexed="81"/>
            <rFont val="Tahoma"/>
            <family val="2"/>
          </rPr>
          <t xml:space="preserve">The </t>
        </r>
        <r>
          <rPr>
            <b/>
            <sz val="8"/>
            <color indexed="81"/>
            <rFont val="Tahoma"/>
            <family val="2"/>
          </rPr>
          <t>Resonant Response Factor, R</t>
        </r>
        <r>
          <rPr>
            <sz val="8"/>
            <color indexed="81"/>
            <rFont val="Tahoma"/>
            <family val="2"/>
          </rPr>
          <t>.
R = ((1/</t>
        </r>
        <r>
          <rPr>
            <sz val="8"/>
            <color indexed="81"/>
            <rFont val="Symbol"/>
            <family val="1"/>
            <charset val="2"/>
          </rPr>
          <t>b</t>
        </r>
        <r>
          <rPr>
            <sz val="8"/>
            <color indexed="81"/>
            <rFont val="Tahoma"/>
            <family val="2"/>
          </rPr>
          <t>)*Rn*Rh*Rb*(0.53+0.47*Rd))^1/2</t>
        </r>
      </text>
    </comment>
    <comment ref="B103" authorId="1" shapeId="0">
      <text>
        <r>
          <rPr>
            <sz val="8"/>
            <color indexed="81"/>
            <rFont val="Tahoma"/>
            <family val="2"/>
          </rPr>
          <t xml:space="preserve">The </t>
        </r>
        <r>
          <rPr>
            <b/>
            <sz val="8"/>
            <color indexed="81"/>
            <rFont val="Tahoma"/>
            <family val="2"/>
          </rPr>
          <t>Gust Effect Factor, Gf</t>
        </r>
        <r>
          <rPr>
            <sz val="8"/>
            <color indexed="81"/>
            <rFont val="Tahoma"/>
            <family val="2"/>
          </rPr>
          <t>, for a "flexible" building.
Gf = 0.925*(1+1.7*Iz(bar)*(gq^2*Q^2+gr^2*R^2)^(1/2))/(1+1.7*gv*Iz(bar))</t>
        </r>
      </text>
    </comment>
    <comment ref="B104" authorId="4" shapeId="0">
      <text>
        <r>
          <rPr>
            <sz val="8"/>
            <color indexed="81"/>
            <rFont val="Tahoma"/>
            <family val="2"/>
          </rPr>
          <t>For a rigid structure, the smaller of the value of either 0.85 or the value as calculated in item #2 is used for the gust effect factor, G.</t>
        </r>
      </text>
    </comment>
  </commentList>
</comments>
</file>

<file path=xl/sharedStrings.xml><?xml version="1.0" encoding="utf-8"?>
<sst xmlns="http://schemas.openxmlformats.org/spreadsheetml/2006/main" count="1286" uniqueCount="655">
  <si>
    <t>Low-Rise</t>
  </si>
  <si>
    <t>Buildings</t>
  </si>
  <si>
    <t>= c*(33/z(bar))^(1/6) ,  Eq. 6-5</t>
  </si>
  <si>
    <t>= 7.47*N1/(1+10.3*N1)^(5/3) , Eq. 6-11</t>
  </si>
  <si>
    <t xml:space="preserve">              the structure, considered separately along each principal axis.</t>
  </si>
  <si>
    <t xml:space="preserve">              principal axis of the structure in conjunction with a torsional moment as shown, considered </t>
  </si>
  <si>
    <t xml:space="preserve">              separately for each principal axis.</t>
  </si>
  <si>
    <t xml:space="preserve">                of all heights.</t>
  </si>
  <si>
    <t xml:space="preserve">             2. Above diagrams show plan views of building.</t>
  </si>
  <si>
    <t xml:space="preserve">             3. Notation:</t>
  </si>
  <si>
    <r>
      <t xml:space="preserve">                     P</t>
    </r>
    <r>
      <rPr>
        <sz val="8"/>
        <rFont val="Arial"/>
        <family val="2"/>
      </rPr>
      <t>wx</t>
    </r>
    <r>
      <rPr>
        <sz val="10"/>
        <rFont val="Arial"/>
      </rPr>
      <t>, P</t>
    </r>
    <r>
      <rPr>
        <sz val="8"/>
        <rFont val="Arial"/>
        <family val="2"/>
      </rPr>
      <t>wy</t>
    </r>
    <r>
      <rPr>
        <sz val="10"/>
        <rFont val="Arial"/>
        <family val="2"/>
      </rPr>
      <t xml:space="preserve"> = </t>
    </r>
    <r>
      <rPr>
        <sz val="10"/>
        <rFont val="Arial"/>
      </rPr>
      <t>Windward face pressure acting in the X, Y principal axis, respectively.</t>
    </r>
  </si>
  <si>
    <r>
      <t xml:space="preserve">                     M</t>
    </r>
    <r>
      <rPr>
        <sz val="8"/>
        <rFont val="Arial"/>
        <family val="2"/>
      </rPr>
      <t>T</t>
    </r>
    <r>
      <rPr>
        <sz val="10"/>
        <rFont val="Arial"/>
      </rPr>
      <t xml:space="preserve"> = Torsional moment per unit height acting about a vertical axis of the building.</t>
    </r>
  </si>
  <si>
    <r>
      <t>Case 1</t>
    </r>
    <r>
      <rPr>
        <sz val="10"/>
        <rFont val="Arial"/>
      </rPr>
      <t>:  Full design wind pressure acting on the projected area perpendicular to each principal axis of</t>
    </r>
  </si>
  <si>
    <r>
      <t>Case 2:</t>
    </r>
    <r>
      <rPr>
        <sz val="10"/>
        <rFont val="Arial"/>
      </rPr>
      <t xml:space="preserve">  Three quarters of the design wind pressure acting on the projected area perpendicular to each</t>
    </r>
  </si>
  <si>
    <r>
      <t>Case 3:</t>
    </r>
    <r>
      <rPr>
        <sz val="10"/>
        <rFont val="Arial"/>
      </rPr>
      <t xml:space="preserve">  Wind pressure as defined in Case 1, but considered to act simultaneously at 75% of the</t>
    </r>
  </si>
  <si>
    <r>
      <t>Case 4</t>
    </r>
    <r>
      <rPr>
        <sz val="10"/>
        <rFont val="Arial"/>
      </rPr>
      <t>:  Wind pressure as defined in Case 2, but considered to act simultaneously at 75% of the</t>
    </r>
  </si>
  <si>
    <r>
      <t>Notes:</t>
    </r>
    <r>
      <rPr>
        <sz val="10"/>
        <rFont val="Arial"/>
      </rPr>
      <t xml:space="preserve">   1. Design wind pressures for windward (Pw) and leeward (PL) faces shall be determined in</t>
    </r>
  </si>
  <si>
    <t>Roof External Pressure Coefficients (without overhangs), GCp:</t>
  </si>
  <si>
    <t>Roof External Pressure Coefficients (with overhangs), GCp:</t>
  </si>
  <si>
    <t>Wind Direction =</t>
  </si>
  <si>
    <t>Enclosed? (Y/N)</t>
  </si>
  <si>
    <r>
      <t xml:space="preserve">= </t>
    </r>
    <r>
      <rPr>
        <sz val="10"/>
        <color indexed="8"/>
        <rFont val="Italic"/>
      </rPr>
      <t>l</t>
    </r>
    <r>
      <rPr>
        <sz val="10"/>
        <color indexed="8"/>
        <rFont val="Arial"/>
        <family val="2"/>
      </rPr>
      <t>*(z(bar)/33)^(</t>
    </r>
    <r>
      <rPr>
        <sz val="10"/>
        <color indexed="8"/>
        <rFont val="Symbol"/>
        <family val="1"/>
        <charset val="2"/>
      </rPr>
      <t>e</t>
    </r>
    <r>
      <rPr>
        <sz val="10"/>
        <color indexed="8"/>
        <rFont val="Arial"/>
        <family val="2"/>
      </rPr>
      <t>(bar))</t>
    </r>
    <r>
      <rPr>
        <sz val="10"/>
        <color indexed="8"/>
        <rFont val="Symbol"/>
        <family val="1"/>
        <charset val="2"/>
      </rPr>
      <t xml:space="preserve"> ,  </t>
    </r>
    <r>
      <rPr>
        <sz val="10"/>
        <color indexed="8"/>
        <rFont val="Arial"/>
        <family val="2"/>
      </rPr>
      <t>Eq. 6-7</t>
    </r>
  </si>
  <si>
    <r>
      <t>= ((1/</t>
    </r>
    <r>
      <rPr>
        <sz val="10"/>
        <color indexed="8"/>
        <rFont val="Symbol"/>
        <family val="1"/>
        <charset val="2"/>
      </rPr>
      <t>b</t>
    </r>
    <r>
      <rPr>
        <sz val="10"/>
        <color indexed="8"/>
        <rFont val="Arial"/>
        <family val="2"/>
      </rPr>
      <t>)*Rn*Rh*RB*(0.53+0.47*RL))^(1/2) , Eq. 6-10</t>
    </r>
  </si>
  <si>
    <t>For Longitudinal Case:</t>
  </si>
  <si>
    <t>For Transverse Case:</t>
  </si>
  <si>
    <t>Structure Length, L =</t>
  </si>
  <si>
    <r>
      <t>h</t>
    </r>
    <r>
      <rPr>
        <sz val="10"/>
        <rFont val="Arial"/>
        <family val="2"/>
      </rPr>
      <t>b =</t>
    </r>
  </si>
  <si>
    <t>ft. (normal to wind)</t>
  </si>
  <si>
    <t>ft. (parallel to wind)</t>
  </si>
  <si>
    <r>
      <t xml:space="preserve">GCp for h &lt;= 60' and </t>
    </r>
    <r>
      <rPr>
        <sz val="10"/>
        <color indexed="12"/>
        <rFont val="Symbol"/>
        <family val="1"/>
        <charset val="2"/>
      </rPr>
      <t>q</t>
    </r>
    <r>
      <rPr>
        <sz val="10"/>
        <color indexed="12"/>
        <rFont val="Arial"/>
        <family val="2"/>
      </rPr>
      <t xml:space="preserve"> &lt;= 7:</t>
    </r>
  </si>
  <si>
    <r>
      <t xml:space="preserve">GCp for h &lt;= 60' and 7 &lt; </t>
    </r>
    <r>
      <rPr>
        <sz val="10"/>
        <color indexed="12"/>
        <rFont val="Symbol"/>
        <family val="1"/>
        <charset val="2"/>
      </rPr>
      <t>q</t>
    </r>
    <r>
      <rPr>
        <sz val="10"/>
        <color indexed="12"/>
        <rFont val="Arial"/>
        <family val="2"/>
      </rPr>
      <t xml:space="preserve"> &lt;= 27:</t>
    </r>
  </si>
  <si>
    <r>
      <t xml:space="preserve">GCp for h &gt; 60' and 10 &lt; </t>
    </r>
    <r>
      <rPr>
        <sz val="10"/>
        <color indexed="12"/>
        <rFont val="Symbol"/>
        <family val="1"/>
        <charset val="2"/>
      </rPr>
      <t>q</t>
    </r>
    <r>
      <rPr>
        <sz val="10"/>
        <color indexed="12"/>
        <rFont val="Arial"/>
        <family val="2"/>
      </rPr>
      <t xml:space="preserve"> &lt;= 27:</t>
    </r>
  </si>
  <si>
    <r>
      <t xml:space="preserve">GCp for h &lt;= 60' and 27 &lt; </t>
    </r>
    <r>
      <rPr>
        <sz val="10"/>
        <color indexed="12"/>
        <rFont val="Symbol"/>
        <family val="1"/>
        <charset val="2"/>
      </rPr>
      <t>q</t>
    </r>
    <r>
      <rPr>
        <sz val="10"/>
        <color indexed="12"/>
        <rFont val="Arial"/>
        <family val="2"/>
      </rPr>
      <t xml:space="preserve"> &lt;= 45:</t>
    </r>
  </si>
  <si>
    <r>
      <t xml:space="preserve">GCp for h &gt; 60' and 27 &lt; </t>
    </r>
    <r>
      <rPr>
        <sz val="10"/>
        <color indexed="12"/>
        <rFont val="Symbol"/>
        <family val="1"/>
        <charset val="2"/>
      </rPr>
      <t>q</t>
    </r>
    <r>
      <rPr>
        <sz val="10"/>
        <color indexed="12"/>
        <rFont val="Arial"/>
        <family val="2"/>
      </rPr>
      <t xml:space="preserve"> &lt;= 45:</t>
    </r>
  </si>
  <si>
    <t xml:space="preserve">                Torsional loading shall apply to all 8 basic load cases applied at each reference corner.</t>
  </si>
  <si>
    <t xml:space="preserve">                load cases are applied to each building corner in turn as the reference corner.</t>
  </si>
  <si>
    <t xml:space="preserve">            3. Building must be designed for all wind directions using the 8 load cases shown below.  The </t>
  </si>
  <si>
    <t xml:space="preserve">            4. Wind loads for torsional cases are 25% of respective transverse or longitudinal zone load values.</t>
  </si>
  <si>
    <t xml:space="preserve">                   Exception: One-story buildings with "h" &lt;= 30', buildings &lt;= 2 stories framed with light frame </t>
  </si>
  <si>
    <t xml:space="preserve">                   construction, and buildings &lt;=2 stories designed with flexible diaphragms need not be </t>
  </si>
  <si>
    <t xml:space="preserve">                   designed for torsional load cases.</t>
  </si>
  <si>
    <t xml:space="preserve">                Zones 5 and 6 are sidewalls.</t>
  </si>
  <si>
    <t xml:space="preserve">                Zone 1T is windward wall for torsional case</t>
  </si>
  <si>
    <t>Zone 2T is windward roof for torsional case.</t>
  </si>
  <si>
    <t xml:space="preserve">                Zone 3T is leeward roof for torsional case</t>
  </si>
  <si>
    <t>Zone 4T is leeward wall for torsional case.</t>
  </si>
  <si>
    <t>h &lt;= 60'</t>
  </si>
  <si>
    <t xml:space="preserve">         open structures with roofs!</t>
  </si>
  <si>
    <t>User Input for Height, z (ft.):</t>
  </si>
  <si>
    <t>ft. (hr &gt;= he)</t>
  </si>
  <si>
    <t>ft. (he &lt;= hr)</t>
  </si>
  <si>
    <t>ft. (Normal to Building Ridge)</t>
  </si>
  <si>
    <t>ft. (Parallel to Building Ridge)</t>
  </si>
  <si>
    <t xml:space="preserve">ft.^2  (Area Tributary to C&amp;C) </t>
  </si>
  <si>
    <t xml:space="preserve">     tall.  This can be utilized for open process-type structures as well as pipe/utility racks and bridges.</t>
  </si>
  <si>
    <t>= 0.925*(1+1.7*Iz(bar)*(gq^2*Q^2+gr^2*R^2)^(1/2))/(1+1.7*gv*Iz(bar)) ,</t>
  </si>
  <si>
    <t>Open Structures (no roof)</t>
  </si>
  <si>
    <t xml:space="preserve">     steps in height, 'z', in determining the wind pressure distribution.</t>
  </si>
  <si>
    <t xml:space="preserve">     roof angles &lt;= 45 degrees, and monoslope roof buildings with roof angles &lt;= 3 degrees.</t>
  </si>
  <si>
    <t xml:space="preserve">     “flexible” buildings and structures.  For “rigid” buildings or structures, this program uses the smaller value of </t>
  </si>
  <si>
    <t xml:space="preserve">     based on the assumed formula for the fundamental period of vibration from Section 12.8.2.1 of the Code, </t>
  </si>
  <si>
    <t>= Ct*h^(3/4) ,  sec. (Approximate fundamental period)</t>
  </si>
  <si>
    <t>Class., Occ. Category =</t>
  </si>
  <si>
    <t xml:space="preserve">     where the exponent 'x' in the formula T = Ct*h^x is assumed to be 0.75.</t>
  </si>
  <si>
    <r>
      <t xml:space="preserve">                     e (e</t>
    </r>
    <r>
      <rPr>
        <sz val="8"/>
        <rFont val="Arial"/>
        <family val="2"/>
      </rPr>
      <t>x</t>
    </r>
    <r>
      <rPr>
        <sz val="10"/>
        <rFont val="Arial"/>
      </rPr>
      <t>, e</t>
    </r>
    <r>
      <rPr>
        <sz val="8"/>
        <rFont val="Arial"/>
        <family val="2"/>
      </rPr>
      <t>y</t>
    </r>
    <r>
      <rPr>
        <sz val="10"/>
        <rFont val="Arial"/>
      </rPr>
      <t>) = Eccentricity for the X, Y principal axis of the structure, respectively.</t>
    </r>
  </si>
  <si>
    <r>
      <t>q</t>
    </r>
    <r>
      <rPr>
        <b/>
        <sz val="10"/>
        <color indexed="8"/>
        <rFont val="Arial"/>
        <family val="2"/>
      </rPr>
      <t xml:space="preserve"> &lt;= 7 deg.</t>
    </r>
  </si>
  <si>
    <r>
      <t xml:space="preserve">7 deg. &lt; </t>
    </r>
    <r>
      <rPr>
        <b/>
        <sz val="10"/>
        <color indexed="8"/>
        <rFont val="Symbol"/>
        <family val="1"/>
        <charset val="2"/>
      </rPr>
      <t>q</t>
    </r>
    <r>
      <rPr>
        <b/>
        <sz val="10"/>
        <color indexed="8"/>
        <rFont val="Arial"/>
        <family val="2"/>
      </rPr>
      <t xml:space="preserve"> &lt;= 27 deg.</t>
    </r>
  </si>
  <si>
    <r>
      <t xml:space="preserve">27 deg. &lt; </t>
    </r>
    <r>
      <rPr>
        <b/>
        <sz val="10"/>
        <color indexed="8"/>
        <rFont val="Symbol"/>
        <family val="1"/>
        <charset val="2"/>
      </rPr>
      <t>q</t>
    </r>
    <r>
      <rPr>
        <b/>
        <sz val="10"/>
        <color indexed="8"/>
        <rFont val="Arial"/>
        <family val="2"/>
      </rPr>
      <t xml:space="preserve"> &lt;= 45 deg.</t>
    </r>
  </si>
  <si>
    <t>p</t>
  </si>
  <si>
    <t>mph</t>
  </si>
  <si>
    <r>
      <t>qz</t>
    </r>
    <r>
      <rPr>
        <sz val="10"/>
        <rFont val="Arial"/>
        <family val="2"/>
      </rPr>
      <t>*</t>
    </r>
    <r>
      <rPr>
        <sz val="10"/>
        <rFont val="Arial"/>
      </rPr>
      <t>G</t>
    </r>
  </si>
  <si>
    <t>2. Specified force coefficients are for towers with structural angles or similar flat-sided members.</t>
  </si>
  <si>
    <t xml:space="preserve">5. Wind forces on tower appurtenances such as ladder, conduits, lights, elevators, etc., shall be </t>
  </si>
  <si>
    <t xml:space="preserve">    calculated using appropriate force coefficients for these elements.</t>
  </si>
  <si>
    <t>qz =</t>
  </si>
  <si>
    <t>Solid Area =</t>
  </si>
  <si>
    <t>ft.^2</t>
  </si>
  <si>
    <t>Gross Area =</t>
  </si>
  <si>
    <t>Solidity Ratio, e =</t>
  </si>
  <si>
    <t>Rounded Members</t>
  </si>
  <si>
    <t>Use: Cf =</t>
  </si>
  <si>
    <t>D*SQRT(qz) =</t>
  </si>
  <si>
    <t>Cf for D*SQRT(qz) &lt;= 2.5</t>
  </si>
  <si>
    <t>Cf for D*SQRT(qz) &gt; 2.5</t>
  </si>
  <si>
    <t>Cf from Figure 6-22</t>
  </si>
  <si>
    <t>For Flat Sided Members from Figure 6-22:</t>
  </si>
  <si>
    <t>For Rounded Members from Figure 6-22:</t>
  </si>
  <si>
    <t>For Trussed Towers from Figure 6-23:</t>
  </si>
  <si>
    <r>
      <t>e</t>
    </r>
    <r>
      <rPr>
        <sz val="10"/>
        <color indexed="8"/>
        <rFont val="Arial"/>
        <family val="2"/>
      </rPr>
      <t xml:space="preserve"> = Solid Area/Gross Area</t>
    </r>
  </si>
  <si>
    <r>
      <t>Cf = 4.0*</t>
    </r>
    <r>
      <rPr>
        <sz val="10"/>
        <color indexed="8"/>
        <rFont val="Symbol"/>
        <family val="1"/>
        <charset val="2"/>
      </rPr>
      <t>e</t>
    </r>
    <r>
      <rPr>
        <sz val="10"/>
        <color indexed="8"/>
        <rFont val="Arial"/>
        <family val="2"/>
      </rPr>
      <t>^2 - 5.9*</t>
    </r>
    <r>
      <rPr>
        <sz val="10"/>
        <color indexed="8"/>
        <rFont val="Symbol"/>
        <family val="1"/>
        <charset val="2"/>
      </rPr>
      <t>e</t>
    </r>
    <r>
      <rPr>
        <sz val="10"/>
        <color indexed="8"/>
        <rFont val="Arial"/>
        <family val="2"/>
      </rPr>
      <t xml:space="preserve"> + 4.0</t>
    </r>
  </si>
  <si>
    <r>
      <t>Cf = 3.4*</t>
    </r>
    <r>
      <rPr>
        <sz val="10"/>
        <color indexed="8"/>
        <rFont val="Symbol"/>
        <family val="1"/>
        <charset val="2"/>
      </rPr>
      <t>e</t>
    </r>
    <r>
      <rPr>
        <sz val="10"/>
        <color indexed="8"/>
        <rFont val="Arial"/>
        <family val="2"/>
      </rPr>
      <t>^2 - 4.7*</t>
    </r>
    <r>
      <rPr>
        <sz val="10"/>
        <color indexed="8"/>
        <rFont val="Symbol"/>
        <family val="1"/>
        <charset val="2"/>
      </rPr>
      <t>e</t>
    </r>
    <r>
      <rPr>
        <sz val="10"/>
        <color indexed="8"/>
        <rFont val="Arial"/>
        <family val="2"/>
      </rPr>
      <t xml:space="preserve"> + 3.4</t>
    </r>
  </si>
  <si>
    <t>Square Tower Cf =</t>
  </si>
  <si>
    <t>Triangle Tower Cf =</t>
  </si>
  <si>
    <r>
      <t>a</t>
    </r>
    <r>
      <rPr>
        <sz val="10"/>
        <color indexed="8"/>
        <rFont val="Arial"/>
        <family val="2"/>
      </rPr>
      <t xml:space="preserve"> =</t>
    </r>
  </si>
  <si>
    <r>
      <t xml:space="preserve">Determine </t>
    </r>
    <r>
      <rPr>
        <sz val="10"/>
        <color indexed="12"/>
        <rFont val="Symbol"/>
        <family val="1"/>
        <charset val="2"/>
      </rPr>
      <t>a</t>
    </r>
    <r>
      <rPr>
        <sz val="10"/>
        <color indexed="12"/>
        <rFont val="Arial"/>
        <family val="2"/>
      </rPr>
      <t xml:space="preserve">, zg, </t>
    </r>
    <r>
      <rPr>
        <sz val="10"/>
        <color indexed="12"/>
        <rFont val="Tahoma"/>
        <family val="2"/>
      </rPr>
      <t>I</t>
    </r>
    <r>
      <rPr>
        <sz val="10"/>
        <color indexed="12"/>
        <rFont val="Arial"/>
        <family val="2"/>
      </rPr>
      <t>:</t>
    </r>
  </si>
  <si>
    <t>Height of Structure, h =</t>
  </si>
  <si>
    <t>multiplied by the area, 'Af', the area normal to wind direction.</t>
  </si>
  <si>
    <t xml:space="preserve">         from Figures 6-22 and 6-23.</t>
  </si>
  <si>
    <t>All Heights</t>
  </si>
  <si>
    <t>Lattice Frameworks</t>
  </si>
  <si>
    <t xml:space="preserve">Open Signs &amp; </t>
  </si>
  <si>
    <t>Cf</t>
  </si>
  <si>
    <t>Force Coefficients</t>
  </si>
  <si>
    <t>&lt; 0.1</t>
  </si>
  <si>
    <t>0.1 to 0.29</t>
  </si>
  <si>
    <t>0.3 to 0.7</t>
  </si>
  <si>
    <t>e</t>
  </si>
  <si>
    <t>Using Method 2: Analytical Procedure (Section 6.5) for Other Structures of Any Height</t>
  </si>
  <si>
    <t>D*SQRT(qz) &lt;= 2.5</t>
  </si>
  <si>
    <t>D*SQRT(qz) &gt; 2.5</t>
  </si>
  <si>
    <t>Members</t>
  </si>
  <si>
    <t>Flat-Sided</t>
  </si>
  <si>
    <t>Notes:</t>
  </si>
  <si>
    <t>1. Signs with openings comprising 30% or more of the gross area are classified as open signs.</t>
  </si>
  <si>
    <t xml:space="preserve">2. The calculation of the design wind forces shall be based on the area of all exposed members </t>
  </si>
  <si>
    <t xml:space="preserve">    and elements projected on a plane normal to the wind direction.  Forces shall be assumed to </t>
  </si>
  <si>
    <t xml:space="preserve">    act parallel to the wind direction.</t>
  </si>
  <si>
    <t xml:space="preserve">3. The area 'Af' consistent with these force coefficients is the solid area projected normal to the </t>
  </si>
  <si>
    <t xml:space="preserve">    wind direction. </t>
  </si>
  <si>
    <t>4. Notation:</t>
  </si>
  <si>
    <r>
      <t xml:space="preserve">    </t>
    </r>
    <r>
      <rPr>
        <sz val="10"/>
        <rFont val="Symbol"/>
        <family val="1"/>
        <charset val="2"/>
      </rPr>
      <t>e</t>
    </r>
    <r>
      <rPr>
        <sz val="10"/>
        <rFont val="Arial"/>
      </rPr>
      <t xml:space="preserve"> = ratio of solid area to gross area</t>
    </r>
  </si>
  <si>
    <t xml:space="preserve">    D = diameter of a typical round member, in feet.</t>
  </si>
  <si>
    <t xml:space="preserve">    qz = velocity pressure evaluated at height 'z' above ground in psf.</t>
  </si>
  <si>
    <t>Tower Cross Section</t>
  </si>
  <si>
    <t>Triangle</t>
  </si>
  <si>
    <r>
      <t>4.0*</t>
    </r>
    <r>
      <rPr>
        <sz val="10"/>
        <color indexed="12"/>
        <rFont val="Symbol"/>
        <family val="1"/>
        <charset val="2"/>
      </rPr>
      <t>e</t>
    </r>
    <r>
      <rPr>
        <sz val="10"/>
        <color indexed="12"/>
        <rFont val="Arial"/>
        <family val="2"/>
      </rPr>
      <t>^2 - 5.9*</t>
    </r>
    <r>
      <rPr>
        <sz val="10"/>
        <color indexed="12"/>
        <rFont val="Symbol"/>
        <family val="1"/>
        <charset val="2"/>
      </rPr>
      <t>e</t>
    </r>
    <r>
      <rPr>
        <sz val="10"/>
        <color indexed="12"/>
        <rFont val="Arial"/>
        <family val="2"/>
      </rPr>
      <t xml:space="preserve"> + 4.0</t>
    </r>
  </si>
  <si>
    <r>
      <t>3.4*</t>
    </r>
    <r>
      <rPr>
        <sz val="10"/>
        <color indexed="12"/>
        <rFont val="Symbol"/>
        <family val="1"/>
        <charset val="2"/>
      </rPr>
      <t>e</t>
    </r>
    <r>
      <rPr>
        <sz val="10"/>
        <color indexed="12"/>
        <rFont val="Arial"/>
        <family val="2"/>
      </rPr>
      <t>^2 - 4.7*</t>
    </r>
    <r>
      <rPr>
        <sz val="10"/>
        <color indexed="12"/>
        <rFont val="Symbol"/>
        <family val="1"/>
        <charset val="2"/>
      </rPr>
      <t>e</t>
    </r>
    <r>
      <rPr>
        <sz val="10"/>
        <color indexed="12"/>
        <rFont val="Arial"/>
        <family val="2"/>
      </rPr>
      <t xml:space="preserve"> + 3.4</t>
    </r>
  </si>
  <si>
    <t>Trussed Towers</t>
  </si>
  <si>
    <t>Open Structures</t>
  </si>
  <si>
    <t xml:space="preserve">3. For towers containing rounded member, it is acceptable to multiply specified force coefficients </t>
  </si>
  <si>
    <t xml:space="preserve">4. Wind forces shall be applied in directions resulting in maximum member forces and reactions. </t>
  </si>
  <si>
    <t xml:space="preserve">    For towers with square cross-sections, wind forces shall be multiplied by following factor when </t>
  </si>
  <si>
    <r>
      <t xml:space="preserve">    by following factor when determining wind forces on such members:  0.51*</t>
    </r>
    <r>
      <rPr>
        <sz val="10"/>
        <rFont val="Symbol"/>
        <family val="1"/>
        <charset val="2"/>
      </rPr>
      <t>e</t>
    </r>
    <r>
      <rPr>
        <sz val="10"/>
        <rFont val="Arial"/>
      </rPr>
      <t>^2 + 0.57 &lt;= 1.0.</t>
    </r>
  </si>
  <si>
    <r>
      <t xml:space="preserve">    wind is directed along a tower diagonal:  1+ 0.75*</t>
    </r>
    <r>
      <rPr>
        <sz val="10"/>
        <rFont val="Symbol"/>
        <family val="1"/>
        <charset val="2"/>
      </rPr>
      <t>e</t>
    </r>
    <r>
      <rPr>
        <sz val="10"/>
        <rFont val="Arial"/>
      </rPr>
      <t xml:space="preserve"> &lt;= 1.2.</t>
    </r>
  </si>
  <si>
    <t>Structure Width, B =</t>
  </si>
  <si>
    <r>
      <t>Note:</t>
    </r>
    <r>
      <rPr>
        <b/>
        <sz val="10"/>
        <color indexed="10"/>
        <rFont val="Arial"/>
        <family val="2"/>
      </rPr>
      <t xml:space="preserve"> User is to input applicable</t>
    </r>
  </si>
  <si>
    <t xml:space="preserve">         values of Cf in table at left.</t>
  </si>
  <si>
    <t xml:space="preserve">         Use force coefficients, Cf,</t>
  </si>
  <si>
    <t>Period Coefficient, Ct =</t>
  </si>
  <si>
    <t>(0.020 to 0.035)</t>
  </si>
  <si>
    <t>(0.010 to 0.070)</t>
  </si>
  <si>
    <t xml:space="preserve">p = qz*G*Cf  (psf), where 'qz' is evaluated at </t>
  </si>
  <si>
    <t xml:space="preserve">      height 'z' of the centroid of projected area.</t>
  </si>
  <si>
    <r>
      <t xml:space="preserve">                     P</t>
    </r>
    <r>
      <rPr>
        <sz val="8"/>
        <rFont val="Arial"/>
        <family val="2"/>
      </rPr>
      <t>Lx</t>
    </r>
    <r>
      <rPr>
        <sz val="10"/>
        <rFont val="Arial"/>
      </rPr>
      <t>, P</t>
    </r>
    <r>
      <rPr>
        <sz val="8"/>
        <rFont val="Arial"/>
        <family val="2"/>
      </rPr>
      <t>L</t>
    </r>
    <r>
      <rPr>
        <sz val="10"/>
        <rFont val="Arial"/>
      </rPr>
      <t>y = Leeward face pressure acting in the X, Y principal axis, respectively.</t>
    </r>
  </si>
  <si>
    <t>Zones 2/2E dist. =</t>
  </si>
  <si>
    <t>2.5*he =</t>
  </si>
  <si>
    <t>0.5*B =</t>
  </si>
  <si>
    <t>Remainder of roof Zones 2/2E extending to ridge line shall use roof Zones 3/3E pressure coefficients.</t>
  </si>
  <si>
    <r>
      <t>Note:</t>
    </r>
    <r>
      <rPr>
        <b/>
        <sz val="10"/>
        <color indexed="10"/>
        <rFont val="Arial"/>
        <family val="2"/>
      </rPr>
      <t xml:space="preserve"> this worksheet DOES NOT address</t>
    </r>
  </si>
  <si>
    <t>Use Input Values?</t>
  </si>
  <si>
    <t>(if used, overhangs on all sides)</t>
  </si>
  <si>
    <t>: a. ASCE 7-02, "Minimum Design Loads for Buildings and Other Structures".</t>
  </si>
  <si>
    <t xml:space="preserve">  b. "Guide to the Use of the Wind Load Provisions of ASCE 7-02"</t>
  </si>
  <si>
    <t xml:space="preserve">       by: Kishor C. Mehta and James M. Delahay (2004).</t>
  </si>
  <si>
    <t xml:space="preserve">            4. References</t>
  </si>
  <si>
    <t xml:space="preserve">            9. References</t>
  </si>
  <si>
    <t>Job Name:</t>
  </si>
  <si>
    <t>Job Number:</t>
  </si>
  <si>
    <t>Kz</t>
  </si>
  <si>
    <t>qz</t>
  </si>
  <si>
    <t>(Table 6-4)</t>
  </si>
  <si>
    <t>Surface</t>
  </si>
  <si>
    <t>z</t>
  </si>
  <si>
    <t>(ft.)</t>
  </si>
  <si>
    <t>(psf)</t>
  </si>
  <si>
    <t>Cp</t>
  </si>
  <si>
    <t>Side Walls</t>
  </si>
  <si>
    <t>All</t>
  </si>
  <si>
    <t>Windward Wall Cp =</t>
  </si>
  <si>
    <t>Leeward Wall Cp =</t>
  </si>
  <si>
    <t>Side Walls Cp =</t>
  </si>
  <si>
    <t>Windward Wall</t>
  </si>
  <si>
    <t>Leeward Wall</t>
  </si>
  <si>
    <t>-</t>
  </si>
  <si>
    <t>zg =</t>
  </si>
  <si>
    <t>Kh =</t>
  </si>
  <si>
    <t>N</t>
  </si>
  <si>
    <t>For h/L&lt;=0.25:</t>
  </si>
  <si>
    <t>For h/L=0.5:</t>
  </si>
  <si>
    <t>For h/L&gt;=1.0:</t>
  </si>
  <si>
    <t>Use Roof Cp =</t>
  </si>
  <si>
    <t>actual h/L =</t>
  </si>
  <si>
    <t>Zone #1 Roof Cp =</t>
  </si>
  <si>
    <t>Zone #2 Roof Cp =</t>
  </si>
  <si>
    <t>Zone #3 Roof Cp =</t>
  </si>
  <si>
    <t>Zone #4 Roof Cp =</t>
  </si>
  <si>
    <t>Component</t>
  </si>
  <si>
    <t>Zone 4 (+)</t>
  </si>
  <si>
    <t>Zone 4 (-)</t>
  </si>
  <si>
    <t>Zone 5 (+)</t>
  </si>
  <si>
    <t>Zone 5 (-)</t>
  </si>
  <si>
    <t>GCp Zone 4 Pos. =</t>
  </si>
  <si>
    <t>GCp Zone 5 Pos. =</t>
  </si>
  <si>
    <t>GCp Zone 4 Neg. =</t>
  </si>
  <si>
    <t>GCp Zone 5 Neg. =</t>
  </si>
  <si>
    <t>Reduction Factor =</t>
  </si>
  <si>
    <t>Applicable Area  =</t>
  </si>
  <si>
    <t>L &amp; B or B &amp; L:</t>
  </si>
  <si>
    <t>Use 'a' =</t>
  </si>
  <si>
    <t>Compare to 0.4*h:</t>
  </si>
  <si>
    <t>ft.</t>
  </si>
  <si>
    <t>GCp Zone 1 Neg. =</t>
  </si>
  <si>
    <t>GCp Zone 2 Neg. =</t>
  </si>
  <si>
    <t>GCp Zone 3 Neg. =</t>
  </si>
  <si>
    <t>Zone 1,2,3 (+)</t>
  </si>
  <si>
    <t>Zone 1 (-)</t>
  </si>
  <si>
    <t>Zone 2 (-)</t>
  </si>
  <si>
    <t>Zone 3 (-)</t>
  </si>
  <si>
    <t>Width 'a' for Zone 5 for h &lt;= 60':</t>
  </si>
  <si>
    <t>Width 'a' for Zone 5 for h &gt; 60':</t>
  </si>
  <si>
    <t>Compare to 3':</t>
  </si>
  <si>
    <t>Width 'a' for Zone 2 for h &lt;= 60':</t>
  </si>
  <si>
    <t>Width 'a' for Zone 2 for h &gt; 60':</t>
  </si>
  <si>
    <t>For Zone 1,2,3 Pos. =</t>
  </si>
  <si>
    <t>For Zone 1 Neg. =</t>
  </si>
  <si>
    <t>For Zone 2 Neg. =</t>
  </si>
  <si>
    <t>For Zone 3 Neg. =</t>
  </si>
  <si>
    <t>Input Data:</t>
  </si>
  <si>
    <t>Wind Speed, V =</t>
  </si>
  <si>
    <t>Ridge Height, hr =</t>
  </si>
  <si>
    <t>Eave Height, he =</t>
  </si>
  <si>
    <t>Topo. Factor, Kzt =</t>
  </si>
  <si>
    <t>Mean Roof  Ht., h =</t>
  </si>
  <si>
    <t>Effective Area, Ae =</t>
  </si>
  <si>
    <t>C</t>
  </si>
  <si>
    <t>Gust Factor, G =</t>
  </si>
  <si>
    <t>I =</t>
  </si>
  <si>
    <t>b(bar) =</t>
  </si>
  <si>
    <t>V(bar,zbar) =</t>
  </si>
  <si>
    <t>c =</t>
  </si>
  <si>
    <t>N1 =</t>
  </si>
  <si>
    <t>Rn =</t>
  </si>
  <si>
    <t>z(min) =</t>
  </si>
  <si>
    <t>Rh =</t>
  </si>
  <si>
    <t>z(bar) =</t>
  </si>
  <si>
    <t>Iz(bar) =</t>
  </si>
  <si>
    <t>Cf =</t>
  </si>
  <si>
    <t>Lz(bar) =</t>
  </si>
  <si>
    <t>Q =</t>
  </si>
  <si>
    <t>R =</t>
  </si>
  <si>
    <t>Resulting Parameters and Coefficients:</t>
  </si>
  <si>
    <t>Compare to .04*(L, B):</t>
  </si>
  <si>
    <t>D =</t>
  </si>
  <si>
    <t>CALCULATIONS:</t>
  </si>
  <si>
    <t>Windward Roof Cp Values</t>
  </si>
  <si>
    <t>Leeward Roof Cp Values</t>
  </si>
  <si>
    <t>Lesser of L or B:</t>
  </si>
  <si>
    <t>0.1*(L or B):</t>
  </si>
  <si>
    <t>Ct =</t>
  </si>
  <si>
    <r>
      <t>a</t>
    </r>
    <r>
      <rPr>
        <sz val="10"/>
        <rFont val="Arial"/>
      </rPr>
      <t>(bar) =</t>
    </r>
  </si>
  <si>
    <r>
      <t>a</t>
    </r>
    <r>
      <rPr>
        <sz val="10"/>
        <rFont val="Arial"/>
      </rPr>
      <t>^ =</t>
    </r>
  </si>
  <si>
    <t>b^ =</t>
  </si>
  <si>
    <r>
      <t>h</t>
    </r>
    <r>
      <rPr>
        <sz val="10"/>
        <rFont val="Arial"/>
        <family val="2"/>
      </rPr>
      <t>h =</t>
    </r>
  </si>
  <si>
    <r>
      <t>b</t>
    </r>
    <r>
      <rPr>
        <sz val="10"/>
        <color indexed="8"/>
        <rFont val="Arial"/>
        <family val="2"/>
      </rPr>
      <t xml:space="preserve"> =</t>
    </r>
  </si>
  <si>
    <t>G =</t>
  </si>
  <si>
    <r>
      <t>l</t>
    </r>
    <r>
      <rPr>
        <sz val="10"/>
        <rFont val="Arial"/>
      </rPr>
      <t xml:space="preserve"> =</t>
    </r>
  </si>
  <si>
    <t>+GCpi Coef. (PIP) =</t>
  </si>
  <si>
    <t>-GCpi Coef. (NIP) =</t>
  </si>
  <si>
    <t>(for Roof Cp = -1.3)</t>
  </si>
  <si>
    <t>(Kh = Kz evaluated at z = h)</t>
  </si>
  <si>
    <t>Applicable L/B ratio =</t>
  </si>
  <si>
    <t>Applicable h/L ratio =</t>
  </si>
  <si>
    <t>+GCpi Coef. =</t>
  </si>
  <si>
    <t>-GCpi Coef. =</t>
  </si>
  <si>
    <t>freq., f =</t>
  </si>
  <si>
    <t>hz.</t>
  </si>
  <si>
    <t>qh =</t>
  </si>
  <si>
    <t>Wall Zone 1 =</t>
  </si>
  <si>
    <t>Roof Zone 2 =</t>
  </si>
  <si>
    <t>Roof Zone 3 =</t>
  </si>
  <si>
    <t>Wall Zone 4 =</t>
  </si>
  <si>
    <t>Wall Zone 1E =</t>
  </si>
  <si>
    <t>Roof Zone 2E =</t>
  </si>
  <si>
    <t>Roof Zone 3E =</t>
  </si>
  <si>
    <t>Wall Zone 4E =</t>
  </si>
  <si>
    <t>Wall Zone 5 =</t>
  </si>
  <si>
    <t>Wall Zone 6 =</t>
  </si>
  <si>
    <t>GCpf</t>
  </si>
  <si>
    <t>(w/ +GCpi)</t>
  </si>
  <si>
    <t>(w/ -GCpi)</t>
  </si>
  <si>
    <t>p = Net Pressure (psf)</t>
  </si>
  <si>
    <t>Check 'Low-Rise' Criteria:</t>
  </si>
  <si>
    <t>Lesser of L or B =</t>
  </si>
  <si>
    <t>Use '2*a' =</t>
  </si>
  <si>
    <t>1.  Is h &lt;= 60' ?</t>
  </si>
  <si>
    <t>a =</t>
  </si>
  <si>
    <t>2*a =</t>
  </si>
  <si>
    <t>0.5*L =</t>
  </si>
  <si>
    <t>Use =</t>
  </si>
  <si>
    <t>Zone 1E is windward wall for end zone.</t>
  </si>
  <si>
    <t>Zone 2E is windward roof for end zone.</t>
  </si>
  <si>
    <t>Zone 3E is leeward roof for end zone.</t>
  </si>
  <si>
    <t>Zone 4E is leeward wall for end zone.</t>
  </si>
  <si>
    <t>Zone 1</t>
  </si>
  <si>
    <t>Zone 2</t>
  </si>
  <si>
    <t>Zone 3</t>
  </si>
  <si>
    <t>Zone 4</t>
  </si>
  <si>
    <t>Zone 1E</t>
  </si>
  <si>
    <t>Zone 2E</t>
  </si>
  <si>
    <t>Zone 3E</t>
  </si>
  <si>
    <t>Zone 4E</t>
  </si>
  <si>
    <t>Zone 5</t>
  </si>
  <si>
    <t>Zone 6</t>
  </si>
  <si>
    <t xml:space="preserve">                Zone 3 is leeward roof for interior zone.</t>
  </si>
  <si>
    <t xml:space="preserve">                Zone 2 is windward roof for interior zone.</t>
  </si>
  <si>
    <t xml:space="preserve">                Zone 4 is leeward wall for interior zone.</t>
  </si>
  <si>
    <t xml:space="preserve">                Zone 1 is windward wall for interior zone.</t>
  </si>
  <si>
    <t>*GCpf</t>
  </si>
  <si>
    <t>Notes:  1. (+) and (-) signs signify wind pressures acting toward &amp; away from respective surfaces.</t>
  </si>
  <si>
    <t xml:space="preserve">            2. (+) and (-) signs signify wind pressures acting toward &amp; away from respective surfaces.</t>
  </si>
  <si>
    <t>Use Zone 1,2,3 Pos. =</t>
  </si>
  <si>
    <t>Use Zone 1 Neg. =</t>
  </si>
  <si>
    <t>Use Zone 2 Neg. =</t>
  </si>
  <si>
    <t>Use Zone 3 Neg. =</t>
  </si>
  <si>
    <t>Is h &lt;= 60'?</t>
  </si>
  <si>
    <t>Is h &lt;= Lesser L,B?</t>
  </si>
  <si>
    <t>Period Coef., Ct =</t>
  </si>
  <si>
    <t>GCp Zone 1-3 Pos. =</t>
  </si>
  <si>
    <t>Wall External Pressure Coefficients, GCp:</t>
  </si>
  <si>
    <t>Roof External Pressure Coefficients, GCp:</t>
  </si>
  <si>
    <t xml:space="preserve">            2. Width of Zone 5 (end zones), 'a' =</t>
  </si>
  <si>
    <t>(For values, see following wind load tabulations.)</t>
  </si>
  <si>
    <t>Overhangs? (Y/N)</t>
  </si>
  <si>
    <t>(Gable or Monoslope)</t>
  </si>
  <si>
    <t>Purlin</t>
  </si>
  <si>
    <t>Wall Zones for Buildings with h &lt;= 60 ft.</t>
  </si>
  <si>
    <t>Wall Zones for Buildings with h &gt; 60 ft.</t>
  </si>
  <si>
    <t>Roof Zones for Buildings with h &lt;= 60 ft.</t>
  </si>
  <si>
    <t>Roof Zones for Buildings with h &gt; 60 ft.</t>
  </si>
  <si>
    <r>
      <t xml:space="preserve">     (for Gable Roofs &lt;= 45</t>
    </r>
    <r>
      <rPr>
        <b/>
        <vertAlign val="superscript"/>
        <sz val="10"/>
        <rFont val="Arial"/>
        <family val="2"/>
      </rPr>
      <t>o</t>
    </r>
    <r>
      <rPr>
        <b/>
        <sz val="10"/>
        <rFont val="Arial"/>
        <family val="2"/>
      </rPr>
      <t xml:space="preserve"> and Monoslope Roofs &lt;= 3</t>
    </r>
    <r>
      <rPr>
        <b/>
        <vertAlign val="superscript"/>
        <sz val="10"/>
        <rFont val="Arial"/>
        <family val="2"/>
      </rPr>
      <t>o</t>
    </r>
    <r>
      <rPr>
        <b/>
        <sz val="10"/>
        <rFont val="Arial"/>
        <family val="2"/>
      </rPr>
      <t>)</t>
    </r>
  </si>
  <si>
    <t xml:space="preserve">              specified value.</t>
  </si>
  <si>
    <t>(positive internal pressure)</t>
  </si>
  <si>
    <t>(negative internal pressure)</t>
  </si>
  <si>
    <r>
      <t>h</t>
    </r>
    <r>
      <rPr>
        <sz val="10"/>
        <rFont val="Arial"/>
        <family val="2"/>
      </rPr>
      <t>d =</t>
    </r>
  </si>
  <si>
    <t>Determination of Gust Effect Factor, G:</t>
  </si>
  <si>
    <t>Period Coefficient</t>
  </si>
  <si>
    <t>f =</t>
  </si>
  <si>
    <t>Damping Ratio</t>
  </si>
  <si>
    <t>Use: G =</t>
  </si>
  <si>
    <r>
      <t xml:space="preserve">     (for Gable Roofs &lt;= 10</t>
    </r>
    <r>
      <rPr>
        <b/>
        <vertAlign val="superscript"/>
        <sz val="10"/>
        <rFont val="Arial"/>
        <family val="2"/>
      </rPr>
      <t>o</t>
    </r>
    <r>
      <rPr>
        <b/>
        <sz val="10"/>
        <rFont val="Arial"/>
        <family val="2"/>
      </rPr>
      <t xml:space="preserve"> and Monoslope Roofs &lt;= 3</t>
    </r>
    <r>
      <rPr>
        <b/>
        <vertAlign val="superscript"/>
        <sz val="10"/>
        <rFont val="Arial"/>
        <family val="2"/>
      </rPr>
      <t>o</t>
    </r>
    <r>
      <rPr>
        <b/>
        <sz val="10"/>
        <rFont val="Arial"/>
        <family val="2"/>
      </rPr>
      <t>)</t>
    </r>
  </si>
  <si>
    <t xml:space="preserve">            2. Width of Zone 2 (edge), 'a' =</t>
  </si>
  <si>
    <t>Gf =</t>
  </si>
  <si>
    <t>Check Criteria for a Low-Rise Building:</t>
  </si>
  <si>
    <r>
      <t>a</t>
    </r>
    <r>
      <rPr>
        <sz val="10"/>
        <rFont val="Arial"/>
      </rPr>
      <t xml:space="preserve"> =</t>
    </r>
  </si>
  <si>
    <t>T =</t>
  </si>
  <si>
    <t>(Assume: T = Ct*h^(3/4) , and f = 1/T)</t>
  </si>
  <si>
    <r>
      <t>a</t>
    </r>
    <r>
      <rPr>
        <sz val="10"/>
        <rFont val="Arial"/>
        <family val="2"/>
      </rPr>
      <t xml:space="preserve"> </t>
    </r>
    <r>
      <rPr>
        <sz val="10"/>
        <rFont val="Arial"/>
      </rPr>
      <t>=</t>
    </r>
  </si>
  <si>
    <r>
      <t xml:space="preserve">Damping Ratio, </t>
    </r>
    <r>
      <rPr>
        <sz val="10"/>
        <color indexed="8"/>
        <rFont val="Symbol"/>
        <family val="1"/>
        <charset val="2"/>
      </rPr>
      <t>b</t>
    </r>
    <r>
      <rPr>
        <sz val="10"/>
        <color indexed="8"/>
        <rFont val="Arial"/>
        <family val="2"/>
      </rPr>
      <t xml:space="preserve"> =</t>
    </r>
  </si>
  <si>
    <r>
      <t>If  z &lt; 15  then:  Kz = 2.01*(15/zg)^(2/</t>
    </r>
    <r>
      <rPr>
        <sz val="10"/>
        <rFont val="Symbol"/>
        <family val="1"/>
        <charset val="2"/>
      </rPr>
      <t>a</t>
    </r>
    <r>
      <rPr>
        <sz val="10"/>
        <rFont val="Arial"/>
      </rPr>
      <t>)</t>
    </r>
  </si>
  <si>
    <r>
      <t>If  z &gt;= 15  then:  Kz = 2.01*(z/zg)^(2/</t>
    </r>
    <r>
      <rPr>
        <sz val="10"/>
        <rFont val="Symbol"/>
        <family val="1"/>
        <charset val="2"/>
      </rPr>
      <t>a</t>
    </r>
    <r>
      <rPr>
        <sz val="10"/>
        <rFont val="Arial"/>
      </rPr>
      <t>)</t>
    </r>
  </si>
  <si>
    <r>
      <t xml:space="preserve">Roof Angle, </t>
    </r>
    <r>
      <rPr>
        <sz val="10"/>
        <rFont val="Symbol"/>
        <family val="1"/>
        <charset val="2"/>
      </rPr>
      <t>q</t>
    </r>
    <r>
      <rPr>
        <sz val="10"/>
        <rFont val="Arial"/>
      </rPr>
      <t xml:space="preserve"> =</t>
    </r>
  </si>
  <si>
    <r>
      <t xml:space="preserve">Roof Angle, </t>
    </r>
    <r>
      <rPr>
        <sz val="10"/>
        <color indexed="12"/>
        <rFont val="Symbol"/>
        <family val="1"/>
        <charset val="2"/>
      </rPr>
      <t>q</t>
    </r>
    <r>
      <rPr>
        <sz val="10"/>
        <color indexed="12"/>
        <rFont val="Arial"/>
        <family val="2"/>
      </rPr>
      <t xml:space="preserve"> =</t>
    </r>
  </si>
  <si>
    <r>
      <t xml:space="preserve">Determine </t>
    </r>
    <r>
      <rPr>
        <sz val="10"/>
        <color indexed="12"/>
        <rFont val="Symbol"/>
        <family val="1"/>
        <charset val="2"/>
      </rPr>
      <t>a</t>
    </r>
    <r>
      <rPr>
        <sz val="10"/>
        <color indexed="12"/>
        <rFont val="Arial"/>
        <family val="2"/>
      </rPr>
      <t>, zg, Kh, I, and qh:</t>
    </r>
  </si>
  <si>
    <r>
      <t>a</t>
    </r>
    <r>
      <rPr>
        <sz val="10"/>
        <color indexed="12"/>
        <rFont val="Arial"/>
        <family val="2"/>
      </rPr>
      <t xml:space="preserve"> =</t>
    </r>
  </si>
  <si>
    <r>
      <t xml:space="preserve">GCp Reduction Factor for h &lt;= 60' and </t>
    </r>
    <r>
      <rPr>
        <sz val="10"/>
        <color indexed="12"/>
        <rFont val="Symbol"/>
        <family val="1"/>
        <charset val="2"/>
      </rPr>
      <t>q</t>
    </r>
    <r>
      <rPr>
        <sz val="10"/>
        <color indexed="12"/>
        <rFont val="Arial"/>
        <family val="2"/>
      </rPr>
      <t xml:space="preserve"> &lt;= 10 deg. =</t>
    </r>
  </si>
  <si>
    <r>
      <t xml:space="preserve">GCp for h &gt; 60' and </t>
    </r>
    <r>
      <rPr>
        <sz val="10"/>
        <color indexed="12"/>
        <rFont val="Symbol"/>
        <family val="1"/>
        <charset val="2"/>
      </rPr>
      <t>q</t>
    </r>
    <r>
      <rPr>
        <sz val="10"/>
        <color indexed="12"/>
        <rFont val="Arial"/>
        <family val="2"/>
      </rPr>
      <t xml:space="preserve"> &lt;= 10:</t>
    </r>
  </si>
  <si>
    <t>p = Net Design Pressures (psf)</t>
  </si>
  <si>
    <t>p = Net Pressures (psf)</t>
  </si>
  <si>
    <t>WIND LOADING ANALYSIS - Wall Components and Cladding</t>
  </si>
  <si>
    <t>Wind Load Tabulation for Wall Components &amp; Cladding</t>
  </si>
  <si>
    <t>Wind Load Tabulation for Roof Components &amp; Cladding</t>
  </si>
  <si>
    <t>For z = he:</t>
  </si>
  <si>
    <t>For z = h:</t>
  </si>
  <si>
    <t>(Normal or Parallel to building ridge)</t>
  </si>
  <si>
    <t>= 0.6*h ,  but not &lt; z(min) ,  ft.</t>
  </si>
  <si>
    <t>= 4.6*f*h/(V(bar,zbar))</t>
  </si>
  <si>
    <t xml:space="preserve">                Zone 3 shall be treated as Zone 2.</t>
  </si>
  <si>
    <r>
      <t xml:space="preserve">            7. If a parapet &gt;= 3' in height is provided around perimeter of roof with </t>
    </r>
    <r>
      <rPr>
        <sz val="10"/>
        <rFont val="Symbol"/>
        <family val="1"/>
        <charset val="2"/>
      </rPr>
      <t>q</t>
    </r>
    <r>
      <rPr>
        <sz val="10"/>
        <rFont val="Arial"/>
        <family val="2"/>
      </rPr>
      <t xml:space="preserve"> &lt;= 10 degrees</t>
    </r>
    <r>
      <rPr>
        <sz val="10"/>
        <rFont val="Arial"/>
      </rPr>
      <t>,</t>
    </r>
  </si>
  <si>
    <t>WIND LOADING ANALYSIS - Roof Components and Cladding</t>
  </si>
  <si>
    <t>Direct. Factor, Kd =</t>
  </si>
  <si>
    <t xml:space="preserve">   where: q = qz for windward walls,  q = qh for leeward walls and side walls</t>
  </si>
  <si>
    <t xml:space="preserve">   where: q = qh for roof</t>
  </si>
  <si>
    <t>For h &lt;= 60 ft.:  p = qh*((GCp) - (+/-GCpi))  (psf)</t>
  </si>
  <si>
    <t>For h &gt;   60 ft.:  p = q*(GCp) - qi*(+/-GCpi)  (psf)</t>
  </si>
  <si>
    <t>(Gust Factor, Sect. 6.5.8)</t>
  </si>
  <si>
    <r>
      <t>1:</t>
    </r>
    <r>
      <rPr>
        <sz val="10"/>
        <rFont val="Arial"/>
        <family val="2"/>
      </rPr>
      <t xml:space="preserve">  Simplified Method for Rigid Building</t>
    </r>
  </si>
  <si>
    <r>
      <t xml:space="preserve">3: </t>
    </r>
    <r>
      <rPr>
        <sz val="10"/>
        <rFont val="Arial"/>
      </rPr>
      <t xml:space="preserve"> Calculation of Gf for Flexible Building</t>
    </r>
  </si>
  <si>
    <t>gq =</t>
  </si>
  <si>
    <t>gv =</t>
  </si>
  <si>
    <t>gr =</t>
  </si>
  <si>
    <t>RL =</t>
  </si>
  <si>
    <t>RB =</t>
  </si>
  <si>
    <r>
      <t>e</t>
    </r>
    <r>
      <rPr>
        <sz val="10"/>
        <rFont val="Arial"/>
        <family val="2"/>
      </rPr>
      <t>(bar)</t>
    </r>
    <r>
      <rPr>
        <sz val="10"/>
        <rFont val="Arial"/>
      </rPr>
      <t xml:space="preserve"> =</t>
    </r>
  </si>
  <si>
    <t>= V(mph)*(88/60) ,  ft./sec.</t>
  </si>
  <si>
    <r>
      <t>1:</t>
    </r>
    <r>
      <rPr>
        <sz val="10"/>
        <rFont val="Arial"/>
        <family val="2"/>
      </rPr>
      <t xml:space="preserve">  Simplified Method for Rigid Structure</t>
    </r>
  </si>
  <si>
    <t>V(fps) =</t>
  </si>
  <si>
    <t>Girt</t>
  </si>
  <si>
    <t>Building Width =</t>
  </si>
  <si>
    <t>Building Length =</t>
  </si>
  <si>
    <t>B</t>
  </si>
  <si>
    <t>L =</t>
  </si>
  <si>
    <t>B =</t>
  </si>
  <si>
    <t>For Normal/Parallel to Ridge Wind Direction:</t>
  </si>
  <si>
    <t>Y</t>
  </si>
  <si>
    <t>= 4.6*f*B/(V(bar,zbar))</t>
  </si>
  <si>
    <t>Wall</t>
  </si>
  <si>
    <t>Component Name =</t>
  </si>
  <si>
    <t>deg.</t>
  </si>
  <si>
    <t>Program Description:</t>
  </si>
  <si>
    <t xml:space="preserve">parameters are selected or calculated in order to compute the net design wind pressures.  </t>
  </si>
  <si>
    <t>Program Assumptions and Limitations:</t>
  </si>
  <si>
    <t xml:space="preserve">     heights of up to 500 feet.</t>
  </si>
  <si>
    <t>Hurricane Region?</t>
  </si>
  <si>
    <t xml:space="preserve">     is denoted by a “red triangle” in the upper right-hand corner of a cell.  Merely move the mouse pointer to the </t>
  </si>
  <si>
    <t xml:space="preserve">     desired cell to view the contents of that particular "comment box".)</t>
  </si>
  <si>
    <t>Doc</t>
  </si>
  <si>
    <t xml:space="preserve">MWFRS (Low-Rise) </t>
  </si>
  <si>
    <t>Force Coefficient, Cf</t>
  </si>
  <si>
    <t>Open Structure - Net Design Wind Pressures, p</t>
  </si>
  <si>
    <t>MWFRS (Any Ht.)</t>
  </si>
  <si>
    <t>Wall C&amp;C</t>
  </si>
  <si>
    <t>Roof C&amp;C</t>
  </si>
  <si>
    <t>Wind Map</t>
  </si>
  <si>
    <t>This documentation sheet</t>
  </si>
  <si>
    <t>Main Wind-Force Resisting System for low-rise buildings with h &lt;= 60’</t>
  </si>
  <si>
    <t>Main Wind-Force Resisting System for buildings of any height</t>
  </si>
  <si>
    <t>Analysis of wall Components and Cladding</t>
  </si>
  <si>
    <t>Analysis of roof Components and Cladding</t>
  </si>
  <si>
    <t>Worksheet Name</t>
  </si>
  <si>
    <t>Description</t>
  </si>
  <si>
    <t xml:space="preserve">     explanations of input or output items, equations used, data tables, etc.  (Note:  presence of a “comment box”</t>
  </si>
  <si>
    <r>
      <t xml:space="preserve">2: </t>
    </r>
    <r>
      <rPr>
        <sz val="10"/>
        <rFont val="Arial"/>
      </rPr>
      <t xml:space="preserve"> Calculation of G for Rigid Building</t>
    </r>
  </si>
  <si>
    <r>
      <t xml:space="preserve">2: </t>
    </r>
    <r>
      <rPr>
        <sz val="10"/>
        <rFont val="Arial"/>
      </rPr>
      <t xml:space="preserve"> Calculation of G for Rigid Structure</t>
    </r>
  </si>
  <si>
    <r>
      <t xml:space="preserve">3: </t>
    </r>
    <r>
      <rPr>
        <sz val="10"/>
        <rFont val="Arial"/>
      </rPr>
      <t xml:space="preserve"> Calculation of Gf for Flexible Structure</t>
    </r>
  </si>
  <si>
    <t>II</t>
  </si>
  <si>
    <t>III</t>
  </si>
  <si>
    <t>IV</t>
  </si>
  <si>
    <t>D</t>
  </si>
  <si>
    <t>(Purlin, Joist, Decking, or Fastener)</t>
  </si>
  <si>
    <t>Joist</t>
  </si>
  <si>
    <t>Decking</t>
  </si>
  <si>
    <t>Fastener</t>
  </si>
  <si>
    <t>Siding</t>
  </si>
  <si>
    <t>I</t>
  </si>
  <si>
    <t>Square</t>
  </si>
  <si>
    <t>Normal</t>
  </si>
  <si>
    <t>Parallel</t>
  </si>
  <si>
    <t>psf</t>
  </si>
  <si>
    <t xml:space="preserve">  2.  Is h &lt;= Lesser of L or B?</t>
  </si>
  <si>
    <t>Flexible?</t>
  </si>
  <si>
    <t>Is Building Flexible?</t>
  </si>
  <si>
    <t>WIND LOADING ANALYSIS - Main Wind-Force Resisting System</t>
  </si>
  <si>
    <t>Wall Components and Cladding:</t>
  </si>
  <si>
    <t>Roof Components and Cladding:</t>
  </si>
  <si>
    <t>p = Net Design Press. (psf)</t>
  </si>
  <si>
    <t xml:space="preserve">    Calculated Parameters Used in Both Rigid and/or Flexible Building Calculations:</t>
  </si>
  <si>
    <t>Checker:</t>
  </si>
  <si>
    <t>Originator:</t>
  </si>
  <si>
    <t>Subject:</t>
  </si>
  <si>
    <t>(Girt, Siding, Wall, or Fastener)</t>
  </si>
  <si>
    <t>= 15.4*f*L/(V(bar,zbar))</t>
  </si>
  <si>
    <t xml:space="preserve">    Calculated Parameters Used in Both Rigid and/or Flexible Structure Calculations:</t>
  </si>
  <si>
    <t>= 1/T ,  Hz. (Natural Frequency)</t>
  </si>
  <si>
    <t>= Ct*h^(3/4) ,  sec. (Period)</t>
  </si>
  <si>
    <t>(Suggested Range = 0.010-0.070)</t>
  </si>
  <si>
    <t>(Suggested Range = 0.020-0.035)</t>
  </si>
  <si>
    <t xml:space="preserve">     ASCE 7-02” for determining the external wind pressure coefficients, ‘GCp’, used in the Wall C&amp;C and Roof </t>
  </si>
  <si>
    <t xml:space="preserve"> </t>
  </si>
  <si>
    <t>Bldg. Classification =</t>
  </si>
  <si>
    <t>(Table 1-1)</t>
  </si>
  <si>
    <t>Exposure Category =</t>
  </si>
  <si>
    <t>Roof Type =</t>
  </si>
  <si>
    <t>Monoslope</t>
  </si>
  <si>
    <t>Gable</t>
  </si>
  <si>
    <t>---</t>
  </si>
  <si>
    <r>
      <t xml:space="preserve">Solidity Ratio, </t>
    </r>
    <r>
      <rPr>
        <sz val="10"/>
        <color indexed="8"/>
        <rFont val="Symbol"/>
        <family val="1"/>
        <charset val="2"/>
      </rPr>
      <t>e</t>
    </r>
    <r>
      <rPr>
        <sz val="10"/>
        <color indexed="8"/>
        <rFont val="Arial"/>
        <family val="2"/>
      </rPr>
      <t xml:space="preserve"> =</t>
    </r>
  </si>
  <si>
    <t>WIND LOADING ANALYSIS - Open Structures without Roofs</t>
  </si>
  <si>
    <t>Analysis of open structures without roofs</t>
  </si>
  <si>
    <r>
      <t xml:space="preserve">*Note: Use roof angle </t>
    </r>
    <r>
      <rPr>
        <sz val="10"/>
        <rFont val="Symbol"/>
        <family val="1"/>
        <charset val="2"/>
      </rPr>
      <t>q</t>
    </r>
    <r>
      <rPr>
        <sz val="10"/>
        <rFont val="Arial"/>
        <family val="2"/>
      </rPr>
      <t xml:space="preserve"> = 0 degrees</t>
    </r>
    <r>
      <rPr>
        <sz val="10"/>
        <rFont val="Arial"/>
      </rPr>
      <t xml:space="preserve"> for Longitudinal Direction.</t>
    </r>
  </si>
  <si>
    <t>Zone 1T</t>
  </si>
  <si>
    <t>Zone 2T</t>
  </si>
  <si>
    <t>Zone 3T</t>
  </si>
  <si>
    <t>Zone 4T</t>
  </si>
  <si>
    <t>(Sect. 6.2 &amp; Figure 6-5)</t>
  </si>
  <si>
    <t>Positive &amp; Negative Internal Pressure Coefficients, GCpi (Figure 6-5):</t>
  </si>
  <si>
    <t>"ASCE710W" --- ASCE 7-10 CODE WIND ANALYSIS PROGRAM</t>
  </si>
  <si>
    <t xml:space="preserve">"ASCE710W" is a spreadsheet program written in MS-Excel for the purpose of wind loading analysis for buildings </t>
  </si>
  <si>
    <t xml:space="preserve">and structures per the ASCE 7-10 Code.  Specifically, wind pressure coefficients and related and required </t>
  </si>
  <si>
    <t>(Table 1.5-1 Risk Category)</t>
  </si>
  <si>
    <t>(Sect. 26.8 &amp; Figure 26.8-1)</t>
  </si>
  <si>
    <t>Per ASCE 7-10 Code for Buildings of Any Height</t>
  </si>
  <si>
    <t>Using Part 1 &amp; 3: Analytical Procedure (Section 30.4 &amp; 30.6)</t>
  </si>
  <si>
    <t>(Sect. 26.7)</t>
  </si>
  <si>
    <t>(Table 26.6)</t>
  </si>
  <si>
    <t>(Sect. 28.6-1 &amp; Figure 26.11-1)</t>
  </si>
  <si>
    <t>: a. ASCE 7-10, "Minimum Design Loads for Buildings and Other Structures".</t>
  </si>
  <si>
    <t>Positive &amp; Negative Internal Pressure Coefficients, GCpi (Figure 26.11-1):</t>
  </si>
  <si>
    <r>
      <t>If  z &lt;= 15  then:  Kz = 2.01*(15/zg)^(2/</t>
    </r>
    <r>
      <rPr>
        <sz val="10"/>
        <rFont val="Symbol"/>
        <family val="1"/>
        <charset val="2"/>
      </rPr>
      <t>a</t>
    </r>
    <r>
      <rPr>
        <sz val="10"/>
        <rFont val="Arial"/>
      </rPr>
      <t>) ,  If  z &gt; 15 then:  Kz = 2.01*(z/zg)^(2/</t>
    </r>
    <r>
      <rPr>
        <sz val="10"/>
        <rFont val="Symbol"/>
        <family val="1"/>
        <charset val="2"/>
      </rPr>
      <t>a</t>
    </r>
    <r>
      <rPr>
        <sz val="10"/>
        <rFont val="Arial"/>
      </rPr>
      <t>)  (Table 30.3-1)</t>
    </r>
  </si>
  <si>
    <t>(Table 26.9-1)</t>
  </si>
  <si>
    <t>(Wind Importance Factor for all cases)</t>
  </si>
  <si>
    <t>Velocity Pressure: qz = 0.00256*Kz*Kzt*Kd*V^2  (Sect. 30.3.2, Eq. 30.3-1)</t>
  </si>
  <si>
    <r>
      <t>qh = 0.00256*Kh*Kzt*Kd*V^2</t>
    </r>
    <r>
      <rPr>
        <sz val="10"/>
        <rFont val="Arial"/>
      </rPr>
      <t xml:space="preserve">  (qz evaluated at z = h)</t>
    </r>
  </si>
  <si>
    <r>
      <t xml:space="preserve">            3. </t>
    </r>
    <r>
      <rPr>
        <sz val="10"/>
        <color indexed="10"/>
        <rFont val="Arial"/>
        <family val="2"/>
      </rPr>
      <t>Per Code Section 30.2.2, the minimum wind load for C&amp;C shall not be less than 16 psf.</t>
    </r>
  </si>
  <si>
    <t>Design Net External Wind Pressures (Sect. 30.4 &amp; 30.6):</t>
  </si>
  <si>
    <t xml:space="preserve">             qi = qh for all walls (conservatively assumed per Sect. 30.6)</t>
  </si>
  <si>
    <t>(Table 30.3-1)</t>
  </si>
  <si>
    <t xml:space="preserve">     either 0.85 or the calculated value from Section 26.9.3 of the Code for the gust effect factor, 'G'.  For “flexible” </t>
  </si>
  <si>
    <t xml:space="preserve">     buildings or structures, this program calculates the gust effect factor, ‘Gf’, per Section 26.9.4 of the Code </t>
  </si>
  <si>
    <t xml:space="preserve">     C&amp;C worksheets.  (Note: a version of this document applicable to the ASCE 7-10 Code was not available </t>
  </si>
  <si>
    <t xml:space="preserve">     at the time of writing this program.)</t>
  </si>
  <si>
    <t>Basic wind speed map (Figure 26.5-1 of ASCE 7-10 Code)</t>
  </si>
  <si>
    <t>Using Method 2: Analytical Procedure (Section 27 &amp; 28) for Low-Rise Buildings</t>
  </si>
  <si>
    <t>External Pressure Coeff's., GCpf (Fig. 28.4-1):</t>
  </si>
  <si>
    <t>Positive &amp; Negative Internal Pressure Coefficients, GCpi (Table 26.11-1):</t>
  </si>
  <si>
    <t>(Sect. 26.2 &amp; Table 26.11-1)</t>
  </si>
  <si>
    <t>External Pressure Coeffients, GCpf (Fig. 28.4-1):</t>
  </si>
  <si>
    <r>
      <t>If  h &lt; 15  then:  Kh = 2.01*(15/zg)^(2/</t>
    </r>
    <r>
      <rPr>
        <sz val="10"/>
        <rFont val="Symbol"/>
        <family val="1"/>
        <charset val="2"/>
      </rPr>
      <t>a</t>
    </r>
    <r>
      <rPr>
        <sz val="10"/>
        <rFont val="Arial"/>
      </rPr>
      <t>)   (Table 28.3-1)</t>
    </r>
  </si>
  <si>
    <r>
      <t>If  h &gt;= 15  then:  Kh = 2.01*(z/zg)^(2/</t>
    </r>
    <r>
      <rPr>
        <sz val="10"/>
        <rFont val="Symbol"/>
        <family val="1"/>
        <charset val="2"/>
      </rPr>
      <t>a</t>
    </r>
    <r>
      <rPr>
        <sz val="10"/>
        <rFont val="Arial"/>
      </rPr>
      <t>)   (Table 28.3-1)</t>
    </r>
  </si>
  <si>
    <t>(Table 28.3-1)</t>
  </si>
  <si>
    <t xml:space="preserve">qz = 0.00256*Kz*Kzt*Kd*V^2 </t>
  </si>
  <si>
    <t>MWFRS Wind Load for Load Case A</t>
  </si>
  <si>
    <t>MWFRS Wind Load for Load Case B</t>
  </si>
  <si>
    <t>For Load Case A:</t>
  </si>
  <si>
    <t>For Load Case B:</t>
  </si>
  <si>
    <t>Roof Zone 5E =</t>
  </si>
  <si>
    <t>Wall Zone 6E =</t>
  </si>
  <si>
    <t>Zone 5E</t>
  </si>
  <si>
    <t>Zone 6E</t>
  </si>
  <si>
    <t>Length of Roof Zones 2/2E for Load Case A and Load Case B when GCpf is Negative in Roof Zones 2/2E:</t>
  </si>
  <si>
    <t>Determine End Zone Widths 'a'  and '2*a' (Fig. 28.4-1):</t>
  </si>
  <si>
    <t>Wall and Roof End Zone Widths 'a'  and '2*a' (Fig. 28.4-1):</t>
  </si>
  <si>
    <t>p = qh*[(GCpf) - (+/-GCpi)]  (psf, Eq. 28.4-1)</t>
  </si>
  <si>
    <r>
      <t xml:space="preserve">            5. </t>
    </r>
    <r>
      <rPr>
        <sz val="10"/>
        <color indexed="10"/>
        <rFont val="Arial"/>
        <family val="2"/>
      </rPr>
      <t>Per Code Section 28.4.4, the minimum wind load for MWFRS shall not be less than 16 psf.</t>
    </r>
  </si>
  <si>
    <t>MWFRS Wind Load for Load Case A, Torsional Case</t>
  </si>
  <si>
    <t>Notes:  1. For Load Case A (Transverse), Load Case B (Longitudinal), and Torsional Cases:</t>
  </si>
  <si>
    <t>For Case B when GCpf is neg. in Zones 2/2E:</t>
  </si>
  <si>
    <t>For Case A when GCpf is neg. in Zones 2/2E:</t>
  </si>
  <si>
    <t>MWFRS Wind Load for Case B, Torsional Case</t>
  </si>
  <si>
    <t>Zone 5T</t>
  </si>
  <si>
    <t>Zone 6T</t>
  </si>
  <si>
    <t xml:space="preserve">                Zones 5T and 6T are sidewalls for torsional case.</t>
  </si>
  <si>
    <t>Zone 5E &amp; 6E is sidewalls for end zone.</t>
  </si>
  <si>
    <t>Per ASCE 7-10 Code for Enclosed or Partially Enclosed Buildings</t>
  </si>
  <si>
    <r>
      <t xml:space="preserve">Per ASCE 7-10 Code for Bldgs. of Any Height with Gable Roof </t>
    </r>
    <r>
      <rPr>
        <b/>
        <sz val="10"/>
        <color indexed="10"/>
        <rFont val="Symbol"/>
        <family val="1"/>
        <charset val="2"/>
      </rPr>
      <t>q</t>
    </r>
    <r>
      <rPr>
        <b/>
        <sz val="10"/>
        <color indexed="10"/>
        <rFont val="Arial"/>
        <family val="2"/>
      </rPr>
      <t xml:space="preserve"> &lt;= 45</t>
    </r>
    <r>
      <rPr>
        <b/>
        <vertAlign val="superscript"/>
        <sz val="10"/>
        <color indexed="10"/>
        <rFont val="Arial"/>
        <family val="2"/>
      </rPr>
      <t>o</t>
    </r>
    <r>
      <rPr>
        <b/>
        <sz val="10"/>
        <color indexed="10"/>
        <rFont val="Arial"/>
        <family val="2"/>
      </rPr>
      <t xml:space="preserve"> or Monoslope Roof </t>
    </r>
    <r>
      <rPr>
        <b/>
        <sz val="10"/>
        <color indexed="10"/>
        <rFont val="Symbol"/>
        <family val="1"/>
        <charset val="2"/>
      </rPr>
      <t>q</t>
    </r>
    <r>
      <rPr>
        <b/>
        <sz val="10"/>
        <color indexed="10"/>
        <rFont val="Arial"/>
        <family val="2"/>
      </rPr>
      <t xml:space="preserve"> &lt;= 3</t>
    </r>
    <r>
      <rPr>
        <b/>
        <vertAlign val="superscript"/>
        <sz val="10"/>
        <color indexed="10"/>
        <rFont val="Arial"/>
        <family val="2"/>
      </rPr>
      <t>o</t>
    </r>
  </si>
  <si>
    <t>Fig's. 30.4-2A, 30.4-2B, and 30.4-2C:</t>
  </si>
  <si>
    <t>Fig. 30.4-2A:</t>
  </si>
  <si>
    <t>Fig. 30.6-1 (or Fig. 30.4-2B):</t>
  </si>
  <si>
    <t>Fig. 30.4-2B:</t>
  </si>
  <si>
    <t>Fig. 30.4-2C:</t>
  </si>
  <si>
    <r>
      <t xml:space="preserve">Determine </t>
    </r>
    <r>
      <rPr>
        <sz val="10"/>
        <color indexed="12"/>
        <rFont val="Symbol"/>
        <family val="1"/>
        <charset val="2"/>
      </rPr>
      <t>a</t>
    </r>
    <r>
      <rPr>
        <sz val="10"/>
        <color indexed="12"/>
        <rFont val="Arial"/>
        <family val="2"/>
      </rPr>
      <t>, zg, Kh, and qh:</t>
    </r>
  </si>
  <si>
    <t xml:space="preserve">             qi = qh for roof (conservatively assumed per Sect. 30.6)</t>
  </si>
  <si>
    <r>
      <t xml:space="preserve">            8. </t>
    </r>
    <r>
      <rPr>
        <sz val="10"/>
        <color indexed="10"/>
        <rFont val="Arial"/>
        <family val="2"/>
      </rPr>
      <t>Per Code Section 30.2.2, the minimum wind load for C&amp;C shall not be less than 16 psf.</t>
    </r>
  </si>
  <si>
    <r>
      <t xml:space="preserve">            4. For monoslope roofs with </t>
    </r>
    <r>
      <rPr>
        <sz val="10"/>
        <rFont val="Symbol"/>
        <family val="1"/>
        <charset val="2"/>
      </rPr>
      <t>q</t>
    </r>
    <r>
      <rPr>
        <sz val="10"/>
        <rFont val="Arial"/>
      </rPr>
      <t xml:space="preserve"> &lt;= 3 degrees, use Fig. 30.4-2A for 'GCp' values with 'qh'.</t>
    </r>
  </si>
  <si>
    <t xml:space="preserve">            6. For all buildings with overhangs, use Fig. 30.4-2B for 'GCp' values per Sect. 30.10.</t>
  </si>
  <si>
    <r>
      <t xml:space="preserve">            5. For buildings with h &gt; 60' and </t>
    </r>
    <r>
      <rPr>
        <sz val="10"/>
        <rFont val="Symbol"/>
        <family val="1"/>
        <charset val="2"/>
      </rPr>
      <t>q</t>
    </r>
    <r>
      <rPr>
        <sz val="10"/>
        <rFont val="Arial"/>
      </rPr>
      <t xml:space="preserve"> &gt; 10 degrees, use Fig. 30.6-1 for 'GCpi' values with 'qh'.</t>
    </r>
  </si>
  <si>
    <t>Velocity Pressure: qz = 0.00256*Kz*Kzt*Kd*V^2  (Sect. 28.3.2, Eq. 28.3-1)</t>
  </si>
  <si>
    <t>Per ASCE 7-10 Code</t>
  </si>
  <si>
    <t>1.  Worksheet for "MWFRS (Low-Rise)" is applicable for low-rise buildings as defined in Section 26.2.</t>
  </si>
  <si>
    <t xml:space="preserve">2.  Worksheets for "MWFRS (Any Ht.)", "Wall C&amp;C", and "Roof C&amp;C" are applicable for buildings with mean roof </t>
  </si>
  <si>
    <t xml:space="preserve">3.  In worksheets for "MWFRS (Any Ht.)", "Wall C&amp;C", and "Roof C&amp;C" the user may opt to utilize user designated </t>
  </si>
  <si>
    <t xml:space="preserve">4.  Worksheets for "MWFRS (Any Ht.)", and "Open Structures" can handle “rigid” as well as </t>
  </si>
  <si>
    <t xml:space="preserve">5.  Worksheets for "Wall C&amp;C" and "Roof C&amp;C" are applicable for flat roof buildings, gable roof buildings with </t>
  </si>
  <si>
    <t xml:space="preserve">6.  Worksheet for "Open Structures" is applicable for open structures without roofs up to 500 feet </t>
  </si>
  <si>
    <t xml:space="preserve">7.  This program uses the equations listed in the reference, “Guide to the Use of the Wind Load Provisions of </t>
  </si>
  <si>
    <t>8. This program contains numerous “comment boxes” which contain a wide variety of information including</t>
  </si>
  <si>
    <t>mph  (Wind Map, Figure 26.5-1A-C)</t>
  </si>
  <si>
    <t>Design Net External Wind Pressures (Sect. 28.4.1):</t>
  </si>
  <si>
    <t>Using Method 2: Analytical Procedure (Section 27) for Buildings of Any Height</t>
  </si>
  <si>
    <t>(Table 1.4-1 Risk Cat.)</t>
  </si>
  <si>
    <t>(Table 26.6-1)</t>
  </si>
  <si>
    <t>(Sect. 26.8 &amp; Table 26.8-1)</t>
  </si>
  <si>
    <t>(Sect. 26.9)</t>
  </si>
  <si>
    <t xml:space="preserve">    Parameters Used in Both Item #2 and Item #3 Calculations (from Table 26.9-1):</t>
  </si>
  <si>
    <t>= 0.6*h ,  but not &lt; z(min) ,  ft. Table 26.9-1</t>
  </si>
  <si>
    <t>= c*(33/z(bar))^(1/6) ,  Eq. 26.9-7</t>
  </si>
  <si>
    <r>
      <t xml:space="preserve">= </t>
    </r>
    <r>
      <rPr>
        <sz val="10"/>
        <color indexed="8"/>
        <rFont val="Italic"/>
      </rPr>
      <t>l</t>
    </r>
    <r>
      <rPr>
        <sz val="10"/>
        <color indexed="8"/>
        <rFont val="Arial"/>
        <family val="2"/>
      </rPr>
      <t>*(z(bar)/33)^(</t>
    </r>
    <r>
      <rPr>
        <sz val="10"/>
        <color indexed="8"/>
        <rFont val="Symbol"/>
        <family val="1"/>
        <charset val="2"/>
      </rPr>
      <t>e</t>
    </r>
    <r>
      <rPr>
        <sz val="10"/>
        <color indexed="8"/>
        <rFont val="Arial"/>
        <family val="2"/>
      </rPr>
      <t>(bar))</t>
    </r>
    <r>
      <rPr>
        <sz val="10"/>
        <color indexed="8"/>
        <rFont val="Symbol"/>
        <family val="1"/>
        <charset val="2"/>
      </rPr>
      <t xml:space="preserve"> ,  </t>
    </r>
    <r>
      <rPr>
        <sz val="10"/>
        <color indexed="8"/>
        <rFont val="Arial"/>
        <family val="2"/>
      </rPr>
      <t>Eq. 26.9-9</t>
    </r>
  </si>
  <si>
    <t>(3.4, per Sect. 26.9.4)</t>
  </si>
  <si>
    <t>= (2*(LN(3600*f)))^(1/2)+0.577/(2*LN(3600*f))^(1/2) , Eq. 26.9-11</t>
  </si>
  <si>
    <t>= (1/(1+0.63*((B+h)/Lz(bar))^0.63))^(1/2) ,  Eq. 26.9-8</t>
  </si>
  <si>
    <t>= 0.925*((1+1.7*gq*Iz(bar)*Q)/(1+1.7*gv*Iz(bar))) ,  Eq. 26.9-6</t>
  </si>
  <si>
    <r>
      <t>= b(bar)*(z(bar)/33)^(</t>
    </r>
    <r>
      <rPr>
        <sz val="10"/>
        <color indexed="8"/>
        <rFont val="Symbol"/>
        <family val="1"/>
        <charset val="2"/>
      </rPr>
      <t>a</t>
    </r>
    <r>
      <rPr>
        <sz val="10"/>
        <color indexed="8"/>
        <rFont val="Arial"/>
        <family val="2"/>
      </rPr>
      <t>(bar))*V*(88/60) ,  ft./sec. , Eq. 26.9-16</t>
    </r>
  </si>
  <si>
    <t>= f*Lz(bar)/(V(bar,zbar)) , Eq. 26.9-14</t>
  </si>
  <si>
    <t>= 7.47*N1/(1+10.3*N1)^(5/3) , Eq. 26.9-13</t>
  </si>
  <si>
    <r>
      <t>= ((1/</t>
    </r>
    <r>
      <rPr>
        <sz val="10"/>
        <color indexed="8"/>
        <rFont val="Symbol"/>
        <family val="1"/>
        <charset val="2"/>
      </rPr>
      <t>b</t>
    </r>
    <r>
      <rPr>
        <sz val="10"/>
        <color indexed="8"/>
        <rFont val="Arial"/>
        <family val="2"/>
      </rPr>
      <t>)*Rn*Rh*RB*(0.53+0.47*RL))^(1/2) , Eq. 26.9-12</t>
    </r>
  </si>
  <si>
    <t>Eq. 26.9-10</t>
  </si>
  <si>
    <t>(Fig. 27.4-1)</t>
  </si>
  <si>
    <t>(Fig. 27-4.1)</t>
  </si>
  <si>
    <t>(Table 26.11-1)</t>
  </si>
  <si>
    <t>(Table 27.3-1)</t>
  </si>
  <si>
    <r>
      <t>If  z &lt;= 15  then:  Kz = 2.01*(15/zg)^(2/</t>
    </r>
    <r>
      <rPr>
        <sz val="10"/>
        <rFont val="Symbol"/>
        <family val="1"/>
        <charset val="2"/>
      </rPr>
      <t>a</t>
    </r>
    <r>
      <rPr>
        <sz val="10"/>
        <rFont val="Arial"/>
      </rPr>
      <t>) ,  If  z &gt; 15 then:  Kz = 2.01*(z/zg)^(2/</t>
    </r>
    <r>
      <rPr>
        <sz val="10"/>
        <rFont val="Symbol"/>
        <family val="1"/>
        <charset val="2"/>
      </rPr>
      <t>a</t>
    </r>
    <r>
      <rPr>
        <sz val="10"/>
        <rFont val="Arial"/>
      </rPr>
      <t>)  (Table 27.3-1)</t>
    </r>
  </si>
  <si>
    <t>Velocity Pressure: qz = 0.00256*Kz*Kzt*Kd*V^2*I  (Eq. 27.3-1)</t>
  </si>
  <si>
    <t>Design Net External Wind Pressures (Sect. 27.4):</t>
  </si>
  <si>
    <t>p = qz*G*Cp - qi*(+/-GCpi)  for windward wall  (psf),  where: qi =qh (Eq. 27.4-1)</t>
  </si>
  <si>
    <t>p = qh*G*Cp - qi*(+/-GCpi)  for leeward wall, sidewalls, and roof  (psf),  where: qi = qh (Eq. 27.4-1)</t>
  </si>
  <si>
    <t>Roof Pressure Coefficients, Cp (Fig. 27.4-1):</t>
  </si>
  <si>
    <r>
      <t xml:space="preserve">Roof Angle, </t>
    </r>
    <r>
      <rPr>
        <sz val="10"/>
        <color indexed="30"/>
        <rFont val="Symbol"/>
        <family val="1"/>
        <charset val="2"/>
      </rPr>
      <t>q</t>
    </r>
    <r>
      <rPr>
        <sz val="10"/>
        <color indexed="30"/>
        <rFont val="Arial"/>
        <family val="2"/>
      </rPr>
      <t xml:space="preserve"> =</t>
    </r>
  </si>
  <si>
    <r>
      <t xml:space="preserve">For 10 &lt;= </t>
    </r>
    <r>
      <rPr>
        <sz val="10"/>
        <color indexed="30"/>
        <rFont val="Symbol"/>
        <family val="1"/>
        <charset val="2"/>
      </rPr>
      <t>q</t>
    </r>
    <r>
      <rPr>
        <sz val="10"/>
        <color indexed="30"/>
        <rFont val="Arial"/>
        <family val="2"/>
      </rPr>
      <t xml:space="preserve"> &lt;= 45:</t>
    </r>
  </si>
  <si>
    <r>
      <t xml:space="preserve">For </t>
    </r>
    <r>
      <rPr>
        <sz val="10"/>
        <color indexed="30"/>
        <rFont val="Symbol"/>
        <family val="1"/>
        <charset val="2"/>
      </rPr>
      <t>q</t>
    </r>
    <r>
      <rPr>
        <sz val="10"/>
        <color indexed="30"/>
        <rFont val="Arial"/>
        <family val="2"/>
      </rPr>
      <t xml:space="preserve"> &lt; 10 for Wind Normal to Ridge:</t>
    </r>
  </si>
  <si>
    <r>
      <t xml:space="preserve">For All </t>
    </r>
    <r>
      <rPr>
        <sz val="10"/>
        <color indexed="30"/>
        <rFont val="Symbol"/>
        <family val="1"/>
        <charset val="2"/>
      </rPr>
      <t>q</t>
    </r>
    <r>
      <rPr>
        <sz val="10"/>
        <color indexed="30"/>
        <rFont val="Arial"/>
        <family val="2"/>
      </rPr>
      <t xml:space="preserve"> for Wind Parallel to Ridge:</t>
    </r>
  </si>
  <si>
    <r>
      <t xml:space="preserve">Determine </t>
    </r>
    <r>
      <rPr>
        <sz val="10"/>
        <color indexed="30"/>
        <rFont val="Symbol"/>
        <family val="1"/>
        <charset val="2"/>
      </rPr>
      <t>a</t>
    </r>
    <r>
      <rPr>
        <sz val="10"/>
        <color indexed="30"/>
        <rFont val="Arial"/>
        <family val="2"/>
      </rPr>
      <t>, zg, Kh, I, and qh:</t>
    </r>
  </si>
  <si>
    <r>
      <t>a</t>
    </r>
    <r>
      <rPr>
        <sz val="10"/>
        <color indexed="30"/>
        <rFont val="Arial"/>
        <family val="2"/>
      </rPr>
      <t xml:space="preserve"> =</t>
    </r>
  </si>
  <si>
    <t xml:space="preserve">                accordance with the provisions of Section 27.4.1 and 27.4.2 as applicable for buildings</t>
  </si>
  <si>
    <r>
      <t>= (1/</t>
    </r>
    <r>
      <rPr>
        <sz val="9"/>
        <color indexed="8"/>
        <rFont val="Symbol"/>
        <family val="1"/>
        <charset val="2"/>
      </rPr>
      <t>h</t>
    </r>
    <r>
      <rPr>
        <sz val="9"/>
        <color indexed="8"/>
        <rFont val="Arial"/>
        <family val="2"/>
      </rPr>
      <t>h)-1/(2*</t>
    </r>
    <r>
      <rPr>
        <sz val="9"/>
        <color indexed="8"/>
        <rFont val="Symbol"/>
        <family val="1"/>
        <charset val="2"/>
      </rPr>
      <t>h</t>
    </r>
    <r>
      <rPr>
        <sz val="9"/>
        <color indexed="8"/>
        <rFont val="Arial"/>
        <family val="2"/>
      </rPr>
      <t>h^2)*(1-e^(-2*</t>
    </r>
    <r>
      <rPr>
        <sz val="9"/>
        <color indexed="8"/>
        <rFont val="Symbol"/>
        <family val="1"/>
        <charset val="2"/>
      </rPr>
      <t>h</t>
    </r>
    <r>
      <rPr>
        <sz val="9"/>
        <color indexed="8"/>
        <rFont val="Arial"/>
        <family val="2"/>
      </rPr>
      <t xml:space="preserve">h))  for </t>
    </r>
    <r>
      <rPr>
        <sz val="9"/>
        <color indexed="8"/>
        <rFont val="Symbol"/>
        <family val="1"/>
        <charset val="2"/>
      </rPr>
      <t>h</t>
    </r>
    <r>
      <rPr>
        <sz val="9"/>
        <color indexed="8"/>
        <rFont val="Arial"/>
        <family val="2"/>
      </rPr>
      <t xml:space="preserve">h&gt;0,  or  = 1  for </t>
    </r>
    <r>
      <rPr>
        <sz val="9"/>
        <color indexed="8"/>
        <rFont val="Symbol"/>
        <family val="1"/>
        <charset val="2"/>
      </rPr>
      <t>h</t>
    </r>
    <r>
      <rPr>
        <sz val="9"/>
        <color indexed="8"/>
        <rFont val="Arial"/>
        <family val="2"/>
      </rPr>
      <t>h=0 ,Eq. 26.9-15a, b</t>
    </r>
  </si>
  <si>
    <r>
      <t>= (1/</t>
    </r>
    <r>
      <rPr>
        <sz val="9"/>
        <color indexed="8"/>
        <rFont val="Symbol"/>
        <family val="1"/>
        <charset val="2"/>
      </rPr>
      <t>h</t>
    </r>
    <r>
      <rPr>
        <sz val="9"/>
        <color indexed="8"/>
        <rFont val="Arial"/>
        <family val="2"/>
      </rPr>
      <t>b)-1/(2*</t>
    </r>
    <r>
      <rPr>
        <sz val="9"/>
        <color indexed="8"/>
        <rFont val="Symbol"/>
        <family val="1"/>
        <charset val="2"/>
      </rPr>
      <t>h</t>
    </r>
    <r>
      <rPr>
        <sz val="9"/>
        <color indexed="8"/>
        <rFont val="Arial"/>
        <family val="2"/>
      </rPr>
      <t>b^2)*(1-e^(-2*</t>
    </r>
    <r>
      <rPr>
        <sz val="9"/>
        <color indexed="8"/>
        <rFont val="Symbol"/>
        <family val="1"/>
        <charset val="2"/>
      </rPr>
      <t>h</t>
    </r>
    <r>
      <rPr>
        <sz val="9"/>
        <color indexed="8"/>
        <rFont val="Arial"/>
        <family val="2"/>
      </rPr>
      <t xml:space="preserve">b))  for </t>
    </r>
    <r>
      <rPr>
        <sz val="9"/>
        <color indexed="8"/>
        <rFont val="Symbol"/>
        <family val="1"/>
        <charset val="2"/>
      </rPr>
      <t>h</t>
    </r>
    <r>
      <rPr>
        <sz val="9"/>
        <color indexed="8"/>
        <rFont val="Arial"/>
        <family val="2"/>
      </rPr>
      <t xml:space="preserve">b&gt;0,  or  = 1 for </t>
    </r>
    <r>
      <rPr>
        <sz val="9"/>
        <color indexed="8"/>
        <rFont val="Symbol"/>
        <family val="1"/>
        <charset val="2"/>
      </rPr>
      <t>h</t>
    </r>
    <r>
      <rPr>
        <sz val="9"/>
        <color indexed="8"/>
        <rFont val="Arial"/>
        <family val="2"/>
      </rPr>
      <t>b=0,Eq. 26.9-15a, b</t>
    </r>
  </si>
  <si>
    <r>
      <t>= (1/</t>
    </r>
    <r>
      <rPr>
        <sz val="9"/>
        <color indexed="8"/>
        <rFont val="Symbol"/>
        <family val="1"/>
        <charset val="2"/>
      </rPr>
      <t>h</t>
    </r>
    <r>
      <rPr>
        <sz val="9"/>
        <color indexed="8"/>
        <rFont val="Arial"/>
        <family val="2"/>
      </rPr>
      <t>d)-1/(2*</t>
    </r>
    <r>
      <rPr>
        <sz val="9"/>
        <color indexed="8"/>
        <rFont val="Symbol"/>
        <family val="1"/>
        <charset val="2"/>
      </rPr>
      <t>h</t>
    </r>
    <r>
      <rPr>
        <sz val="9"/>
        <color indexed="8"/>
        <rFont val="Arial"/>
        <family val="2"/>
      </rPr>
      <t>d^2)*(1-e^(-2*</t>
    </r>
    <r>
      <rPr>
        <sz val="9"/>
        <color indexed="8"/>
        <rFont val="Symbol"/>
        <family val="1"/>
        <charset val="2"/>
      </rPr>
      <t>h</t>
    </r>
    <r>
      <rPr>
        <sz val="9"/>
        <color indexed="8"/>
        <rFont val="Arial"/>
        <family val="2"/>
      </rPr>
      <t xml:space="preserve">d))  for </t>
    </r>
    <r>
      <rPr>
        <sz val="9"/>
        <color indexed="8"/>
        <rFont val="Symbol"/>
        <family val="1"/>
        <charset val="2"/>
      </rPr>
      <t>h</t>
    </r>
    <r>
      <rPr>
        <sz val="9"/>
        <color indexed="8"/>
        <rFont val="Arial"/>
        <family val="2"/>
      </rPr>
      <t xml:space="preserve">d&gt;0,  or  = 1  for </t>
    </r>
    <r>
      <rPr>
        <sz val="9"/>
        <color indexed="8"/>
        <rFont val="Symbol"/>
        <family val="1"/>
        <charset val="2"/>
      </rPr>
      <t>h</t>
    </r>
    <r>
      <rPr>
        <sz val="9"/>
        <color indexed="8"/>
        <rFont val="Arial"/>
        <family val="2"/>
      </rPr>
      <t>d=0 ,Eq. 26.9-15a, b</t>
    </r>
  </si>
  <si>
    <t>FIGURE 26.5-1A:  Basic Wind Speed for Occupancy Category II Buildings and Other Structures</t>
  </si>
  <si>
    <t>1. Values are nominal design 3-second gust wind speeds in miles per hour (m/s) at 33 ft above ground for Exposure C category.</t>
  </si>
  <si>
    <t>2. Linear interpolation between contours is allowed.</t>
  </si>
  <si>
    <t>3. Islands and coastal areas outside the last contour shall use the last wind speed contour of the coastal area.</t>
  </si>
  <si>
    <t>4. Mountainous terrain, gorges, ocean promontories, and special wind regions shall be examined for unusual wind conditions.</t>
  </si>
  <si>
    <t>5. Wind speeds correspond to approximately a 7% probability of exceedence in 50 years (Annual Exceedance Probability =</t>
  </si>
  <si>
    <t>0.00143, MRI = 700 years).</t>
  </si>
  <si>
    <t xml:space="preserve">    Special Wind Region</t>
  </si>
  <si>
    <t>Location</t>
  </si>
  <si>
    <t>V (mph)</t>
  </si>
  <si>
    <t>(m/s)</t>
  </si>
  <si>
    <t>Guam</t>
  </si>
  <si>
    <t>(87)</t>
  </si>
  <si>
    <t>Virgin Islands</t>
  </si>
  <si>
    <t>(74)</t>
  </si>
  <si>
    <t>American Samos</t>
  </si>
  <si>
    <t>(72)</t>
  </si>
  <si>
    <t xml:space="preserve">Hawaii   -     </t>
  </si>
  <si>
    <t>Special Wind Region Statewide</t>
  </si>
  <si>
    <t>(58)</t>
  </si>
  <si>
    <t>FIGURE 26.5-1B:  Basic Wind Speed for Occupancy Category III &amp; IV Buildings and Other Structures</t>
  </si>
  <si>
    <t>5. Wind speeds correspond to approximately a 3% probability of exceedence in 50 years (Annual Exceedance Probability =</t>
  </si>
  <si>
    <t>0.00058, MRI = 1700 years).</t>
  </si>
  <si>
    <t>(94)</t>
  </si>
  <si>
    <t>(78)</t>
  </si>
  <si>
    <t>(76)</t>
  </si>
  <si>
    <t>(65)</t>
  </si>
  <si>
    <t>FIGURE 26.5-1C:  Basic Wind Speed for Occupancy Category I Buildings and Other Structures</t>
  </si>
  <si>
    <t>5. Wind speeds correspond to approximately a 15% probability of exceedence in 50 years (Annual Exceedance Probability =</t>
  </si>
  <si>
    <t>0.00333, MRI =300 years).</t>
  </si>
  <si>
    <t>(80)</t>
  </si>
  <si>
    <t>(67)</t>
  </si>
  <si>
    <t>(51)</t>
  </si>
  <si>
    <t>(Sect. 26.8 &amp; Fig. 26.8-1)</t>
  </si>
  <si>
    <t>qz = 0.00256*Kz*Kzt*Kd*V^2</t>
  </si>
  <si>
    <t>Velocity Pressure (Sect. 30.3.2, Eq. 30.3-1)</t>
  </si>
  <si>
    <t>Revisions</t>
  </si>
  <si>
    <t>(3.4, per Sect. 26.9.3)</t>
  </si>
  <si>
    <r>
      <t>= (1/</t>
    </r>
    <r>
      <rPr>
        <sz val="10"/>
        <color indexed="8"/>
        <rFont val="Symbol"/>
        <family val="1"/>
        <charset val="2"/>
      </rPr>
      <t>h</t>
    </r>
    <r>
      <rPr>
        <sz val="10"/>
        <color indexed="8"/>
        <rFont val="Arial"/>
        <family val="2"/>
      </rPr>
      <t>h)-1/(2*</t>
    </r>
    <r>
      <rPr>
        <sz val="10"/>
        <color indexed="8"/>
        <rFont val="Symbol"/>
        <family val="1"/>
        <charset val="2"/>
      </rPr>
      <t>h</t>
    </r>
    <r>
      <rPr>
        <sz val="10"/>
        <color indexed="8"/>
        <rFont val="Arial"/>
        <family val="2"/>
      </rPr>
      <t>h^2)*(1-e^(-2*</t>
    </r>
    <r>
      <rPr>
        <sz val="10"/>
        <color indexed="8"/>
        <rFont val="Symbol"/>
        <family val="1"/>
        <charset val="2"/>
      </rPr>
      <t>h</t>
    </r>
    <r>
      <rPr>
        <sz val="10"/>
        <color indexed="8"/>
        <rFont val="Arial"/>
        <family val="2"/>
      </rPr>
      <t xml:space="preserve">h))  for </t>
    </r>
    <r>
      <rPr>
        <sz val="10"/>
        <color indexed="8"/>
        <rFont val="Symbol"/>
        <family val="1"/>
        <charset val="2"/>
      </rPr>
      <t>h</t>
    </r>
    <r>
      <rPr>
        <sz val="10"/>
        <color indexed="8"/>
        <rFont val="Arial"/>
        <family val="2"/>
      </rPr>
      <t xml:space="preserve">h &gt; 0,  or  = 1  for </t>
    </r>
    <r>
      <rPr>
        <sz val="10"/>
        <color indexed="8"/>
        <rFont val="Symbol"/>
        <family val="1"/>
        <charset val="2"/>
      </rPr>
      <t>h</t>
    </r>
    <r>
      <rPr>
        <sz val="10"/>
        <color indexed="8"/>
        <rFont val="Arial"/>
        <family val="2"/>
      </rPr>
      <t>h = 0 , Eq. 26.9-15a,b</t>
    </r>
  </si>
  <si>
    <r>
      <t>= (1/</t>
    </r>
    <r>
      <rPr>
        <sz val="10"/>
        <color indexed="8"/>
        <rFont val="Symbol"/>
        <family val="1"/>
        <charset val="2"/>
      </rPr>
      <t>h</t>
    </r>
    <r>
      <rPr>
        <sz val="10"/>
        <color indexed="8"/>
        <rFont val="Arial"/>
        <family val="2"/>
      </rPr>
      <t>b)-1/(2*</t>
    </r>
    <r>
      <rPr>
        <sz val="10"/>
        <color indexed="8"/>
        <rFont val="Symbol"/>
        <family val="1"/>
        <charset val="2"/>
      </rPr>
      <t>h</t>
    </r>
    <r>
      <rPr>
        <sz val="10"/>
        <color indexed="8"/>
        <rFont val="Arial"/>
        <family val="2"/>
      </rPr>
      <t>b^2)*(1-e^(-2*</t>
    </r>
    <r>
      <rPr>
        <sz val="10"/>
        <color indexed="8"/>
        <rFont val="Symbol"/>
        <family val="1"/>
        <charset val="2"/>
      </rPr>
      <t>h</t>
    </r>
    <r>
      <rPr>
        <sz val="10"/>
        <color indexed="8"/>
        <rFont val="Arial"/>
        <family val="2"/>
      </rPr>
      <t xml:space="preserve">b))  for </t>
    </r>
    <r>
      <rPr>
        <sz val="10"/>
        <color indexed="8"/>
        <rFont val="Symbol"/>
        <family val="1"/>
        <charset val="2"/>
      </rPr>
      <t>h</t>
    </r>
    <r>
      <rPr>
        <sz val="10"/>
        <color indexed="8"/>
        <rFont val="Arial"/>
        <family val="2"/>
      </rPr>
      <t xml:space="preserve">b &gt; 0,  or  = 1  for </t>
    </r>
    <r>
      <rPr>
        <sz val="10"/>
        <color indexed="8"/>
        <rFont val="Symbol"/>
        <family val="1"/>
        <charset val="2"/>
      </rPr>
      <t>h</t>
    </r>
    <r>
      <rPr>
        <sz val="10"/>
        <color indexed="8"/>
        <rFont val="Arial"/>
        <family val="2"/>
      </rPr>
      <t>b = 0 , Eq. 26.9-15a,b</t>
    </r>
  </si>
  <si>
    <r>
      <t>= (1/</t>
    </r>
    <r>
      <rPr>
        <sz val="10"/>
        <color indexed="8"/>
        <rFont val="Symbol"/>
        <family val="1"/>
        <charset val="2"/>
      </rPr>
      <t>h</t>
    </r>
    <r>
      <rPr>
        <sz val="10"/>
        <color indexed="8"/>
        <rFont val="Arial"/>
        <family val="2"/>
      </rPr>
      <t>d)-1/(2*</t>
    </r>
    <r>
      <rPr>
        <sz val="10"/>
        <color indexed="8"/>
        <rFont val="Symbol"/>
        <family val="1"/>
        <charset val="2"/>
      </rPr>
      <t>h</t>
    </r>
    <r>
      <rPr>
        <sz val="10"/>
        <color indexed="8"/>
        <rFont val="Arial"/>
        <family val="2"/>
      </rPr>
      <t>d^2)*(1-e^(-2*</t>
    </r>
    <r>
      <rPr>
        <sz val="10"/>
        <color indexed="8"/>
        <rFont val="Symbol"/>
        <family val="1"/>
        <charset val="2"/>
      </rPr>
      <t>h</t>
    </r>
    <r>
      <rPr>
        <sz val="10"/>
        <color indexed="8"/>
        <rFont val="Arial"/>
        <family val="2"/>
      </rPr>
      <t xml:space="preserve">d))  for </t>
    </r>
    <r>
      <rPr>
        <sz val="10"/>
        <color indexed="8"/>
        <rFont val="Symbol"/>
        <family val="1"/>
        <charset val="2"/>
      </rPr>
      <t>h</t>
    </r>
    <r>
      <rPr>
        <sz val="10"/>
        <color indexed="8"/>
        <rFont val="Arial"/>
        <family val="2"/>
      </rPr>
      <t xml:space="preserve">d &gt; 0,  or  = 1  for </t>
    </r>
    <r>
      <rPr>
        <sz val="10"/>
        <color indexed="8"/>
        <rFont val="Symbol"/>
        <family val="1"/>
        <charset val="2"/>
      </rPr>
      <t>h</t>
    </r>
    <r>
      <rPr>
        <sz val="10"/>
        <color indexed="8"/>
        <rFont val="Arial"/>
        <family val="2"/>
      </rPr>
      <t>d = 0 , Eq. 26.9-15a,b</t>
    </r>
  </si>
  <si>
    <t>= 0.925*(1+1.7*Iz(bar)*(gq^2*Q^2+gr^2*R^2)^(1/2))/(1+1.7*gv*Iz(bar)) ,  Eq. 26.9-10</t>
  </si>
  <si>
    <r>
      <t>Note:</t>
    </r>
    <r>
      <rPr>
        <sz val="8"/>
        <color indexed="12"/>
        <rFont val="Arial"/>
        <family val="2"/>
      </rPr>
      <t xml:space="preserve"> Per Code Section 27.4.7, design wind force for open </t>
    </r>
  </si>
  <si>
    <t xml:space="preserve">buildings and other structures shall not be less than 16 psf </t>
  </si>
  <si>
    <t>Net Design Wind Pressures (Sect. 29.5):</t>
  </si>
  <si>
    <t>Figure 29.5-2</t>
  </si>
  <si>
    <t>Other Structures - Chapter 28</t>
  </si>
  <si>
    <t>Figure 29.5-3</t>
  </si>
  <si>
    <t xml:space="preserve">1. For all wind directions considered, the area 'Af' consistent with the specified force coefficients </t>
  </si>
  <si>
    <t xml:space="preserve">    shall be solid area of tower face projected on plane of that face for tower segment under </t>
  </si>
  <si>
    <t xml:space="preserve">    consideration.</t>
  </si>
  <si>
    <r>
      <t xml:space="preserve">7. Notation:  </t>
    </r>
    <r>
      <rPr>
        <sz val="10"/>
        <rFont val="Symbol"/>
        <family val="1"/>
        <charset val="2"/>
      </rPr>
      <t>e</t>
    </r>
    <r>
      <rPr>
        <sz val="10"/>
        <rFont val="Arial"/>
      </rPr>
      <t xml:space="preserve"> = ratio of solid area to gross area of one tower face for segment considered.</t>
    </r>
  </si>
  <si>
    <t>6. Loads due to ice accretion as described in Chapter 10 shall be accounted for.</t>
  </si>
  <si>
    <t>This program is a workbook consisting of seven (7) worksheets, described as follows:</t>
  </si>
  <si>
    <t>Wall Pressure Coefficients, Cp (Fig. 27.4-1):</t>
  </si>
  <si>
    <r>
      <t xml:space="preserve">            2. </t>
    </r>
    <r>
      <rPr>
        <sz val="10"/>
        <color indexed="10"/>
        <rFont val="Arial"/>
        <family val="2"/>
      </rPr>
      <t>Per Code Section 27.4.7, the minimum wind load for MWFRS shall not be less than 16 psf.</t>
    </r>
  </si>
  <si>
    <t xml:space="preserve"> Figure 27.4-1 - Design Wind Load Cases of MWFRS for Buildings of All Heights</t>
  </si>
  <si>
    <t>Version 2.4 Updated 10/20/15</t>
  </si>
  <si>
    <t xml:space="preserve">Version 2.4 (10/20/2015) - On MWFRS (Any Ht.), cell A96 was corrected to 27.4.7 instead of 27.1.5 and </t>
  </si>
  <si>
    <t>cell A159 was corrected to Figure 27.4-1 instead of Figure 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</si>
</sst>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
    <numFmt numFmtId="167" formatCode="m/d/yy\ h:mm\ AM/PM"/>
    <numFmt numFmtId="168" formatCode="&quot;$&quot;#,##0\ ;\(&quot;$&quot;#,##0\)"/>
  </numFmts>
  <fonts count="78">
    <font>
      <sz val="10"/>
      <name val="Arial"/>
    </font>
    <font>
      <b/>
      <sz val="10"/>
      <name val="Arial"/>
    </font>
    <font>
      <sz val="10"/>
      <name val="Arial"/>
      <family val="2"/>
    </font>
    <font>
      <b/>
      <u/>
      <sz val="10"/>
      <name val="Arial"/>
      <family val="2"/>
    </font>
    <font>
      <sz val="10"/>
      <color indexed="12"/>
      <name val="Arial"/>
      <family val="2"/>
    </font>
    <font>
      <sz val="10"/>
      <name val="Arial"/>
      <family val="2"/>
    </font>
    <font>
      <sz val="10"/>
      <color indexed="8"/>
      <name val="Arial"/>
      <family val="2"/>
    </font>
    <font>
      <b/>
      <sz val="10"/>
      <color indexed="10"/>
      <name val="Arial"/>
      <family val="2"/>
    </font>
    <font>
      <sz val="10"/>
      <color indexed="10"/>
      <name val="Arial"/>
      <family val="2"/>
    </font>
    <font>
      <sz val="10"/>
      <name val="GreekC"/>
    </font>
    <font>
      <sz val="10"/>
      <color indexed="8"/>
      <name val="GreekC"/>
    </font>
    <font>
      <sz val="10"/>
      <name val="Italic"/>
    </font>
    <font>
      <sz val="10"/>
      <name val="GreekS"/>
    </font>
    <font>
      <b/>
      <sz val="12"/>
      <name val="Arial"/>
      <family val="2"/>
    </font>
    <font>
      <b/>
      <sz val="10"/>
      <color indexed="8"/>
      <name val="Arial"/>
      <family val="2"/>
    </font>
    <font>
      <b/>
      <vertAlign val="superscript"/>
      <sz val="10"/>
      <color indexed="10"/>
      <name val="Arial"/>
      <family val="2"/>
    </font>
    <font>
      <sz val="8"/>
      <color indexed="81"/>
      <name val="Tahoma"/>
      <family val="2"/>
    </font>
    <font>
      <u/>
      <sz val="8"/>
      <color indexed="81"/>
      <name val="Tahoma"/>
      <family val="2"/>
    </font>
    <font>
      <b/>
      <u/>
      <sz val="8"/>
      <color indexed="81"/>
      <name val="Tahoma"/>
      <family val="2"/>
    </font>
    <font>
      <b/>
      <sz val="8"/>
      <color indexed="81"/>
      <name val="Tahoma"/>
      <family val="2"/>
    </font>
    <font>
      <u/>
      <sz val="10"/>
      <name val="Arial"/>
      <family val="2"/>
    </font>
    <font>
      <b/>
      <sz val="10"/>
      <name val="Arial"/>
      <family val="2"/>
    </font>
    <font>
      <b/>
      <vertAlign val="superscript"/>
      <sz val="10"/>
      <name val="Arial"/>
      <family val="2"/>
    </font>
    <font>
      <b/>
      <u/>
      <sz val="12"/>
      <name val="Arial"/>
      <family val="2"/>
    </font>
    <font>
      <sz val="8"/>
      <color indexed="81"/>
      <name val="Italic"/>
    </font>
    <font>
      <sz val="8"/>
      <color indexed="81"/>
      <name val="GreekS"/>
    </font>
    <font>
      <sz val="10"/>
      <name val="Symbol"/>
      <family val="1"/>
      <charset val="2"/>
    </font>
    <font>
      <sz val="10"/>
      <color indexed="8"/>
      <name val="Symbol"/>
      <family val="1"/>
      <charset val="2"/>
    </font>
    <font>
      <b/>
      <sz val="10"/>
      <color indexed="10"/>
      <name val="Symbol"/>
      <family val="1"/>
      <charset val="2"/>
    </font>
    <font>
      <sz val="10"/>
      <color indexed="12"/>
      <name val="Symbol"/>
      <family val="1"/>
      <charset val="2"/>
    </font>
    <font>
      <b/>
      <sz val="10"/>
      <color indexed="12"/>
      <name val="Arial"/>
      <family val="2"/>
    </font>
    <font>
      <sz val="10"/>
      <color indexed="12"/>
      <name val="Arial"/>
      <family val="2"/>
    </font>
    <font>
      <u/>
      <sz val="10"/>
      <color indexed="12"/>
      <name val="Arial"/>
      <family val="2"/>
    </font>
    <font>
      <b/>
      <sz val="8"/>
      <color indexed="81"/>
      <name val="Symbol"/>
      <family val="1"/>
      <charset val="2"/>
    </font>
    <font>
      <sz val="8"/>
      <color indexed="81"/>
      <name val="Symbol"/>
      <family val="1"/>
      <charset val="2"/>
    </font>
    <font>
      <u/>
      <sz val="8"/>
      <color indexed="81"/>
      <name val="Symbol"/>
      <family val="1"/>
      <charset val="2"/>
    </font>
    <font>
      <u/>
      <sz val="8"/>
      <color indexed="81"/>
      <name val="Italic"/>
    </font>
    <font>
      <sz val="9"/>
      <name val="Arial"/>
      <family val="2"/>
    </font>
    <font>
      <b/>
      <sz val="9"/>
      <name val="Arial"/>
      <family val="2"/>
    </font>
    <font>
      <sz val="8"/>
      <color indexed="12"/>
      <name val="Arial"/>
      <family val="2"/>
    </font>
    <font>
      <sz val="10"/>
      <color indexed="8"/>
      <name val="Arial"/>
      <family val="2"/>
    </font>
    <font>
      <b/>
      <u/>
      <sz val="8"/>
      <color indexed="81"/>
      <name val="Symbol"/>
      <family val="1"/>
      <charset val="2"/>
    </font>
    <font>
      <sz val="8"/>
      <name val="Arial"/>
      <family val="2"/>
    </font>
    <font>
      <sz val="10"/>
      <color indexed="12"/>
      <name val="Tahoma"/>
      <family val="2"/>
    </font>
    <font>
      <sz val="8"/>
      <name val="Arial"/>
      <family val="2"/>
    </font>
    <font>
      <sz val="8"/>
      <color indexed="12"/>
      <name val="Arial"/>
      <family val="2"/>
    </font>
    <font>
      <sz val="9"/>
      <color indexed="12"/>
      <name val="Arial"/>
      <family val="2"/>
    </font>
    <font>
      <sz val="9"/>
      <color indexed="12"/>
      <name val="Arial"/>
      <family val="2"/>
    </font>
    <font>
      <sz val="10"/>
      <name val="Tahoma"/>
      <family val="2"/>
    </font>
    <font>
      <b/>
      <u/>
      <sz val="10"/>
      <color indexed="8"/>
      <name val="Arial"/>
      <family val="2"/>
    </font>
    <font>
      <sz val="8"/>
      <color indexed="8"/>
      <name val="Arial"/>
      <family val="2"/>
    </font>
    <font>
      <sz val="9"/>
      <color indexed="8"/>
      <name val="Arial"/>
      <family val="2"/>
    </font>
    <font>
      <sz val="9"/>
      <name val="Arial"/>
      <family val="2"/>
    </font>
    <font>
      <sz val="10"/>
      <color indexed="8"/>
      <name val="Italic"/>
    </font>
    <font>
      <sz val="10"/>
      <color indexed="24"/>
      <name val="Arial"/>
      <family val="2"/>
    </font>
    <font>
      <b/>
      <sz val="18"/>
      <color indexed="24"/>
      <name val="Arial"/>
      <family val="2"/>
    </font>
    <font>
      <b/>
      <sz val="12"/>
      <color indexed="24"/>
      <name val="Arial"/>
      <family val="2"/>
    </font>
    <font>
      <b/>
      <sz val="10"/>
      <color indexed="8"/>
      <name val="Symbol"/>
      <family val="1"/>
      <charset val="2"/>
    </font>
    <font>
      <b/>
      <sz val="10"/>
      <color indexed="8"/>
      <name val="Arial"/>
      <family val="2"/>
    </font>
    <font>
      <i/>
      <u/>
      <sz val="10"/>
      <color indexed="10"/>
      <name val="Arial"/>
      <family val="2"/>
    </font>
    <font>
      <i/>
      <sz val="10"/>
      <color indexed="10"/>
      <name val="Arial"/>
      <family val="2"/>
    </font>
    <font>
      <i/>
      <sz val="10"/>
      <name val="Arial"/>
      <family val="2"/>
    </font>
    <font>
      <b/>
      <u/>
      <sz val="10"/>
      <color indexed="10"/>
      <name val="Arial"/>
      <family val="2"/>
    </font>
    <font>
      <u/>
      <sz val="8"/>
      <color indexed="12"/>
      <name val="Arial"/>
      <family val="2"/>
    </font>
    <font>
      <b/>
      <sz val="11"/>
      <name val="Symbol"/>
      <family val="1"/>
      <charset val="2"/>
    </font>
    <font>
      <b/>
      <i/>
      <sz val="10"/>
      <color indexed="10"/>
      <name val="Arial"/>
      <family val="2"/>
    </font>
    <font>
      <vertAlign val="subscript"/>
      <sz val="8"/>
      <color indexed="81"/>
      <name val="Tahoma"/>
      <family val="2"/>
    </font>
    <font>
      <vertAlign val="superscript"/>
      <sz val="8"/>
      <color indexed="81"/>
      <name val="Tahoma"/>
      <family val="2"/>
    </font>
    <font>
      <i/>
      <sz val="8"/>
      <color indexed="81"/>
      <name val="Tahoma"/>
      <family val="2"/>
    </font>
    <font>
      <sz val="10"/>
      <name val="Arial"/>
    </font>
    <font>
      <sz val="10"/>
      <color indexed="30"/>
      <name val="Arial"/>
      <family val="2"/>
    </font>
    <font>
      <sz val="10"/>
      <color indexed="30"/>
      <name val="Symbol"/>
      <family val="1"/>
      <charset val="2"/>
    </font>
    <font>
      <sz val="10"/>
      <color rgb="FF0070C0"/>
      <name val="Arial"/>
      <family val="2"/>
    </font>
    <font>
      <u/>
      <sz val="10"/>
      <color rgb="FF0070C0"/>
      <name val="Arial"/>
      <family val="2"/>
    </font>
    <font>
      <sz val="10"/>
      <color rgb="FF0070C0"/>
      <name val="Tahoma"/>
      <family val="2"/>
    </font>
    <font>
      <sz val="10"/>
      <color rgb="FF0070C0"/>
      <name val="Symbol"/>
      <family val="1"/>
      <charset val="2"/>
    </font>
    <font>
      <sz val="9"/>
      <color indexed="8"/>
      <name val="Symbol"/>
      <family val="1"/>
      <charset val="2"/>
    </font>
    <font>
      <b/>
      <i/>
      <sz val="10"/>
      <name val="Arial"/>
      <family val="2"/>
    </font>
  </fonts>
  <fills count="9">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FFCC"/>
        <bgColor indexed="64"/>
      </patternFill>
    </fill>
    <fill>
      <patternFill patternType="solid">
        <fgColor theme="0" tint="-0.24994659260841701"/>
        <bgColor indexed="64"/>
      </patternFill>
    </fill>
  </fills>
  <borders count="46">
    <border>
      <left/>
      <right/>
      <top/>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style="thin">
        <color indexed="64"/>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indexed="64"/>
      </left>
      <right style="thin">
        <color indexed="64"/>
      </right>
      <top style="thin">
        <color indexed="22"/>
      </top>
      <bottom style="thin">
        <color theme="0" tint="-0.24994659260841701"/>
      </bottom>
      <diagonal/>
    </border>
    <border>
      <left/>
      <right/>
      <top style="thin">
        <color indexed="22"/>
      </top>
      <bottom style="thin">
        <color theme="0" tint="-0.24994659260841701"/>
      </bottom>
      <diagonal/>
    </border>
    <border>
      <left/>
      <right/>
      <top style="thin">
        <color theme="0" tint="-0.24994659260841701"/>
      </top>
      <bottom style="thin">
        <color indexed="22"/>
      </bottom>
      <diagonal/>
    </border>
    <border>
      <left style="thin">
        <color indexed="64"/>
      </left>
      <right style="thin">
        <color indexed="64"/>
      </right>
      <top style="thin">
        <color theme="0" tint="-0.24994659260841701"/>
      </top>
      <bottom style="thin">
        <color indexed="22"/>
      </bottom>
      <diagonal/>
    </border>
    <border>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s>
  <cellStyleXfs count="10">
    <xf numFmtId="0" fontId="0" fillId="0" borderId="0"/>
    <xf numFmtId="3" fontId="54" fillId="0" borderId="0" applyFont="0" applyFill="0" applyBorder="0" applyAlignment="0" applyProtection="0"/>
    <xf numFmtId="168" fontId="54" fillId="0" borderId="0" applyFont="0" applyFill="0" applyBorder="0" applyAlignment="0" applyProtection="0"/>
    <xf numFmtId="0" fontId="54" fillId="0" borderId="0" applyFont="0" applyFill="0" applyBorder="0" applyAlignment="0" applyProtection="0"/>
    <xf numFmtId="2" fontId="54" fillId="0" borderId="0" applyFon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69" fillId="0" borderId="0"/>
    <xf numFmtId="0" fontId="54" fillId="0" borderId="2" applyNumberFormat="0" applyFont="0" applyFill="0" applyAlignment="0" applyProtection="0"/>
    <xf numFmtId="0" fontId="2" fillId="0" borderId="0"/>
  </cellStyleXfs>
  <cellXfs count="651">
    <xf numFmtId="0" fontId="0" fillId="0" borderId="0" xfId="0"/>
    <xf numFmtId="0" fontId="0" fillId="0" borderId="0" xfId="0" applyProtection="1"/>
    <xf numFmtId="0" fontId="0" fillId="0" borderId="0" xfId="0" applyAlignment="1" applyProtection="1">
      <alignment horizontal="right"/>
    </xf>
    <xf numFmtId="2" fontId="0" fillId="0" borderId="0" xfId="0" applyNumberFormat="1" applyBorder="1" applyAlignment="1" applyProtection="1">
      <alignment horizontal="center"/>
    </xf>
    <xf numFmtId="0" fontId="0" fillId="0" borderId="0" xfId="0" applyBorder="1" applyProtection="1"/>
    <xf numFmtId="0" fontId="4" fillId="2" borderId="0" xfId="0" applyFont="1" applyFill="1" applyBorder="1" applyAlignment="1" applyProtection="1">
      <alignment horizontal="center"/>
    </xf>
    <xf numFmtId="2" fontId="0" fillId="0" borderId="0" xfId="0" applyNumberFormat="1" applyAlignment="1" applyProtection="1">
      <alignment horizontal="left"/>
    </xf>
    <xf numFmtId="165" fontId="0" fillId="0" borderId="0" xfId="0" applyNumberFormat="1" applyBorder="1" applyAlignment="1" applyProtection="1">
      <alignment horizontal="center"/>
    </xf>
    <xf numFmtId="2" fontId="4" fillId="2" borderId="0" xfId="0" applyNumberFormat="1" applyFont="1" applyFill="1" applyBorder="1" applyAlignment="1" applyProtection="1">
      <alignment horizontal="center"/>
    </xf>
    <xf numFmtId="0" fontId="4" fillId="0" borderId="0" xfId="0" applyFont="1" applyBorder="1" applyProtection="1"/>
    <xf numFmtId="2" fontId="4" fillId="0" borderId="0" xfId="0" applyNumberFormat="1" applyFont="1" applyBorder="1" applyAlignment="1" applyProtection="1">
      <alignment horizontal="center"/>
    </xf>
    <xf numFmtId="165" fontId="4" fillId="0" borderId="0" xfId="0" applyNumberFormat="1" applyFont="1" applyBorder="1" applyAlignment="1" applyProtection="1">
      <alignment horizontal="center"/>
    </xf>
    <xf numFmtId="0" fontId="4" fillId="0" borderId="0" xfId="0" applyFont="1" applyBorder="1" applyAlignment="1" applyProtection="1">
      <alignment horizontal="center"/>
    </xf>
    <xf numFmtId="0" fontId="4" fillId="0" borderId="0" xfId="0" applyFont="1" applyProtection="1"/>
    <xf numFmtId="0" fontId="4" fillId="0" borderId="0" xfId="0" applyFont="1" applyAlignment="1" applyProtection="1">
      <alignment horizontal="right"/>
    </xf>
    <xf numFmtId="0" fontId="4" fillId="0" borderId="0" xfId="0" applyFont="1" applyAlignment="1" applyProtection="1">
      <alignment horizontal="center"/>
    </xf>
    <xf numFmtId="2" fontId="4" fillId="0" borderId="0" xfId="0" applyNumberFormat="1" applyFont="1" applyAlignment="1" applyProtection="1">
      <alignment horizontal="center"/>
    </xf>
    <xf numFmtId="0" fontId="4" fillId="0" borderId="0" xfId="0" applyFont="1" applyAlignment="1" applyProtection="1">
      <alignment horizontal="left"/>
    </xf>
    <xf numFmtId="0" fontId="4" fillId="0" borderId="0" xfId="0" quotePrefix="1" applyFont="1" applyAlignment="1" applyProtection="1">
      <alignment horizontal="right"/>
    </xf>
    <xf numFmtId="2" fontId="4" fillId="0" borderId="0" xfId="0" applyNumberFormat="1" applyFont="1" applyAlignment="1" applyProtection="1">
      <alignment horizontal="left"/>
    </xf>
    <xf numFmtId="0" fontId="29" fillId="0" borderId="0" xfId="0" applyFont="1" applyAlignment="1" applyProtection="1">
      <alignment horizontal="right"/>
    </xf>
    <xf numFmtId="164" fontId="4" fillId="0" borderId="0" xfId="0" applyNumberFormat="1" applyFont="1" applyAlignment="1" applyProtection="1">
      <alignment horizontal="center"/>
    </xf>
    <xf numFmtId="164" fontId="4" fillId="0" borderId="0" xfId="0" applyNumberFormat="1" applyFont="1" applyBorder="1" applyAlignment="1" applyProtection="1">
      <alignment horizontal="center"/>
    </xf>
    <xf numFmtId="0" fontId="31" fillId="0" borderId="0" xfId="0" applyFont="1" applyProtection="1"/>
    <xf numFmtId="0" fontId="4" fillId="0" borderId="0" xfId="0" applyFont="1"/>
    <xf numFmtId="0" fontId="31" fillId="0" borderId="0" xfId="0" applyFont="1"/>
    <xf numFmtId="0" fontId="31" fillId="0" borderId="0" xfId="0" applyFont="1" applyBorder="1" applyProtection="1"/>
    <xf numFmtId="0" fontId="31" fillId="0" borderId="0" xfId="0" applyFont="1" applyBorder="1" applyAlignment="1" applyProtection="1">
      <alignment horizontal="center"/>
    </xf>
    <xf numFmtId="167" fontId="31" fillId="0" borderId="0" xfId="0" applyNumberFormat="1" applyFont="1" applyBorder="1" applyAlignment="1" applyProtection="1">
      <alignment horizontal="center"/>
    </xf>
    <xf numFmtId="0" fontId="32" fillId="0" borderId="0" xfId="0" applyFont="1" applyProtection="1"/>
    <xf numFmtId="14" fontId="31" fillId="0" borderId="0" xfId="0" applyNumberFormat="1" applyFont="1" applyBorder="1" applyAlignment="1" applyProtection="1">
      <alignment horizontal="center"/>
    </xf>
    <xf numFmtId="18" fontId="31" fillId="0" borderId="0" xfId="0" applyNumberFormat="1" applyFont="1" applyBorder="1" applyAlignment="1" applyProtection="1">
      <alignment horizontal="center"/>
    </xf>
    <xf numFmtId="0" fontId="0" fillId="0" borderId="0" xfId="0" applyAlignment="1">
      <alignment horizontal="center"/>
    </xf>
    <xf numFmtId="0" fontId="23" fillId="2" borderId="0" xfId="0" applyFont="1" applyFill="1" applyAlignment="1">
      <alignment horizontal="centerContinuous"/>
    </xf>
    <xf numFmtId="0" fontId="37" fillId="2" borderId="0" xfId="0" applyFont="1" applyFill="1" applyAlignment="1">
      <alignment horizontal="centerContinuous"/>
    </xf>
    <xf numFmtId="0" fontId="0" fillId="2" borderId="0" xfId="0" applyFill="1"/>
    <xf numFmtId="0" fontId="37" fillId="2" borderId="0" xfId="0" applyFont="1" applyFill="1"/>
    <xf numFmtId="0" fontId="3" fillId="2" borderId="0" xfId="0" applyFont="1" applyFill="1"/>
    <xf numFmtId="0" fontId="38" fillId="2" borderId="3" xfId="0" applyFont="1" applyFill="1" applyBorder="1" applyAlignment="1">
      <alignment horizontal="centerContinuous"/>
    </xf>
    <xf numFmtId="0" fontId="38" fillId="2" borderId="4" xfId="0" applyFont="1" applyFill="1" applyBorder="1" applyAlignment="1">
      <alignment horizontal="centerContinuous"/>
    </xf>
    <xf numFmtId="0" fontId="21" fillId="2" borderId="5" xfId="0" applyFont="1" applyFill="1" applyBorder="1" applyAlignment="1">
      <alignment horizontal="centerContinuous"/>
    </xf>
    <xf numFmtId="0" fontId="21" fillId="2" borderId="3" xfId="0" applyFont="1" applyFill="1" applyBorder="1" applyAlignment="1">
      <alignment horizontal="centerContinuous"/>
    </xf>
    <xf numFmtId="0" fontId="13" fillId="3" borderId="6" xfId="0" applyFont="1" applyFill="1" applyBorder="1" applyAlignment="1" applyProtection="1">
      <alignment horizontal="centerContinuous"/>
      <protection hidden="1"/>
    </xf>
    <xf numFmtId="0" fontId="0" fillId="3" borderId="7" xfId="0" applyFill="1" applyBorder="1" applyAlignment="1" applyProtection="1">
      <alignment horizontal="centerContinuous"/>
      <protection hidden="1"/>
    </xf>
    <xf numFmtId="0" fontId="7" fillId="3" borderId="8" xfId="0" applyFont="1" applyFill="1" applyBorder="1" applyAlignment="1" applyProtection="1">
      <alignment horizontal="centerContinuous"/>
      <protection hidden="1"/>
    </xf>
    <xf numFmtId="0" fontId="7" fillId="3" borderId="0" xfId="0" applyFont="1" applyFill="1" applyBorder="1" applyAlignment="1" applyProtection="1">
      <alignment horizontal="centerContinuous"/>
      <protection hidden="1"/>
    </xf>
    <xf numFmtId="0" fontId="0" fillId="3" borderId="0" xfId="0" applyFill="1" applyBorder="1" applyAlignment="1" applyProtection="1">
      <alignment horizontal="centerContinuous"/>
      <protection hidden="1"/>
    </xf>
    <xf numFmtId="0" fontId="0" fillId="3" borderId="9" xfId="0" applyFill="1" applyBorder="1" applyAlignment="1" applyProtection="1">
      <alignment horizontal="centerContinuous"/>
      <protection hidden="1"/>
    </xf>
    <xf numFmtId="0" fontId="0" fillId="3" borderId="10" xfId="0" applyFill="1" applyBorder="1" applyAlignment="1" applyProtection="1">
      <alignment horizontal="centerContinuous"/>
      <protection hidden="1"/>
    </xf>
    <xf numFmtId="0" fontId="0" fillId="2" borderId="0" xfId="0" applyFill="1" applyBorder="1" applyProtection="1">
      <protection hidden="1"/>
    </xf>
    <xf numFmtId="0" fontId="4" fillId="2" borderId="0" xfId="0" applyFont="1" applyFill="1" applyBorder="1" applyAlignment="1" applyProtection="1">
      <alignment horizontal="center"/>
      <protection hidden="1"/>
    </xf>
    <xf numFmtId="2" fontId="4" fillId="2" borderId="0" xfId="0" applyNumberFormat="1" applyFont="1" applyFill="1" applyBorder="1" applyAlignment="1" applyProtection="1">
      <alignment horizontal="center"/>
      <protection hidden="1"/>
    </xf>
    <xf numFmtId="0" fontId="0" fillId="2" borderId="0" xfId="0" applyFill="1" applyBorder="1" applyAlignment="1" applyProtection="1">
      <alignment horizontal="left"/>
      <protection hidden="1"/>
    </xf>
    <xf numFmtId="2" fontId="6" fillId="2" borderId="0" xfId="0" applyNumberFormat="1" applyFont="1" applyFill="1" applyBorder="1" applyAlignment="1" applyProtection="1">
      <alignment horizontal="left"/>
      <protection hidden="1"/>
    </xf>
    <xf numFmtId="0" fontId="0" fillId="2" borderId="9" xfId="0" applyFill="1" applyBorder="1" applyProtection="1">
      <protection hidden="1"/>
    </xf>
    <xf numFmtId="0" fontId="5" fillId="2" borderId="0" xfId="0" applyFont="1" applyFill="1" applyBorder="1" applyAlignment="1" applyProtection="1">
      <protection hidden="1"/>
    </xf>
    <xf numFmtId="165" fontId="4" fillId="2" borderId="0" xfId="0" applyNumberFormat="1" applyFont="1" applyFill="1" applyBorder="1" applyAlignment="1" applyProtection="1">
      <alignment horizontal="center"/>
      <protection hidden="1"/>
    </xf>
    <xf numFmtId="0" fontId="0" fillId="2" borderId="0" xfId="0" applyFill="1" applyBorder="1" applyAlignment="1" applyProtection="1">
      <alignment horizontal="center"/>
      <protection hidden="1"/>
    </xf>
    <xf numFmtId="0" fontId="0" fillId="3" borderId="11" xfId="0" applyFill="1" applyBorder="1" applyAlignment="1" applyProtection="1">
      <alignment horizontal="centerContinuous"/>
      <protection hidden="1"/>
    </xf>
    <xf numFmtId="0" fontId="7" fillId="3" borderId="0" xfId="0" quotePrefix="1" applyFont="1" applyFill="1" applyBorder="1" applyAlignment="1" applyProtection="1">
      <alignment horizontal="centerContinuous"/>
      <protection hidden="1"/>
    </xf>
    <xf numFmtId="0" fontId="0" fillId="3" borderId="12" xfId="0" applyFill="1" applyBorder="1" applyAlignment="1" applyProtection="1">
      <alignment horizontal="centerContinuous"/>
      <protection hidden="1"/>
    </xf>
    <xf numFmtId="0" fontId="7" fillId="3" borderId="9" xfId="0" applyFont="1" applyFill="1" applyBorder="1" applyAlignment="1" applyProtection="1">
      <alignment horizontal="centerContinuous"/>
      <protection hidden="1"/>
    </xf>
    <xf numFmtId="0" fontId="0" fillId="3" borderId="13" xfId="0" applyFill="1" applyBorder="1" applyAlignment="1" applyProtection="1">
      <alignment horizontal="centerContinuous"/>
      <protection hidden="1"/>
    </xf>
    <xf numFmtId="0" fontId="0" fillId="0" borderId="8" xfId="0" applyBorder="1" applyProtection="1">
      <protection hidden="1"/>
    </xf>
    <xf numFmtId="0" fontId="0" fillId="0" borderId="0" xfId="0" applyBorder="1" applyProtection="1">
      <protection hidden="1"/>
    </xf>
    <xf numFmtId="0" fontId="3" fillId="0" borderId="8" xfId="0" applyFont="1" applyBorder="1" applyProtection="1">
      <protection hidden="1"/>
    </xf>
    <xf numFmtId="0" fontId="0" fillId="0" borderId="14" xfId="0" applyBorder="1" applyAlignment="1" applyProtection="1">
      <alignment horizontal="center"/>
      <protection hidden="1"/>
    </xf>
    <xf numFmtId="0" fontId="4" fillId="0" borderId="14" xfId="0" applyFont="1" applyBorder="1" applyAlignment="1" applyProtection="1">
      <alignment horizontal="center"/>
      <protection hidden="1"/>
    </xf>
    <xf numFmtId="0" fontId="0" fillId="0" borderId="8" xfId="0" applyBorder="1" applyAlignment="1" applyProtection="1">
      <alignment horizontal="right"/>
      <protection hidden="1"/>
    </xf>
    <xf numFmtId="0" fontId="0" fillId="0" borderId="12" xfId="0" applyBorder="1" applyProtection="1">
      <protection hidden="1"/>
    </xf>
    <xf numFmtId="0" fontId="7" fillId="0" borderId="0" xfId="0" applyFont="1" applyBorder="1" applyAlignment="1" applyProtection="1">
      <alignment horizontal="left"/>
      <protection hidden="1"/>
    </xf>
    <xf numFmtId="0" fontId="0" fillId="0" borderId="0" xfId="0" applyBorder="1" applyAlignment="1" applyProtection="1">
      <alignment horizontal="left"/>
      <protection hidden="1"/>
    </xf>
    <xf numFmtId="0" fontId="7" fillId="0" borderId="0" xfId="0" applyFont="1" applyBorder="1" applyProtection="1">
      <protection hidden="1"/>
    </xf>
    <xf numFmtId="0" fontId="0" fillId="0" borderId="10" xfId="0" applyBorder="1" applyProtection="1">
      <protection hidden="1"/>
    </xf>
    <xf numFmtId="0" fontId="0" fillId="3" borderId="3" xfId="0" applyFill="1" applyBorder="1" applyAlignment="1" applyProtection="1">
      <alignment horizontal="centerContinuous"/>
      <protection hidden="1"/>
    </xf>
    <xf numFmtId="0" fontId="0" fillId="3" borderId="4" xfId="0" applyFill="1" applyBorder="1" applyAlignment="1" applyProtection="1">
      <alignment horizontal="centerContinuous"/>
      <protection hidden="1"/>
    </xf>
    <xf numFmtId="0" fontId="0" fillId="3" borderId="5" xfId="0" applyFill="1" applyBorder="1" applyAlignment="1" applyProtection="1">
      <alignment horizontal="centerContinuous"/>
      <protection hidden="1"/>
    </xf>
    <xf numFmtId="0" fontId="0" fillId="3" borderId="15" xfId="0" applyFill="1" applyBorder="1" applyAlignment="1" applyProtection="1">
      <alignment horizontal="center"/>
      <protection hidden="1"/>
    </xf>
    <xf numFmtId="2" fontId="4" fillId="0" borderId="14" xfId="0" applyNumberFormat="1" applyFont="1" applyBorder="1" applyAlignment="1" applyProtection="1">
      <alignment horizontal="center"/>
      <protection hidden="1"/>
    </xf>
    <xf numFmtId="0" fontId="21" fillId="3" borderId="5" xfId="0" applyFont="1" applyFill="1" applyBorder="1" applyAlignment="1" applyProtection="1">
      <alignment horizontal="centerContinuous"/>
      <protection hidden="1"/>
    </xf>
    <xf numFmtId="0" fontId="0" fillId="0" borderId="0" xfId="0" applyBorder="1" applyAlignment="1" applyProtection="1">
      <alignment horizontal="center"/>
      <protection hidden="1"/>
    </xf>
    <xf numFmtId="0" fontId="0" fillId="3" borderId="6" xfId="0" applyFill="1" applyBorder="1" applyAlignment="1" applyProtection="1">
      <alignment horizontal="center"/>
      <protection hidden="1"/>
    </xf>
    <xf numFmtId="0" fontId="0" fillId="3" borderId="9" xfId="0" applyFill="1" applyBorder="1" applyProtection="1">
      <protection hidden="1"/>
    </xf>
    <xf numFmtId="0" fontId="0" fillId="0" borderId="0" xfId="0" applyBorder="1" applyAlignment="1" applyProtection="1">
      <alignment horizontal="right"/>
      <protection hidden="1"/>
    </xf>
    <xf numFmtId="2" fontId="4" fillId="0" borderId="16" xfId="0" applyNumberFormat="1" applyFont="1" applyBorder="1" applyAlignment="1" applyProtection="1">
      <alignment horizontal="center"/>
      <protection hidden="1"/>
    </xf>
    <xf numFmtId="0" fontId="0" fillId="0" borderId="0" xfId="0" applyProtection="1">
      <protection hidden="1"/>
    </xf>
    <xf numFmtId="2" fontId="4" fillId="0" borderId="15" xfId="0" applyNumberFormat="1" applyFont="1" applyBorder="1" applyAlignment="1" applyProtection="1">
      <alignment horizontal="center"/>
      <protection hidden="1"/>
    </xf>
    <xf numFmtId="0" fontId="4" fillId="0" borderId="0" xfId="0" applyFont="1" applyBorder="1" applyProtection="1">
      <protection hidden="1"/>
    </xf>
    <xf numFmtId="0" fontId="0" fillId="0" borderId="9" xfId="0" applyBorder="1" applyProtection="1">
      <protection hidden="1"/>
    </xf>
    <xf numFmtId="0" fontId="0" fillId="0" borderId="13" xfId="0" applyBorder="1" applyProtection="1">
      <protection hidden="1"/>
    </xf>
    <xf numFmtId="2" fontId="0" fillId="2" borderId="0" xfId="0" applyNumberFormat="1" applyFill="1" applyBorder="1" applyAlignment="1" applyProtection="1">
      <alignment horizontal="center"/>
      <protection hidden="1"/>
    </xf>
    <xf numFmtId="0" fontId="1" fillId="2" borderId="0" xfId="0" applyFont="1" applyFill="1" applyBorder="1" applyAlignment="1" applyProtection="1">
      <alignment horizontal="centerContinuous"/>
      <protection hidden="1"/>
    </xf>
    <xf numFmtId="2" fontId="0" fillId="0" borderId="0" xfId="0" applyNumberFormat="1" applyBorder="1" applyAlignment="1" applyProtection="1">
      <alignment horizontal="center"/>
      <protection hidden="1"/>
    </xf>
    <xf numFmtId="0" fontId="21" fillId="0" borderId="0" xfId="0" applyFont="1" applyBorder="1" applyProtection="1">
      <protection hidden="1"/>
    </xf>
    <xf numFmtId="0" fontId="3" fillId="0" borderId="0" xfId="0" applyFont="1" applyBorder="1" applyAlignment="1" applyProtection="1">
      <alignment horizontal="centerContinuous"/>
      <protection hidden="1"/>
    </xf>
    <xf numFmtId="0" fontId="0" fillId="0" borderId="0" xfId="0" applyBorder="1" applyAlignment="1" applyProtection="1">
      <alignment horizontal="centerContinuous"/>
      <protection hidden="1"/>
    </xf>
    <xf numFmtId="0" fontId="4" fillId="0" borderId="0" xfId="0" applyFont="1" applyBorder="1" applyProtection="1">
      <protection locked="0"/>
    </xf>
    <xf numFmtId="0" fontId="0" fillId="0" borderId="8" xfId="0" applyBorder="1" applyAlignment="1" applyProtection="1">
      <alignment horizontal="center"/>
      <protection hidden="1"/>
    </xf>
    <xf numFmtId="0" fontId="4" fillId="0" borderId="5" xfId="0" applyFont="1" applyBorder="1" applyAlignment="1" applyProtection="1">
      <alignment horizontal="centerContinuous"/>
      <protection hidden="1"/>
    </xf>
    <xf numFmtId="0" fontId="0" fillId="0" borderId="4" xfId="0" applyBorder="1" applyAlignment="1" applyProtection="1">
      <alignment horizontal="centerContinuous"/>
      <protection hidden="1"/>
    </xf>
    <xf numFmtId="0" fontId="0" fillId="0" borderId="12" xfId="0" applyBorder="1" applyAlignment="1" applyProtection="1">
      <alignment horizontal="center"/>
      <protection hidden="1"/>
    </xf>
    <xf numFmtId="0" fontId="0" fillId="0" borderId="8" xfId="0" quotePrefix="1" applyBorder="1" applyAlignment="1" applyProtection="1">
      <alignment horizontal="right"/>
      <protection hidden="1"/>
    </xf>
    <xf numFmtId="0" fontId="0" fillId="0" borderId="8" xfId="0" quotePrefix="1" applyBorder="1" applyProtection="1">
      <protection hidden="1"/>
    </xf>
    <xf numFmtId="0" fontId="26" fillId="0" borderId="8" xfId="0" applyFont="1" applyBorder="1" applyAlignment="1" applyProtection="1">
      <alignment horizontal="right"/>
      <protection hidden="1"/>
    </xf>
    <xf numFmtId="2" fontId="0" fillId="0" borderId="0" xfId="0" applyNumberFormat="1" applyBorder="1" applyAlignment="1" applyProtection="1">
      <alignment horizontal="right"/>
      <protection hidden="1"/>
    </xf>
    <xf numFmtId="2" fontId="0" fillId="0" borderId="0" xfId="0" applyNumberFormat="1" applyBorder="1" applyAlignment="1" applyProtection="1">
      <alignment horizontal="left"/>
      <protection hidden="1"/>
    </xf>
    <xf numFmtId="2" fontId="0" fillId="2" borderId="0" xfId="0" applyNumberFormat="1" applyFill="1" applyBorder="1" applyAlignment="1" applyProtection="1">
      <alignment horizontal="left"/>
      <protection hidden="1"/>
    </xf>
    <xf numFmtId="165" fontId="8" fillId="0" borderId="0" xfId="0" applyNumberFormat="1" applyFont="1" applyBorder="1" applyAlignment="1" applyProtection="1">
      <alignment horizontal="left"/>
      <protection hidden="1"/>
    </xf>
    <xf numFmtId="0" fontId="0" fillId="0" borderId="8" xfId="0" applyBorder="1" applyAlignment="1" applyProtection="1">
      <alignment horizontal="left"/>
      <protection hidden="1"/>
    </xf>
    <xf numFmtId="14" fontId="0" fillId="0" borderId="12" xfId="0" applyNumberFormat="1" applyBorder="1" applyAlignment="1" applyProtection="1">
      <alignment horizontal="center"/>
      <protection hidden="1"/>
    </xf>
    <xf numFmtId="0" fontId="1" fillId="3" borderId="3" xfId="0" applyFont="1" applyFill="1" applyBorder="1" applyAlignment="1" applyProtection="1">
      <alignment horizontal="centerContinuous"/>
      <protection hidden="1"/>
    </xf>
    <xf numFmtId="0" fontId="1" fillId="3" borderId="4" xfId="0" applyFont="1" applyFill="1" applyBorder="1" applyAlignment="1" applyProtection="1">
      <alignment horizontal="centerContinuous"/>
      <protection hidden="1"/>
    </xf>
    <xf numFmtId="0" fontId="0" fillId="3" borderId="16" xfId="0" applyFill="1" applyBorder="1" applyAlignment="1" applyProtection="1">
      <alignment horizontal="center"/>
      <protection hidden="1"/>
    </xf>
    <xf numFmtId="2" fontId="0" fillId="3" borderId="17" xfId="0" applyNumberFormat="1" applyFill="1" applyBorder="1" applyAlignment="1" applyProtection="1">
      <alignment horizontal="centerContinuous"/>
      <protection hidden="1"/>
    </xf>
    <xf numFmtId="0" fontId="0" fillId="3" borderId="9" xfId="0" applyFill="1" applyBorder="1" applyAlignment="1" applyProtection="1">
      <alignment horizontal="center"/>
      <protection hidden="1"/>
    </xf>
    <xf numFmtId="2" fontId="4" fillId="0" borderId="9" xfId="0" applyNumberFormat="1" applyFont="1" applyBorder="1" applyAlignment="1" applyProtection="1">
      <alignment horizontal="center"/>
      <protection hidden="1"/>
    </xf>
    <xf numFmtId="0" fontId="5" fillId="2" borderId="8" xfId="0" applyFont="1" applyFill="1" applyBorder="1" applyAlignment="1" applyProtection="1">
      <protection hidden="1"/>
    </xf>
    <xf numFmtId="0" fontId="0" fillId="0" borderId="0" xfId="0" applyBorder="1" applyAlignment="1" applyProtection="1">
      <protection hidden="1"/>
    </xf>
    <xf numFmtId="0" fontId="0" fillId="0" borderId="8" xfId="0" applyBorder="1" applyAlignment="1" applyProtection="1">
      <alignment horizontal="centerContinuous"/>
      <protection hidden="1"/>
    </xf>
    <xf numFmtId="0" fontId="0" fillId="0" borderId="12" xfId="0" applyBorder="1" applyAlignment="1" applyProtection="1">
      <alignment horizontal="centerContinuous"/>
      <protection hidden="1"/>
    </xf>
    <xf numFmtId="0" fontId="0" fillId="0" borderId="6" xfId="0" applyBorder="1" applyProtection="1">
      <protection hidden="1"/>
    </xf>
    <xf numFmtId="0" fontId="0" fillId="0" borderId="7" xfId="0" applyBorder="1" applyProtection="1">
      <protection hidden="1"/>
    </xf>
    <xf numFmtId="0" fontId="21" fillId="0" borderId="8" xfId="0" applyFont="1" applyBorder="1" applyProtection="1">
      <protection hidden="1"/>
    </xf>
    <xf numFmtId="18" fontId="0" fillId="0" borderId="12" xfId="0" applyNumberFormat="1" applyBorder="1" applyAlignment="1" applyProtection="1">
      <alignment horizontal="center"/>
      <protection hidden="1"/>
    </xf>
    <xf numFmtId="0" fontId="23" fillId="0" borderId="8" xfId="0" applyFont="1" applyBorder="1" applyProtection="1">
      <protection hidden="1"/>
    </xf>
    <xf numFmtId="0" fontId="14" fillId="3" borderId="10" xfId="0" quotePrefix="1" applyFont="1" applyFill="1" applyBorder="1" applyAlignment="1" applyProtection="1">
      <alignment horizontal="centerContinuous"/>
      <protection hidden="1"/>
    </xf>
    <xf numFmtId="2" fontId="6" fillId="0" borderId="8" xfId="0" applyNumberFormat="1" applyFont="1" applyBorder="1" applyAlignment="1" applyProtection="1">
      <alignment horizontal="right"/>
      <protection hidden="1"/>
    </xf>
    <xf numFmtId="0" fontId="6" fillId="0" borderId="0" xfId="0" applyFont="1" applyBorder="1" applyAlignment="1" applyProtection="1">
      <alignment horizontal="left"/>
      <protection hidden="1"/>
    </xf>
    <xf numFmtId="0" fontId="6" fillId="0" borderId="8" xfId="0" applyFont="1" applyBorder="1" applyAlignment="1" applyProtection="1">
      <alignment horizontal="right"/>
      <protection hidden="1"/>
    </xf>
    <xf numFmtId="0" fontId="6" fillId="0" borderId="0" xfId="0" applyFont="1" applyBorder="1" applyProtection="1">
      <protection hidden="1"/>
    </xf>
    <xf numFmtId="2" fontId="10" fillId="0" borderId="0" xfId="0" applyNumberFormat="1" applyFont="1" applyBorder="1" applyAlignment="1" applyProtection="1">
      <alignment horizontal="right"/>
      <protection hidden="1"/>
    </xf>
    <xf numFmtId="0" fontId="6" fillId="0" borderId="0" xfId="0" applyFont="1" applyBorder="1" applyAlignment="1" applyProtection="1">
      <alignment horizontal="right"/>
      <protection hidden="1"/>
    </xf>
    <xf numFmtId="0" fontId="6" fillId="0" borderId="12" xfId="0" applyFont="1" applyBorder="1" applyProtection="1">
      <protection hidden="1"/>
    </xf>
    <xf numFmtId="1" fontId="4" fillId="0" borderId="14" xfId="0" applyNumberFormat="1" applyFont="1" applyBorder="1" applyAlignment="1" applyProtection="1">
      <alignment horizontal="center"/>
      <protection hidden="1"/>
    </xf>
    <xf numFmtId="2" fontId="0" fillId="2" borderId="12" xfId="0" applyNumberFormat="1" applyFill="1" applyBorder="1" applyAlignment="1" applyProtection="1">
      <alignment horizontal="center"/>
      <protection hidden="1"/>
    </xf>
    <xf numFmtId="165" fontId="0" fillId="0" borderId="8" xfId="0" applyNumberFormat="1" applyBorder="1" applyAlignment="1" applyProtection="1">
      <alignment horizontal="right"/>
      <protection hidden="1"/>
    </xf>
    <xf numFmtId="165" fontId="4" fillId="0" borderId="14" xfId="0" applyNumberFormat="1" applyFont="1" applyBorder="1" applyAlignment="1" applyProtection="1">
      <alignment horizontal="center"/>
      <protection hidden="1"/>
    </xf>
    <xf numFmtId="2" fontId="0" fillId="3" borderId="3" xfId="0" applyNumberFormat="1" applyFill="1" applyBorder="1" applyAlignment="1" applyProtection="1">
      <alignment horizontal="centerContinuous"/>
      <protection hidden="1"/>
    </xf>
    <xf numFmtId="2" fontId="0" fillId="3" borderId="4" xfId="0" applyNumberFormat="1" applyFill="1" applyBorder="1" applyAlignment="1" applyProtection="1">
      <alignment horizontal="centerContinuous"/>
      <protection hidden="1"/>
    </xf>
    <xf numFmtId="0" fontId="0" fillId="3" borderId="8" xfId="0" applyFill="1" applyBorder="1" applyAlignment="1" applyProtection="1">
      <alignment horizontal="center"/>
      <protection hidden="1"/>
    </xf>
    <xf numFmtId="0" fontId="0" fillId="3" borderId="18" xfId="0" applyFill="1" applyBorder="1" applyAlignment="1" applyProtection="1">
      <alignment horizontal="center"/>
      <protection hidden="1"/>
    </xf>
    <xf numFmtId="0" fontId="8" fillId="3" borderId="8" xfId="0" applyFont="1" applyFill="1" applyBorder="1" applyAlignment="1" applyProtection="1">
      <alignment horizontal="right"/>
      <protection hidden="1"/>
    </xf>
    <xf numFmtId="0" fontId="0" fillId="3" borderId="5" xfId="0" applyFill="1" applyBorder="1" applyAlignment="1" applyProtection="1">
      <alignment horizontal="center"/>
      <protection hidden="1"/>
    </xf>
    <xf numFmtId="2" fontId="4" fillId="0" borderId="9" xfId="0" quotePrefix="1" applyNumberFormat="1" applyFont="1" applyBorder="1" applyAlignment="1" applyProtection="1">
      <alignment horizontal="center"/>
      <protection hidden="1"/>
    </xf>
    <xf numFmtId="2" fontId="4" fillId="0" borderId="15" xfId="0" quotePrefix="1" applyNumberFormat="1" applyFont="1" applyBorder="1" applyAlignment="1" applyProtection="1">
      <alignment horizontal="center"/>
      <protection hidden="1"/>
    </xf>
    <xf numFmtId="165" fontId="6" fillId="0" borderId="0" xfId="0" applyNumberFormat="1" applyFont="1" applyBorder="1" applyAlignment="1" applyProtection="1">
      <alignment horizontal="center"/>
      <protection hidden="1"/>
    </xf>
    <xf numFmtId="2" fontId="4" fillId="0" borderId="0" xfId="0" applyNumberFormat="1" applyFont="1" applyBorder="1" applyAlignment="1" applyProtection="1">
      <alignment horizontal="center"/>
      <protection hidden="1"/>
    </xf>
    <xf numFmtId="165" fontId="21" fillId="0" borderId="8" xfId="0" applyNumberFormat="1" applyFont="1" applyBorder="1" applyAlignment="1" applyProtection="1">
      <alignment horizontal="left"/>
      <protection hidden="1"/>
    </xf>
    <xf numFmtId="2" fontId="26" fillId="0" borderId="8" xfId="0" applyNumberFormat="1" applyFont="1" applyBorder="1" applyAlignment="1" applyProtection="1">
      <alignment horizontal="right"/>
      <protection hidden="1"/>
    </xf>
    <xf numFmtId="0" fontId="0" fillId="0" borderId="12" xfId="0" applyBorder="1" applyAlignment="1" applyProtection="1">
      <alignment horizontal="right"/>
      <protection hidden="1"/>
    </xf>
    <xf numFmtId="2" fontId="0" fillId="0" borderId="8" xfId="0" applyNumberFormat="1" applyBorder="1" applyAlignment="1" applyProtection="1">
      <alignment horizontal="right"/>
      <protection hidden="1"/>
    </xf>
    <xf numFmtId="0" fontId="11" fillId="0" borderId="8" xfId="0" applyFont="1" applyBorder="1" applyAlignment="1" applyProtection="1">
      <alignment horizontal="right"/>
      <protection hidden="1"/>
    </xf>
    <xf numFmtId="0" fontId="11" fillId="0" borderId="0" xfId="0" applyFont="1" applyBorder="1" applyAlignment="1" applyProtection="1">
      <alignment horizontal="right"/>
      <protection hidden="1"/>
    </xf>
    <xf numFmtId="1" fontId="0" fillId="0" borderId="0" xfId="0" applyNumberFormat="1" applyBorder="1" applyAlignment="1" applyProtection="1">
      <alignment horizontal="center"/>
      <protection hidden="1"/>
    </xf>
    <xf numFmtId="0" fontId="9" fillId="0" borderId="0" xfId="0" applyFont="1" applyBorder="1" applyAlignment="1" applyProtection="1">
      <alignment horizontal="right"/>
      <protection hidden="1"/>
    </xf>
    <xf numFmtId="164" fontId="0" fillId="0" borderId="0" xfId="0" applyNumberFormat="1" applyBorder="1" applyAlignment="1" applyProtection="1">
      <alignment horizontal="center"/>
      <protection hidden="1"/>
    </xf>
    <xf numFmtId="0" fontId="0" fillId="0" borderId="0" xfId="0" quotePrefix="1" applyBorder="1" applyAlignment="1" applyProtection="1">
      <alignment horizontal="left"/>
      <protection hidden="1"/>
    </xf>
    <xf numFmtId="165" fontId="6" fillId="2" borderId="0" xfId="0" applyNumberFormat="1" applyFont="1" applyFill="1" applyBorder="1" applyAlignment="1" applyProtection="1">
      <alignment horizontal="center"/>
      <protection hidden="1"/>
    </xf>
    <xf numFmtId="2" fontId="27" fillId="0" borderId="8" xfId="0" applyNumberFormat="1" applyFont="1" applyBorder="1" applyAlignment="1" applyProtection="1">
      <alignment horizontal="right"/>
      <protection hidden="1"/>
    </xf>
    <xf numFmtId="0" fontId="12" fillId="0" borderId="0" xfId="0" applyFont="1" applyBorder="1" applyAlignment="1" applyProtection="1">
      <alignment horizontal="right"/>
      <protection hidden="1"/>
    </xf>
    <xf numFmtId="165" fontId="0" fillId="0" borderId="0" xfId="0" quotePrefix="1" applyNumberFormat="1" applyBorder="1" applyAlignment="1" applyProtection="1">
      <alignment horizontal="left"/>
      <protection hidden="1"/>
    </xf>
    <xf numFmtId="0" fontId="0" fillId="0" borderId="18" xfId="0" applyBorder="1" applyAlignment="1" applyProtection="1">
      <alignment horizontal="right"/>
      <protection hidden="1"/>
    </xf>
    <xf numFmtId="0" fontId="21" fillId="0" borderId="12" xfId="0" applyFont="1" applyBorder="1" applyProtection="1">
      <protection hidden="1"/>
    </xf>
    <xf numFmtId="0" fontId="1" fillId="3" borderId="5" xfId="0" applyFont="1" applyFill="1" applyBorder="1" applyAlignment="1" applyProtection="1">
      <alignment horizontal="centerContinuous"/>
      <protection hidden="1"/>
    </xf>
    <xf numFmtId="0" fontId="3" fillId="0" borderId="0" xfId="0" applyFont="1" applyBorder="1" applyProtection="1">
      <protection hidden="1"/>
    </xf>
    <xf numFmtId="0" fontId="20" fillId="0" borderId="0" xfId="0" applyFont="1" applyBorder="1" applyProtection="1">
      <protection hidden="1"/>
    </xf>
    <xf numFmtId="0" fontId="5" fillId="0" borderId="8" xfId="0" applyFont="1" applyBorder="1" applyProtection="1">
      <protection hidden="1"/>
    </xf>
    <xf numFmtId="165" fontId="4" fillId="0" borderId="0" xfId="0" applyNumberFormat="1" applyFont="1" applyBorder="1" applyAlignment="1" applyProtection="1">
      <protection hidden="1"/>
    </xf>
    <xf numFmtId="165" fontId="4" fillId="0" borderId="12" xfId="0" applyNumberFormat="1" applyFont="1" applyBorder="1" applyAlignment="1" applyProtection="1">
      <protection hidden="1"/>
    </xf>
    <xf numFmtId="2" fontId="4" fillId="0" borderId="0" xfId="0" applyNumberFormat="1" applyFont="1" applyBorder="1" applyAlignment="1" applyProtection="1">
      <protection hidden="1"/>
    </xf>
    <xf numFmtId="2" fontId="4" fillId="0" borderId="12" xfId="0" applyNumberFormat="1" applyFont="1" applyBorder="1" applyAlignment="1" applyProtection="1">
      <protection hidden="1"/>
    </xf>
    <xf numFmtId="0" fontId="0" fillId="0" borderId="0" xfId="0" applyFill="1" applyProtection="1"/>
    <xf numFmtId="2" fontId="4" fillId="0" borderId="6" xfId="0" applyNumberFormat="1" applyFont="1" applyBorder="1" applyAlignment="1" applyProtection="1">
      <alignment horizontal="center"/>
      <protection hidden="1"/>
    </xf>
    <xf numFmtId="0" fontId="0" fillId="3" borderId="8" xfId="0" applyFill="1" applyBorder="1" applyProtection="1">
      <protection hidden="1"/>
    </xf>
    <xf numFmtId="0" fontId="4" fillId="0" borderId="9" xfId="0" quotePrefix="1" applyFont="1" applyBorder="1" applyAlignment="1" applyProtection="1">
      <alignment horizontal="center"/>
      <protection hidden="1"/>
    </xf>
    <xf numFmtId="0" fontId="4" fillId="0" borderId="6" xfId="0" quotePrefix="1" applyFont="1" applyBorder="1" applyAlignment="1" applyProtection="1">
      <alignment horizontal="centerContinuous"/>
      <protection hidden="1"/>
    </xf>
    <xf numFmtId="2" fontId="4" fillId="0" borderId="16" xfId="0" quotePrefix="1" applyNumberFormat="1" applyFont="1" applyBorder="1" applyAlignment="1" applyProtection="1">
      <alignment horizontal="center"/>
      <protection hidden="1"/>
    </xf>
    <xf numFmtId="2" fontId="4" fillId="0" borderId="6" xfId="0" quotePrefix="1" applyNumberFormat="1" applyFont="1" applyBorder="1" applyAlignment="1" applyProtection="1">
      <alignment horizontal="center"/>
      <protection hidden="1"/>
    </xf>
    <xf numFmtId="0" fontId="4" fillId="3" borderId="6" xfId="0" applyFont="1" applyFill="1" applyBorder="1" applyAlignment="1" applyProtection="1">
      <alignment horizontal="center"/>
      <protection hidden="1"/>
    </xf>
    <xf numFmtId="0" fontId="8" fillId="3" borderId="9" xfId="0" applyFont="1" applyFill="1" applyBorder="1" applyAlignment="1" applyProtection="1">
      <alignment horizontal="right"/>
      <protection hidden="1"/>
    </xf>
    <xf numFmtId="0" fontId="5" fillId="0" borderId="15" xfId="0" applyFont="1" applyBorder="1" applyAlignment="1" applyProtection="1">
      <alignment horizontal="center"/>
      <protection hidden="1"/>
    </xf>
    <xf numFmtId="49" fontId="4" fillId="0" borderId="5" xfId="0" applyNumberFormat="1" applyFont="1" applyBorder="1" applyAlignment="1" applyProtection="1">
      <alignment horizontal="left"/>
      <protection locked="0"/>
    </xf>
    <xf numFmtId="49" fontId="4" fillId="0" borderId="3" xfId="0" applyNumberFormat="1" applyFont="1" applyBorder="1" applyProtection="1">
      <protection locked="0"/>
    </xf>
    <xf numFmtId="49" fontId="4" fillId="0" borderId="4" xfId="0" applyNumberFormat="1" applyFont="1" applyBorder="1" applyProtection="1">
      <protection locked="0"/>
    </xf>
    <xf numFmtId="49" fontId="4" fillId="2" borderId="4" xfId="0" applyNumberFormat="1" applyFont="1" applyFill="1" applyBorder="1" applyAlignment="1" applyProtection="1">
      <alignment horizontal="center"/>
      <protection locked="0"/>
    </xf>
    <xf numFmtId="49" fontId="4" fillId="0" borderId="3" xfId="0" applyNumberFormat="1" applyFont="1" applyBorder="1" applyAlignment="1" applyProtection="1">
      <alignment horizontal="left"/>
      <protection locked="0"/>
    </xf>
    <xf numFmtId="0" fontId="5" fillId="0" borderId="13" xfId="0" applyFont="1" applyBorder="1" applyAlignment="1" applyProtection="1">
      <alignment horizontal="center"/>
      <protection hidden="1"/>
    </xf>
    <xf numFmtId="49" fontId="0" fillId="0" borderId="4" xfId="0" applyNumberFormat="1" applyBorder="1" applyProtection="1">
      <protection locked="0"/>
    </xf>
    <xf numFmtId="0" fontId="5" fillId="0" borderId="14" xfId="0" applyFont="1" applyBorder="1" applyAlignment="1" applyProtection="1">
      <alignment horizontal="center"/>
      <protection hidden="1"/>
    </xf>
    <xf numFmtId="49" fontId="4" fillId="2" borderId="13" xfId="0" applyNumberFormat="1" applyFont="1" applyFill="1" applyBorder="1" applyAlignment="1" applyProtection="1">
      <alignment horizontal="center"/>
      <protection locked="0"/>
    </xf>
    <xf numFmtId="49" fontId="4" fillId="0" borderId="10" xfId="0" applyNumberFormat="1" applyFont="1" applyBorder="1" applyProtection="1">
      <protection locked="0"/>
    </xf>
    <xf numFmtId="49" fontId="4" fillId="0" borderId="10" xfId="0" applyNumberFormat="1" applyFont="1" applyBorder="1" applyAlignment="1" applyProtection="1">
      <alignment horizontal="left"/>
      <protection locked="0"/>
    </xf>
    <xf numFmtId="0" fontId="0" fillId="0" borderId="18" xfId="0" applyBorder="1" applyAlignment="1" applyProtection="1">
      <alignment horizontal="center"/>
      <protection hidden="1"/>
    </xf>
    <xf numFmtId="0" fontId="5" fillId="2" borderId="14" xfId="0" applyFont="1" applyFill="1" applyBorder="1" applyAlignment="1" applyProtection="1">
      <alignment horizontal="center"/>
      <protection hidden="1"/>
    </xf>
    <xf numFmtId="0" fontId="6" fillId="2" borderId="14" xfId="0" applyFont="1" applyFill="1" applyBorder="1" applyAlignment="1" applyProtection="1">
      <alignment horizontal="center"/>
      <protection hidden="1"/>
    </xf>
    <xf numFmtId="49" fontId="4" fillId="2" borderId="3" xfId="0" applyNumberFormat="1" applyFont="1" applyFill="1" applyBorder="1" applyProtection="1">
      <protection locked="0"/>
    </xf>
    <xf numFmtId="49" fontId="4" fillId="2" borderId="3" xfId="0" applyNumberFormat="1" applyFont="1" applyFill="1" applyBorder="1" applyAlignment="1" applyProtection="1">
      <alignment horizontal="left"/>
      <protection locked="0"/>
    </xf>
    <xf numFmtId="49" fontId="4" fillId="2" borderId="7" xfId="0" applyNumberFormat="1" applyFont="1" applyFill="1" applyBorder="1" applyAlignment="1" applyProtection="1">
      <alignment horizontal="left"/>
      <protection locked="0"/>
    </xf>
    <xf numFmtId="49" fontId="4" fillId="2" borderId="11" xfId="0" applyNumberFormat="1" applyFont="1" applyFill="1" applyBorder="1" applyAlignment="1" applyProtection="1">
      <alignment horizontal="left"/>
      <protection locked="0"/>
    </xf>
    <xf numFmtId="49" fontId="4" fillId="0" borderId="14" xfId="0" applyNumberFormat="1" applyFont="1" applyBorder="1" applyAlignment="1" applyProtection="1">
      <alignment horizontal="left"/>
      <protection locked="0"/>
    </xf>
    <xf numFmtId="49" fontId="4" fillId="2" borderId="5" xfId="0" applyNumberFormat="1" applyFont="1" applyFill="1" applyBorder="1" applyAlignment="1" applyProtection="1">
      <alignment horizontal="left"/>
      <protection locked="0"/>
    </xf>
    <xf numFmtId="0" fontId="30" fillId="0" borderId="0" xfId="0" applyFont="1" applyBorder="1" applyAlignment="1" applyProtection="1">
      <alignment horizontal="left"/>
      <protection locked="0"/>
    </xf>
    <xf numFmtId="0" fontId="37" fillId="2" borderId="19" xfId="0" applyFont="1" applyFill="1" applyBorder="1" applyAlignment="1">
      <alignment horizontal="centerContinuous"/>
    </xf>
    <xf numFmtId="0" fontId="37" fillId="2" borderId="20" xfId="0" applyFont="1" applyFill="1" applyBorder="1" applyAlignment="1">
      <alignment horizontal="centerContinuous"/>
    </xf>
    <xf numFmtId="0" fontId="37" fillId="2" borderId="21" xfId="0" applyFont="1" applyFill="1" applyBorder="1" applyAlignment="1">
      <alignment horizontal="centerContinuous"/>
    </xf>
    <xf numFmtId="0" fontId="37" fillId="2" borderId="22" xfId="0" applyFont="1" applyFill="1" applyBorder="1" applyAlignment="1">
      <alignment horizontal="centerContinuous"/>
    </xf>
    <xf numFmtId="0" fontId="37" fillId="2" borderId="1" xfId="0" applyFont="1" applyFill="1" applyBorder="1" applyAlignment="1">
      <alignment horizontal="centerContinuous"/>
    </xf>
    <xf numFmtId="0" fontId="37" fillId="2" borderId="23" xfId="0" applyFont="1" applyFill="1" applyBorder="1" applyAlignment="1">
      <alignment horizontal="centerContinuous"/>
    </xf>
    <xf numFmtId="0" fontId="37" fillId="2" borderId="24" xfId="0" applyFont="1" applyFill="1" applyBorder="1" applyAlignment="1">
      <alignment horizontal="centerContinuous"/>
    </xf>
    <xf numFmtId="0" fontId="37" fillId="2" borderId="25" xfId="0" applyFont="1" applyFill="1" applyBorder="1" applyAlignment="1">
      <alignment horizontal="centerContinuous"/>
    </xf>
    <xf numFmtId="0" fontId="37" fillId="2" borderId="26" xfId="0" applyFont="1" applyFill="1" applyBorder="1" applyAlignment="1">
      <alignment horizontal="centerContinuous"/>
    </xf>
    <xf numFmtId="0" fontId="37" fillId="2" borderId="27" xfId="0" applyFont="1" applyFill="1" applyBorder="1" applyAlignment="1">
      <alignment horizontal="centerContinuous"/>
    </xf>
    <xf numFmtId="0" fontId="37" fillId="2" borderId="28" xfId="0" applyFont="1" applyFill="1" applyBorder="1" applyAlignment="1">
      <alignment horizontal="centerContinuous"/>
    </xf>
    <xf numFmtId="0" fontId="37" fillId="2" borderId="29" xfId="0" applyFont="1" applyFill="1" applyBorder="1" applyAlignment="1">
      <alignment horizontal="centerContinuous"/>
    </xf>
    <xf numFmtId="0" fontId="0" fillId="2" borderId="21" xfId="0" applyFill="1" applyBorder="1" applyAlignment="1">
      <alignment horizontal="centerContinuous"/>
    </xf>
    <xf numFmtId="0" fontId="4" fillId="4" borderId="30" xfId="0" applyFont="1" applyFill="1" applyBorder="1" applyAlignment="1" applyProtection="1">
      <alignment horizontal="center"/>
      <protection locked="0"/>
    </xf>
    <xf numFmtId="0" fontId="4" fillId="4" borderId="31" xfId="0" applyFont="1" applyFill="1" applyBorder="1" applyAlignment="1" applyProtection="1">
      <alignment horizontal="center"/>
      <protection locked="0"/>
    </xf>
    <xf numFmtId="2" fontId="4" fillId="4" borderId="31" xfId="0" applyNumberFormat="1" applyFont="1" applyFill="1" applyBorder="1" applyAlignment="1" applyProtection="1">
      <alignment horizontal="center"/>
      <protection locked="0"/>
    </xf>
    <xf numFmtId="2" fontId="4" fillId="4" borderId="32" xfId="0" applyNumberFormat="1" applyFont="1" applyFill="1" applyBorder="1" applyAlignment="1" applyProtection="1">
      <alignment horizontal="center"/>
      <protection locked="0"/>
    </xf>
    <xf numFmtId="2" fontId="4" fillId="2" borderId="30" xfId="0" applyNumberFormat="1" applyFont="1" applyFill="1" applyBorder="1" applyAlignment="1" applyProtection="1">
      <alignment horizontal="center"/>
      <protection hidden="1"/>
    </xf>
    <xf numFmtId="2" fontId="4" fillId="2" borderId="32" xfId="0" applyNumberFormat="1" applyFont="1" applyFill="1" applyBorder="1" applyAlignment="1" applyProtection="1">
      <alignment horizontal="center"/>
      <protection hidden="1"/>
    </xf>
    <xf numFmtId="2" fontId="4" fillId="0" borderId="30" xfId="0" applyNumberFormat="1" applyFont="1" applyFill="1" applyBorder="1" applyAlignment="1" applyProtection="1">
      <alignment horizontal="center"/>
      <protection hidden="1"/>
    </xf>
    <xf numFmtId="2" fontId="4" fillId="0" borderId="31" xfId="0" applyNumberFormat="1" applyFont="1" applyFill="1" applyBorder="1" applyAlignment="1" applyProtection="1">
      <alignment horizontal="center"/>
      <protection hidden="1"/>
    </xf>
    <xf numFmtId="2" fontId="4" fillId="0" borderId="32" xfId="0" applyNumberFormat="1" applyFont="1" applyFill="1" applyBorder="1" applyAlignment="1" applyProtection="1">
      <alignment horizontal="center"/>
      <protection hidden="1"/>
    </xf>
    <xf numFmtId="2" fontId="4" fillId="0" borderId="30" xfId="0" applyNumberFormat="1" applyFont="1" applyBorder="1" applyAlignment="1" applyProtection="1">
      <alignment horizontal="center"/>
      <protection hidden="1"/>
    </xf>
    <xf numFmtId="2" fontId="4" fillId="2" borderId="31" xfId="0" applyNumberFormat="1" applyFont="1" applyFill="1" applyBorder="1" applyAlignment="1" applyProtection="1">
      <alignment horizontal="center"/>
      <protection hidden="1"/>
    </xf>
    <xf numFmtId="2" fontId="4" fillId="0" borderId="32" xfId="0" applyNumberFormat="1" applyFont="1" applyBorder="1" applyAlignment="1" applyProtection="1">
      <alignment horizontal="center"/>
      <protection hidden="1"/>
    </xf>
    <xf numFmtId="0" fontId="4" fillId="4" borderId="32" xfId="0" applyFont="1" applyFill="1" applyBorder="1" applyAlignment="1" applyProtection="1">
      <alignment horizontal="center"/>
      <protection locked="0"/>
    </xf>
    <xf numFmtId="1" fontId="4" fillId="0" borderId="31" xfId="0" applyNumberFormat="1" applyFont="1" applyBorder="1" applyAlignment="1" applyProtection="1">
      <alignment horizontal="center"/>
      <protection hidden="1"/>
    </xf>
    <xf numFmtId="2" fontId="4" fillId="0" borderId="31" xfId="0" applyNumberFormat="1" applyFont="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31" xfId="0" applyFill="1" applyBorder="1" applyAlignment="1" applyProtection="1">
      <alignment horizontal="center"/>
      <protection hidden="1"/>
    </xf>
    <xf numFmtId="0" fontId="0" fillId="3" borderId="32" xfId="0" applyFill="1" applyBorder="1" applyAlignment="1" applyProtection="1">
      <alignment horizontal="center"/>
      <protection hidden="1"/>
    </xf>
    <xf numFmtId="2" fontId="4" fillId="0" borderId="33" xfId="0" applyNumberFormat="1" applyFont="1" applyFill="1" applyBorder="1" applyAlignment="1" applyProtection="1">
      <alignment horizontal="center"/>
      <protection hidden="1"/>
    </xf>
    <xf numFmtId="2" fontId="4" fillId="0" borderId="34" xfId="0" applyNumberFormat="1" applyFont="1" applyFill="1" applyBorder="1" applyAlignment="1" applyProtection="1">
      <alignment horizontal="center"/>
      <protection hidden="1"/>
    </xf>
    <xf numFmtId="2" fontId="4" fillId="0" borderId="35" xfId="0" applyNumberFormat="1" applyFont="1" applyFill="1" applyBorder="1" applyAlignment="1" applyProtection="1">
      <alignment horizontal="center"/>
      <protection hidden="1"/>
    </xf>
    <xf numFmtId="2" fontId="4" fillId="0" borderId="33" xfId="0" applyNumberFormat="1" applyFont="1" applyBorder="1" applyAlignment="1" applyProtection="1">
      <alignment horizontal="center"/>
      <protection hidden="1"/>
    </xf>
    <xf numFmtId="2" fontId="4" fillId="0" borderId="34" xfId="0" applyNumberFormat="1" applyFont="1" applyBorder="1" applyAlignment="1" applyProtection="1">
      <alignment horizontal="center"/>
      <protection hidden="1"/>
    </xf>
    <xf numFmtId="2" fontId="4" fillId="0" borderId="35" xfId="0" applyNumberFormat="1" applyFont="1" applyBorder="1" applyAlignment="1" applyProtection="1">
      <alignment horizontal="center"/>
      <protection hidden="1"/>
    </xf>
    <xf numFmtId="165" fontId="4" fillId="4" borderId="31" xfId="0" applyNumberFormat="1" applyFont="1" applyFill="1" applyBorder="1" applyAlignment="1" applyProtection="1">
      <alignment horizontal="center"/>
      <protection locked="0"/>
    </xf>
    <xf numFmtId="164" fontId="4" fillId="4" borderId="32" xfId="0" applyNumberFormat="1" applyFont="1" applyFill="1" applyBorder="1" applyAlignment="1" applyProtection="1">
      <alignment horizontal="center"/>
      <protection locked="0"/>
    </xf>
    <xf numFmtId="165" fontId="4" fillId="0" borderId="31" xfId="0" applyNumberFormat="1" applyFont="1" applyBorder="1" applyAlignment="1" applyProtection="1">
      <alignment horizontal="center"/>
      <protection hidden="1"/>
    </xf>
    <xf numFmtId="165" fontId="4" fillId="0" borderId="32" xfId="0" applyNumberFormat="1" applyFont="1" applyBorder="1" applyAlignment="1" applyProtection="1">
      <alignment horizontal="center"/>
      <protection hidden="1"/>
    </xf>
    <xf numFmtId="0" fontId="4" fillId="0" borderId="30" xfId="0" applyFont="1" applyFill="1" applyBorder="1" applyAlignment="1" applyProtection="1">
      <alignment horizontal="center"/>
      <protection hidden="1"/>
    </xf>
    <xf numFmtId="2" fontId="4" fillId="0" borderId="30" xfId="0" quotePrefix="1" applyNumberFormat="1" applyFont="1" applyBorder="1" applyAlignment="1" applyProtection="1">
      <alignment horizontal="center"/>
      <protection hidden="1"/>
    </xf>
    <xf numFmtId="0" fontId="4" fillId="0" borderId="31" xfId="0" applyFont="1" applyBorder="1" applyAlignment="1" applyProtection="1">
      <alignment horizontal="center"/>
      <protection hidden="1"/>
    </xf>
    <xf numFmtId="0" fontId="4" fillId="0" borderId="32" xfId="0" applyFont="1" applyBorder="1" applyAlignment="1" applyProtection="1">
      <alignment horizontal="center"/>
      <protection hidden="1"/>
    </xf>
    <xf numFmtId="165" fontId="4" fillId="0" borderId="30" xfId="0" applyNumberFormat="1" applyFont="1" applyBorder="1" applyAlignment="1" applyProtection="1">
      <alignment horizontal="center"/>
      <protection hidden="1"/>
    </xf>
    <xf numFmtId="1" fontId="4" fillId="0" borderId="32" xfId="0" applyNumberFormat="1" applyFont="1" applyBorder="1" applyAlignment="1" applyProtection="1">
      <alignment horizontal="center"/>
      <protection hidden="1"/>
    </xf>
    <xf numFmtId="165" fontId="4" fillId="0" borderId="31" xfId="0" quotePrefix="1" applyNumberFormat="1" applyFont="1" applyBorder="1" applyAlignment="1" applyProtection="1">
      <alignment horizontal="center"/>
      <protection hidden="1"/>
    </xf>
    <xf numFmtId="165" fontId="4" fillId="2" borderId="30" xfId="0" applyNumberFormat="1" applyFont="1" applyFill="1" applyBorder="1" applyAlignment="1" applyProtection="1">
      <alignment horizontal="center"/>
      <protection hidden="1"/>
    </xf>
    <xf numFmtId="165" fontId="4" fillId="2" borderId="31" xfId="0" applyNumberFormat="1" applyFont="1" applyFill="1" applyBorder="1" applyAlignment="1" applyProtection="1">
      <alignment horizontal="center"/>
      <protection hidden="1"/>
    </xf>
    <xf numFmtId="164" fontId="4" fillId="4" borderId="31" xfId="0" applyNumberFormat="1" applyFont="1" applyFill="1" applyBorder="1" applyAlignment="1" applyProtection="1">
      <alignment horizontal="center"/>
      <protection locked="0"/>
    </xf>
    <xf numFmtId="0" fontId="39" fillId="2" borderId="0" xfId="0" applyFont="1" applyFill="1" applyBorder="1" applyAlignment="1" applyProtection="1">
      <alignment horizontal="center"/>
      <protection hidden="1"/>
    </xf>
    <xf numFmtId="14" fontId="0" fillId="2" borderId="11" xfId="0" applyNumberFormat="1" applyFill="1" applyBorder="1" applyAlignment="1" applyProtection="1">
      <alignment horizontal="center"/>
      <protection hidden="1"/>
    </xf>
    <xf numFmtId="18" fontId="0" fillId="2" borderId="12" xfId="0" applyNumberFormat="1" applyFill="1" applyBorder="1" applyAlignment="1" applyProtection="1">
      <alignment horizontal="center"/>
      <protection hidden="1"/>
    </xf>
    <xf numFmtId="0" fontId="4" fillId="2" borderId="0" xfId="0" applyFont="1" applyFill="1" applyBorder="1" applyProtection="1">
      <protection locked="0"/>
    </xf>
    <xf numFmtId="0" fontId="4" fillId="0" borderId="14" xfId="0" applyFont="1" applyBorder="1" applyAlignment="1" applyProtection="1">
      <alignment horizontal="left"/>
      <protection locked="0"/>
    </xf>
    <xf numFmtId="0" fontId="4" fillId="2" borderId="14" xfId="0" applyFont="1" applyFill="1" applyBorder="1" applyAlignment="1" applyProtection="1">
      <alignment horizontal="left"/>
      <protection locked="0"/>
    </xf>
    <xf numFmtId="0" fontId="0" fillId="2" borderId="7" xfId="0" applyFill="1" applyBorder="1" applyAlignment="1" applyProtection="1">
      <alignment horizontal="center"/>
      <protection hidden="1"/>
    </xf>
    <xf numFmtId="0" fontId="4" fillId="2" borderId="12" xfId="0" applyFont="1" applyFill="1" applyBorder="1" applyAlignment="1" applyProtection="1">
      <alignment horizontal="center"/>
      <protection hidden="1"/>
    </xf>
    <xf numFmtId="49" fontId="4" fillId="2" borderId="14" xfId="0" applyNumberFormat="1" applyFont="1" applyFill="1" applyBorder="1" applyAlignment="1" applyProtection="1">
      <alignment horizontal="left"/>
      <protection locked="0"/>
    </xf>
    <xf numFmtId="0" fontId="31" fillId="0" borderId="0" xfId="0" applyFont="1" applyAlignment="1">
      <alignment horizontal="center"/>
    </xf>
    <xf numFmtId="0" fontId="40" fillId="3" borderId="6" xfId="0" applyFont="1" applyFill="1" applyBorder="1" applyAlignment="1" applyProtection="1">
      <alignment horizontal="center"/>
      <protection hidden="1"/>
    </xf>
    <xf numFmtId="0" fontId="40" fillId="3" borderId="16" xfId="0" applyFont="1" applyFill="1" applyBorder="1" applyAlignment="1" applyProtection="1">
      <alignment horizontal="center"/>
      <protection hidden="1"/>
    </xf>
    <xf numFmtId="0" fontId="40" fillId="3" borderId="8" xfId="0" applyFont="1" applyFill="1" applyBorder="1" applyAlignment="1" applyProtection="1">
      <alignment horizontal="center"/>
      <protection hidden="1"/>
    </xf>
    <xf numFmtId="0" fontId="40" fillId="3" borderId="18" xfId="0" applyFont="1" applyFill="1" applyBorder="1" applyAlignment="1" applyProtection="1">
      <alignment horizontal="center"/>
      <protection hidden="1"/>
    </xf>
    <xf numFmtId="2" fontId="31" fillId="4" borderId="31" xfId="0" applyNumberFormat="1" applyFont="1" applyFill="1" applyBorder="1" applyAlignment="1" applyProtection="1">
      <alignment horizontal="center"/>
      <protection locked="0"/>
    </xf>
    <xf numFmtId="0" fontId="43" fillId="4" borderId="31" xfId="0" applyFont="1" applyFill="1" applyBorder="1" applyAlignment="1" applyProtection="1">
      <alignment horizontal="center"/>
      <protection locked="0"/>
    </xf>
    <xf numFmtId="0" fontId="46" fillId="0" borderId="12" xfId="0" applyFont="1" applyBorder="1" applyProtection="1">
      <protection hidden="1"/>
    </xf>
    <xf numFmtId="2" fontId="46" fillId="0" borderId="12" xfId="0" applyNumberFormat="1" applyFont="1" applyBorder="1" applyAlignment="1" applyProtection="1">
      <alignment horizontal="left"/>
      <protection hidden="1"/>
    </xf>
    <xf numFmtId="0" fontId="43" fillId="0" borderId="0" xfId="0" applyFont="1" applyAlignment="1" applyProtection="1">
      <alignment horizontal="center"/>
    </xf>
    <xf numFmtId="0" fontId="46" fillId="0" borderId="0" xfId="0" applyFont="1" applyBorder="1" applyProtection="1">
      <protection hidden="1"/>
    </xf>
    <xf numFmtId="0" fontId="47" fillId="4" borderId="31" xfId="0" applyFont="1" applyFill="1" applyBorder="1" applyAlignment="1" applyProtection="1">
      <alignment horizontal="center"/>
      <protection locked="0"/>
    </xf>
    <xf numFmtId="0" fontId="21" fillId="3" borderId="3" xfId="0" applyFont="1" applyFill="1" applyBorder="1" applyAlignment="1" applyProtection="1">
      <alignment horizontal="centerContinuous"/>
      <protection hidden="1"/>
    </xf>
    <xf numFmtId="0" fontId="42" fillId="0" borderId="0" xfId="0" applyFont="1" applyBorder="1" applyProtection="1">
      <protection hidden="1"/>
    </xf>
    <xf numFmtId="0" fontId="5" fillId="3" borderId="3" xfId="0" applyFont="1" applyFill="1" applyBorder="1" applyAlignment="1" applyProtection="1">
      <alignment horizontal="centerContinuous"/>
      <protection hidden="1"/>
    </xf>
    <xf numFmtId="0" fontId="0" fillId="3" borderId="14" xfId="0" applyFill="1" applyBorder="1" applyAlignment="1" applyProtection="1">
      <alignment horizontal="center"/>
      <protection hidden="1"/>
    </xf>
    <xf numFmtId="0" fontId="6" fillId="2" borderId="0" xfId="0" applyFont="1" applyFill="1" applyBorder="1" applyAlignment="1" applyProtection="1">
      <protection hidden="1"/>
    </xf>
    <xf numFmtId="0" fontId="0" fillId="0" borderId="11" xfId="0" applyBorder="1" applyProtection="1">
      <protection hidden="1"/>
    </xf>
    <xf numFmtId="0" fontId="0" fillId="2" borderId="8" xfId="0" applyFill="1" applyBorder="1" applyProtection="1">
      <protection hidden="1"/>
    </xf>
    <xf numFmtId="14" fontId="0" fillId="2" borderId="12" xfId="0" applyNumberFormat="1" applyFill="1" applyBorder="1" applyAlignment="1" applyProtection="1">
      <alignment horizontal="center"/>
      <protection hidden="1"/>
    </xf>
    <xf numFmtId="0" fontId="0" fillId="2" borderId="10" xfId="0" applyFill="1" applyBorder="1" applyAlignment="1" applyProtection="1">
      <alignment horizontal="center"/>
      <protection hidden="1"/>
    </xf>
    <xf numFmtId="18" fontId="0" fillId="2" borderId="13" xfId="0" applyNumberFormat="1" applyFill="1" applyBorder="1" applyAlignment="1" applyProtection="1">
      <alignment horizontal="center"/>
      <protection hidden="1"/>
    </xf>
    <xf numFmtId="0" fontId="2" fillId="0" borderId="7" xfId="0" applyFont="1" applyBorder="1" applyProtection="1">
      <protection hidden="1"/>
    </xf>
    <xf numFmtId="0" fontId="2" fillId="0" borderId="11" xfId="0" applyFont="1" applyBorder="1" applyProtection="1">
      <protection hidden="1"/>
    </xf>
    <xf numFmtId="0" fontId="40" fillId="0" borderId="0" xfId="0" applyFont="1" applyBorder="1" applyAlignment="1" applyProtection="1">
      <protection hidden="1"/>
    </xf>
    <xf numFmtId="0" fontId="40" fillId="0" borderId="12" xfId="0" applyFont="1" applyBorder="1" applyAlignment="1" applyProtection="1">
      <protection hidden="1"/>
    </xf>
    <xf numFmtId="0" fontId="31" fillId="0" borderId="12" xfId="0" applyFont="1" applyBorder="1" applyAlignment="1" applyProtection="1">
      <alignment horizontal="left"/>
      <protection hidden="1"/>
    </xf>
    <xf numFmtId="0" fontId="3" fillId="0" borderId="6" xfId="0" applyFont="1" applyBorder="1" applyAlignment="1" applyProtection="1">
      <alignment horizontal="left"/>
      <protection hidden="1"/>
    </xf>
    <xf numFmtId="0" fontId="49" fillId="0" borderId="8" xfId="0" applyFont="1" applyBorder="1" applyAlignment="1" applyProtection="1">
      <alignment horizontal="left"/>
      <protection hidden="1"/>
    </xf>
    <xf numFmtId="0" fontId="3" fillId="0" borderId="8" xfId="0" applyFont="1" applyBorder="1" applyAlignment="1" applyProtection="1">
      <alignment horizontal="left"/>
      <protection hidden="1"/>
    </xf>
    <xf numFmtId="0" fontId="20" fillId="0" borderId="8" xfId="0" applyFont="1" applyBorder="1" applyProtection="1">
      <protection hidden="1"/>
    </xf>
    <xf numFmtId="0" fontId="40" fillId="0" borderId="0" xfId="0" applyFont="1" applyBorder="1" applyAlignment="1" applyProtection="1">
      <alignment horizontal="left"/>
      <protection hidden="1"/>
    </xf>
    <xf numFmtId="0" fontId="40" fillId="0" borderId="8" xfId="0" applyFont="1" applyBorder="1" applyProtection="1">
      <protection hidden="1"/>
    </xf>
    <xf numFmtId="0" fontId="40" fillId="3" borderId="31" xfId="0" applyFont="1" applyFill="1" applyBorder="1" applyAlignment="1" applyProtection="1">
      <alignment horizontal="center"/>
      <protection hidden="1"/>
    </xf>
    <xf numFmtId="0" fontId="40" fillId="3" borderId="32" xfId="0" applyFont="1" applyFill="1" applyBorder="1" applyAlignment="1" applyProtection="1">
      <alignment horizontal="center"/>
      <protection hidden="1"/>
    </xf>
    <xf numFmtId="2" fontId="31" fillId="0" borderId="31" xfId="0" applyNumberFormat="1" applyFont="1" applyBorder="1" applyAlignment="1" applyProtection="1">
      <alignment horizontal="center"/>
      <protection hidden="1"/>
    </xf>
    <xf numFmtId="2" fontId="31" fillId="0" borderId="32" xfId="0" applyNumberFormat="1" applyFont="1" applyBorder="1" applyAlignment="1" applyProtection="1">
      <alignment horizontal="center"/>
      <protection hidden="1"/>
    </xf>
    <xf numFmtId="2" fontId="31" fillId="0" borderId="33" xfId="0" quotePrefix="1" applyNumberFormat="1" applyFont="1" applyBorder="1" applyAlignment="1" applyProtection="1">
      <alignment horizontal="center"/>
      <protection hidden="1"/>
    </xf>
    <xf numFmtId="2" fontId="31" fillId="0" borderId="34" xfId="0" quotePrefix="1" applyNumberFormat="1" applyFont="1" applyBorder="1" applyAlignment="1" applyProtection="1">
      <alignment horizontal="center"/>
      <protection hidden="1"/>
    </xf>
    <xf numFmtId="2" fontId="31" fillId="0" borderId="34" xfId="0" applyNumberFormat="1" applyFont="1" applyBorder="1" applyAlignment="1" applyProtection="1">
      <alignment horizontal="center"/>
      <protection hidden="1"/>
    </xf>
    <xf numFmtId="2" fontId="31" fillId="0" borderId="30" xfId="0" applyNumberFormat="1" applyFont="1" applyBorder="1" applyAlignment="1" applyProtection="1">
      <alignment horizontal="center"/>
      <protection hidden="1"/>
    </xf>
    <xf numFmtId="0" fontId="40" fillId="3" borderId="30" xfId="0" applyFont="1" applyFill="1" applyBorder="1" applyAlignment="1" applyProtection="1">
      <alignment horizontal="center"/>
      <protection hidden="1"/>
    </xf>
    <xf numFmtId="0" fontId="5" fillId="0" borderId="0" xfId="0" applyFont="1" applyBorder="1" applyProtection="1">
      <protection hidden="1"/>
    </xf>
    <xf numFmtId="0" fontId="0" fillId="3" borderId="15" xfId="0" applyFill="1" applyBorder="1" applyProtection="1">
      <protection hidden="1"/>
    </xf>
    <xf numFmtId="0" fontId="5" fillId="3" borderId="32"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10" xfId="0" applyFill="1" applyBorder="1" applyAlignment="1" applyProtection="1">
      <alignment horizontal="center"/>
      <protection hidden="1"/>
    </xf>
    <xf numFmtId="0" fontId="2" fillId="0" borderId="8" xfId="0" applyFont="1" applyBorder="1" applyProtection="1">
      <protection hidden="1"/>
    </xf>
    <xf numFmtId="0" fontId="2" fillId="0" borderId="0" xfId="0" applyFont="1" applyBorder="1" applyProtection="1">
      <protection hidden="1"/>
    </xf>
    <xf numFmtId="0" fontId="2" fillId="0" borderId="12" xfId="0" applyFont="1" applyBorder="1" applyProtection="1">
      <protection hidden="1"/>
    </xf>
    <xf numFmtId="0" fontId="2" fillId="0" borderId="0" xfId="0" applyFont="1" applyBorder="1" applyAlignment="1" applyProtection="1">
      <alignment horizontal="centerContinuous"/>
      <protection hidden="1"/>
    </xf>
    <xf numFmtId="0" fontId="2" fillId="0" borderId="12" xfId="0" applyFont="1" applyBorder="1" applyAlignment="1" applyProtection="1">
      <alignment horizontal="centerContinuous"/>
      <protection hidden="1"/>
    </xf>
    <xf numFmtId="0" fontId="2" fillId="0" borderId="8" xfId="0" applyFont="1" applyBorder="1" applyAlignment="1" applyProtection="1">
      <alignment horizontal="left"/>
      <protection hidden="1"/>
    </xf>
    <xf numFmtId="0" fontId="2" fillId="0" borderId="0" xfId="0" applyFont="1" applyBorder="1" applyAlignment="1" applyProtection="1">
      <alignment horizontal="left"/>
      <protection hidden="1"/>
    </xf>
    <xf numFmtId="0" fontId="2" fillId="0" borderId="12" xfId="0" applyFont="1" applyBorder="1" applyAlignment="1" applyProtection="1">
      <alignment horizontal="left"/>
      <protection hidden="1"/>
    </xf>
    <xf numFmtId="0" fontId="2" fillId="0" borderId="0" xfId="0" applyFont="1" applyBorder="1" applyAlignment="1" applyProtection="1">
      <alignment horizontal="center"/>
      <protection hidden="1"/>
    </xf>
    <xf numFmtId="14" fontId="2" fillId="0" borderId="12" xfId="0" applyNumberFormat="1" applyFont="1" applyBorder="1" applyAlignment="1" applyProtection="1">
      <alignment horizontal="center"/>
      <protection hidden="1"/>
    </xf>
    <xf numFmtId="18" fontId="2" fillId="0" borderId="12" xfId="0" applyNumberFormat="1" applyFont="1" applyBorder="1" applyAlignment="1" applyProtection="1">
      <alignment horizontal="center"/>
      <protection hidden="1"/>
    </xf>
    <xf numFmtId="0" fontId="2" fillId="0" borderId="9" xfId="0" applyFont="1" applyBorder="1" applyProtection="1">
      <protection hidden="1"/>
    </xf>
    <xf numFmtId="0" fontId="2" fillId="0" borderId="10" xfId="0" applyFont="1" applyBorder="1" applyProtection="1">
      <protection hidden="1"/>
    </xf>
    <xf numFmtId="0" fontId="2" fillId="0" borderId="13" xfId="0" applyFont="1" applyBorder="1" applyProtection="1">
      <protection hidden="1"/>
    </xf>
    <xf numFmtId="0" fontId="40" fillId="0" borderId="8" xfId="0" applyFont="1" applyBorder="1" applyAlignment="1" applyProtection="1">
      <alignment horizontal="right"/>
      <protection hidden="1"/>
    </xf>
    <xf numFmtId="0" fontId="0" fillId="0" borderId="15" xfId="0" applyBorder="1" applyAlignment="1" applyProtection="1">
      <alignment horizontal="center"/>
      <protection hidden="1"/>
    </xf>
    <xf numFmtId="49" fontId="4" fillId="0" borderId="9" xfId="0" applyNumberFormat="1" applyFont="1" applyBorder="1" applyAlignment="1" applyProtection="1">
      <alignment horizontal="left"/>
      <protection locked="0"/>
    </xf>
    <xf numFmtId="49" fontId="4" fillId="0" borderId="13" xfId="0" applyNumberFormat="1" applyFont="1" applyBorder="1" applyProtection="1">
      <protection locked="0"/>
    </xf>
    <xf numFmtId="2" fontId="4" fillId="0" borderId="0" xfId="0" applyNumberFormat="1" applyFont="1" applyAlignment="1">
      <alignment horizontal="center"/>
    </xf>
    <xf numFmtId="18" fontId="0" fillId="2" borderId="11" xfId="0" applyNumberFormat="1" applyFill="1" applyBorder="1" applyAlignment="1" applyProtection="1">
      <alignment horizontal="center"/>
      <protection hidden="1"/>
    </xf>
    <xf numFmtId="14" fontId="0" fillId="2" borderId="13" xfId="0" applyNumberFormat="1" applyFill="1" applyBorder="1" applyAlignment="1" applyProtection="1">
      <alignment horizontal="center"/>
      <protection hidden="1"/>
    </xf>
    <xf numFmtId="0" fontId="51" fillId="3" borderId="30" xfId="0" applyFont="1" applyFill="1" applyBorder="1" applyAlignment="1" applyProtection="1">
      <alignment horizontal="center"/>
      <protection hidden="1"/>
    </xf>
    <xf numFmtId="0" fontId="51" fillId="3" borderId="31" xfId="0" applyFont="1" applyFill="1" applyBorder="1" applyAlignment="1" applyProtection="1">
      <alignment horizontal="center"/>
      <protection hidden="1"/>
    </xf>
    <xf numFmtId="0" fontId="51" fillId="3" borderId="32" xfId="0" applyFont="1" applyFill="1" applyBorder="1" applyAlignment="1" applyProtection="1">
      <alignment horizontal="center"/>
      <protection hidden="1"/>
    </xf>
    <xf numFmtId="0" fontId="48" fillId="0" borderId="8" xfId="0" applyFont="1" applyBorder="1" applyAlignment="1" applyProtection="1">
      <alignment horizontal="right"/>
      <protection hidden="1"/>
    </xf>
    <xf numFmtId="0" fontId="31" fillId="0" borderId="12" xfId="0" applyFont="1" applyBorder="1" applyProtection="1">
      <protection hidden="1"/>
    </xf>
    <xf numFmtId="0" fontId="4" fillId="2" borderId="0" xfId="0" applyFont="1" applyFill="1" applyBorder="1" applyProtection="1">
      <protection hidden="1"/>
    </xf>
    <xf numFmtId="0" fontId="31" fillId="0" borderId="0" xfId="0" applyFont="1" applyBorder="1" applyProtection="1">
      <protection hidden="1"/>
    </xf>
    <xf numFmtId="0" fontId="3" fillId="0" borderId="0" xfId="0" applyFont="1" applyBorder="1" applyAlignment="1" applyProtection="1">
      <protection hidden="1"/>
    </xf>
    <xf numFmtId="0" fontId="3" fillId="0" borderId="0" xfId="0" applyFont="1" applyBorder="1" applyAlignment="1" applyProtection="1">
      <alignment horizontal="left"/>
      <protection hidden="1"/>
    </xf>
    <xf numFmtId="14" fontId="4" fillId="2" borderId="11" xfId="0" applyNumberFormat="1" applyFont="1" applyFill="1" applyBorder="1" applyAlignment="1" applyProtection="1">
      <alignment horizontal="center"/>
      <protection hidden="1"/>
    </xf>
    <xf numFmtId="0" fontId="21" fillId="0" borderId="0" xfId="0" applyFont="1" applyProtection="1"/>
    <xf numFmtId="0" fontId="31" fillId="4" borderId="30" xfId="0" applyFont="1" applyFill="1" applyBorder="1" applyAlignment="1" applyProtection="1">
      <alignment horizontal="center"/>
      <protection locked="0"/>
    </xf>
    <xf numFmtId="2" fontId="31" fillId="4" borderId="32" xfId="0" applyNumberFormat="1" applyFont="1" applyFill="1" applyBorder="1" applyAlignment="1" applyProtection="1">
      <alignment horizontal="center"/>
      <protection locked="0"/>
    </xf>
    <xf numFmtId="0" fontId="0" fillId="0" borderId="0" xfId="0" applyAlignment="1" applyProtection="1">
      <alignment horizontal="left"/>
    </xf>
    <xf numFmtId="0" fontId="52" fillId="2" borderId="0" xfId="0" applyFont="1" applyFill="1"/>
    <xf numFmtId="0" fontId="5" fillId="0" borderId="0" xfId="0" applyFont="1" applyBorder="1" applyAlignment="1" applyProtection="1">
      <alignment horizontal="left"/>
      <protection hidden="1"/>
    </xf>
    <xf numFmtId="0" fontId="57" fillId="0" borderId="8" xfId="0" applyFont="1" applyBorder="1" applyAlignment="1" applyProtection="1">
      <alignment horizontal="centerContinuous"/>
      <protection hidden="1"/>
    </xf>
    <xf numFmtId="0" fontId="40" fillId="0" borderId="0" xfId="0" applyFont="1" applyBorder="1" applyAlignment="1" applyProtection="1">
      <alignment horizontal="centerContinuous"/>
      <protection hidden="1"/>
    </xf>
    <xf numFmtId="0" fontId="58" fillId="0" borderId="0" xfId="0" applyFont="1" applyBorder="1" applyAlignment="1" applyProtection="1">
      <alignment horizontal="centerContinuous"/>
      <protection hidden="1"/>
    </xf>
    <xf numFmtId="0" fontId="40" fillId="0" borderId="12" xfId="0" applyFont="1" applyBorder="1" applyAlignment="1" applyProtection="1">
      <alignment horizontal="centerContinuous"/>
      <protection hidden="1"/>
    </xf>
    <xf numFmtId="0" fontId="4" fillId="2" borderId="0" xfId="0" applyFont="1" applyFill="1" applyBorder="1" applyAlignment="1" applyProtection="1">
      <protection hidden="1"/>
    </xf>
    <xf numFmtId="0" fontId="6" fillId="2" borderId="0" xfId="0" applyFont="1" applyFill="1" applyBorder="1" applyAlignment="1" applyProtection="1">
      <alignment vertical="justify"/>
      <protection hidden="1"/>
    </xf>
    <xf numFmtId="0" fontId="0" fillId="2" borderId="15" xfId="0" applyFill="1" applyBorder="1" applyAlignment="1" applyProtection="1">
      <alignment horizontal="center"/>
      <protection hidden="1"/>
    </xf>
    <xf numFmtId="49" fontId="4" fillId="2" borderId="9" xfId="0" applyNumberFormat="1" applyFont="1" applyFill="1" applyBorder="1" applyAlignment="1" applyProtection="1">
      <protection locked="0"/>
    </xf>
    <xf numFmtId="49" fontId="4" fillId="2" borderId="10" xfId="0" applyNumberFormat="1" applyFont="1" applyFill="1" applyBorder="1" applyAlignment="1" applyProtection="1">
      <protection locked="0"/>
    </xf>
    <xf numFmtId="0" fontId="6" fillId="2" borderId="15" xfId="0" applyFont="1" applyFill="1" applyBorder="1" applyAlignment="1" applyProtection="1">
      <alignment horizontal="center"/>
      <protection hidden="1"/>
    </xf>
    <xf numFmtId="0" fontId="4" fillId="2" borderId="5" xfId="0" applyFont="1" applyFill="1" applyBorder="1" applyAlignment="1" applyProtection="1">
      <protection locked="0"/>
    </xf>
    <xf numFmtId="0" fontId="4" fillId="2" borderId="3" xfId="0" applyFont="1" applyFill="1" applyBorder="1" applyAlignment="1" applyProtection="1">
      <protection locked="0"/>
    </xf>
    <xf numFmtId="0" fontId="4" fillId="2" borderId="4" xfId="0" applyFont="1" applyFill="1" applyBorder="1" applyAlignment="1" applyProtection="1">
      <protection locked="0"/>
    </xf>
    <xf numFmtId="49" fontId="4" fillId="2" borderId="3" xfId="0" applyNumberFormat="1" applyFont="1" applyFill="1" applyBorder="1" applyAlignment="1" applyProtection="1">
      <protection locked="0"/>
    </xf>
    <xf numFmtId="0" fontId="4" fillId="2" borderId="4" xfId="0" applyFont="1" applyFill="1" applyBorder="1" applyProtection="1">
      <protection locked="0"/>
    </xf>
    <xf numFmtId="0" fontId="6" fillId="2" borderId="4" xfId="0" applyFont="1" applyFill="1" applyBorder="1" applyAlignment="1" applyProtection="1">
      <alignment horizontal="center"/>
      <protection hidden="1"/>
    </xf>
    <xf numFmtId="0" fontId="40" fillId="2" borderId="8" xfId="0" applyFont="1" applyFill="1" applyBorder="1" applyAlignment="1" applyProtection="1">
      <protection hidden="1"/>
    </xf>
    <xf numFmtId="0" fontId="20" fillId="2" borderId="0" xfId="0" applyFont="1" applyFill="1" applyBorder="1" applyAlignment="1" applyProtection="1">
      <protection hidden="1"/>
    </xf>
    <xf numFmtId="165" fontId="4" fillId="2" borderId="0" xfId="0" applyNumberFormat="1" applyFont="1" applyFill="1" applyBorder="1" applyAlignment="1" applyProtection="1">
      <protection hidden="1"/>
    </xf>
    <xf numFmtId="2" fontId="4" fillId="2" borderId="0" xfId="0" applyNumberFormat="1" applyFont="1" applyFill="1" applyBorder="1" applyAlignment="1" applyProtection="1">
      <protection hidden="1"/>
    </xf>
    <xf numFmtId="0" fontId="0" fillId="2" borderId="0" xfId="0" applyFill="1" applyBorder="1" applyAlignment="1" applyProtection="1">
      <alignment horizontal="right"/>
      <protection hidden="1"/>
    </xf>
    <xf numFmtId="0" fontId="0" fillId="2" borderId="10" xfId="0" applyFill="1" applyBorder="1" applyProtection="1">
      <protection hidden="1"/>
    </xf>
    <xf numFmtId="0" fontId="0" fillId="2" borderId="0" xfId="0" applyFill="1" applyProtection="1">
      <protection hidden="1"/>
    </xf>
    <xf numFmtId="0" fontId="21" fillId="3" borderId="7" xfId="0" applyFont="1" applyFill="1" applyBorder="1" applyAlignment="1" applyProtection="1">
      <alignment horizontal="centerContinuous"/>
      <protection hidden="1"/>
    </xf>
    <xf numFmtId="0" fontId="21" fillId="3" borderId="0" xfId="0" applyFont="1" applyFill="1" applyBorder="1" applyAlignment="1" applyProtection="1">
      <alignment horizontal="centerContinuous"/>
      <protection hidden="1"/>
    </xf>
    <xf numFmtId="0" fontId="21" fillId="3" borderId="10" xfId="0" applyFont="1" applyFill="1" applyBorder="1" applyAlignment="1" applyProtection="1">
      <alignment horizontal="centerContinuous"/>
      <protection hidden="1"/>
    </xf>
    <xf numFmtId="0" fontId="0" fillId="2" borderId="0" xfId="0" quotePrefix="1" applyFill="1" applyBorder="1" applyProtection="1">
      <protection hidden="1"/>
    </xf>
    <xf numFmtId="0" fontId="43" fillId="0" borderId="0" xfId="0" applyFont="1" applyBorder="1" applyAlignment="1" applyProtection="1">
      <alignment horizontal="right"/>
      <protection hidden="1"/>
    </xf>
    <xf numFmtId="2" fontId="31" fillId="2" borderId="0" xfId="0" applyNumberFormat="1" applyFont="1" applyFill="1" applyAlignment="1" applyProtection="1">
      <alignment horizontal="center"/>
      <protection hidden="1"/>
    </xf>
    <xf numFmtId="0" fontId="31" fillId="2" borderId="0" xfId="0" applyFont="1" applyFill="1" applyAlignment="1" applyProtection="1">
      <alignment horizontal="center"/>
      <protection hidden="1"/>
    </xf>
    <xf numFmtId="2" fontId="31" fillId="2" borderId="0" xfId="0" applyNumberFormat="1" applyFont="1" applyFill="1" applyBorder="1" applyAlignment="1" applyProtection="1">
      <alignment horizontal="center"/>
      <protection hidden="1"/>
    </xf>
    <xf numFmtId="0" fontId="6" fillId="2" borderId="0" xfId="0" applyFont="1" applyFill="1" applyBorder="1" applyAlignment="1" applyProtection="1">
      <alignment horizontal="right"/>
      <protection hidden="1"/>
    </xf>
    <xf numFmtId="2" fontId="31" fillId="2" borderId="36" xfId="0" applyNumberFormat="1" applyFont="1" applyFill="1" applyBorder="1" applyAlignment="1" applyProtection="1">
      <alignment horizontal="center"/>
      <protection hidden="1"/>
    </xf>
    <xf numFmtId="2" fontId="31" fillId="2" borderId="31" xfId="0" applyNumberFormat="1" applyFont="1" applyFill="1" applyBorder="1" applyAlignment="1" applyProtection="1">
      <alignment horizontal="center"/>
      <protection hidden="1"/>
    </xf>
    <xf numFmtId="2" fontId="31" fillId="2" borderId="30" xfId="0" applyNumberFormat="1" applyFont="1" applyFill="1" applyBorder="1" applyAlignment="1" applyProtection="1">
      <alignment horizontal="center"/>
      <protection hidden="1"/>
    </xf>
    <xf numFmtId="0" fontId="0" fillId="2" borderId="6" xfId="0" applyFill="1" applyBorder="1" applyProtection="1">
      <protection hidden="1"/>
    </xf>
    <xf numFmtId="0" fontId="0" fillId="2" borderId="7" xfId="0" applyFill="1" applyBorder="1" applyProtection="1">
      <protection hidden="1"/>
    </xf>
    <xf numFmtId="0" fontId="3" fillId="2" borderId="8" xfId="0" applyFont="1" applyFill="1" applyBorder="1" applyProtection="1">
      <protection hidden="1"/>
    </xf>
    <xf numFmtId="0" fontId="0" fillId="2" borderId="8" xfId="0" applyFill="1" applyBorder="1" applyAlignment="1" applyProtection="1">
      <alignment horizontal="right"/>
      <protection hidden="1"/>
    </xf>
    <xf numFmtId="0" fontId="4" fillId="2" borderId="14" xfId="0" applyFont="1" applyFill="1" applyBorder="1" applyAlignment="1" applyProtection="1">
      <alignment horizontal="center"/>
      <protection hidden="1"/>
    </xf>
    <xf numFmtId="0" fontId="4" fillId="2" borderId="12" xfId="0" applyFont="1" applyFill="1" applyBorder="1" applyAlignment="1" applyProtection="1">
      <alignment horizontal="left"/>
      <protection hidden="1"/>
    </xf>
    <xf numFmtId="0" fontId="0" fillId="2" borderId="12" xfId="0" applyFill="1" applyBorder="1" applyProtection="1">
      <protection hidden="1"/>
    </xf>
    <xf numFmtId="165" fontId="21" fillId="2" borderId="8" xfId="0" applyNumberFormat="1" applyFont="1" applyFill="1" applyBorder="1" applyAlignment="1" applyProtection="1">
      <alignment horizontal="left"/>
      <protection hidden="1"/>
    </xf>
    <xf numFmtId="2" fontId="4" fillId="2" borderId="14" xfId="0" applyNumberFormat="1" applyFont="1" applyFill="1" applyBorder="1" applyAlignment="1" applyProtection="1">
      <alignment horizontal="center"/>
      <protection hidden="1"/>
    </xf>
    <xf numFmtId="2" fontId="26" fillId="2" borderId="8" xfId="0" applyNumberFormat="1" applyFont="1" applyFill="1" applyBorder="1" applyAlignment="1" applyProtection="1">
      <alignment horizontal="right"/>
      <protection hidden="1"/>
    </xf>
    <xf numFmtId="0" fontId="42" fillId="2" borderId="0" xfId="0" applyFont="1" applyFill="1" applyBorder="1" applyProtection="1">
      <protection hidden="1"/>
    </xf>
    <xf numFmtId="2" fontId="9" fillId="2" borderId="0" xfId="0" applyNumberFormat="1" applyFont="1" applyFill="1" applyBorder="1" applyAlignment="1" applyProtection="1">
      <alignment horizontal="right"/>
      <protection hidden="1"/>
    </xf>
    <xf numFmtId="165" fontId="0" fillId="2" borderId="0" xfId="0" applyNumberFormat="1" applyFill="1" applyBorder="1" applyAlignment="1" applyProtection="1">
      <alignment horizontal="center"/>
      <protection hidden="1"/>
    </xf>
    <xf numFmtId="2" fontId="0" fillId="2" borderId="8" xfId="0" applyNumberFormat="1" applyFill="1" applyBorder="1" applyAlignment="1" applyProtection="1">
      <alignment horizontal="right"/>
      <protection hidden="1"/>
    </xf>
    <xf numFmtId="2" fontId="0" fillId="2" borderId="0" xfId="0" applyNumberFormat="1" applyFill="1" applyBorder="1" applyAlignment="1" applyProtection="1">
      <alignment horizontal="right"/>
      <protection hidden="1"/>
    </xf>
    <xf numFmtId="0" fontId="11" fillId="2" borderId="8" xfId="0" applyFont="1" applyFill="1" applyBorder="1" applyAlignment="1" applyProtection="1">
      <alignment horizontal="right"/>
      <protection hidden="1"/>
    </xf>
    <xf numFmtId="1" fontId="4" fillId="2" borderId="31" xfId="0" applyNumberFormat="1" applyFont="1" applyFill="1" applyBorder="1" applyAlignment="1" applyProtection="1">
      <alignment horizontal="center"/>
      <protection hidden="1"/>
    </xf>
    <xf numFmtId="0" fontId="26" fillId="2" borderId="8" xfId="0" applyFont="1" applyFill="1" applyBorder="1" applyAlignment="1" applyProtection="1">
      <alignment horizontal="right"/>
      <protection hidden="1"/>
    </xf>
    <xf numFmtId="1" fontId="4" fillId="2" borderId="32" xfId="0" applyNumberFormat="1" applyFont="1" applyFill="1" applyBorder="1" applyAlignment="1" applyProtection="1">
      <alignment horizontal="center"/>
      <protection hidden="1"/>
    </xf>
    <xf numFmtId="0" fontId="11" fillId="2" borderId="0" xfId="0" applyFont="1" applyFill="1" applyBorder="1" applyAlignment="1" applyProtection="1">
      <alignment horizontal="right"/>
      <protection hidden="1"/>
    </xf>
    <xf numFmtId="1" fontId="0" fillId="2" borderId="0" xfId="0" applyNumberFormat="1" applyFill="1" applyBorder="1" applyAlignment="1" applyProtection="1">
      <alignment horizontal="center"/>
      <protection hidden="1"/>
    </xf>
    <xf numFmtId="0" fontId="0" fillId="2" borderId="0" xfId="0" quotePrefix="1" applyFill="1" applyBorder="1" applyAlignment="1" applyProtection="1">
      <alignment horizontal="left"/>
      <protection hidden="1"/>
    </xf>
    <xf numFmtId="0" fontId="9" fillId="2" borderId="0" xfId="0" applyFont="1" applyFill="1" applyBorder="1" applyAlignment="1" applyProtection="1">
      <alignment horizontal="right"/>
      <protection hidden="1"/>
    </xf>
    <xf numFmtId="0" fontId="40" fillId="2" borderId="0" xfId="0" quotePrefix="1" applyFont="1" applyFill="1" applyBorder="1" applyAlignment="1" applyProtection="1">
      <alignment horizontal="left"/>
      <protection hidden="1"/>
    </xf>
    <xf numFmtId="164" fontId="0" fillId="2" borderId="0" xfId="0" applyNumberFormat="1" applyFill="1" applyBorder="1" applyAlignment="1" applyProtection="1">
      <alignment horizontal="center"/>
      <protection hidden="1"/>
    </xf>
    <xf numFmtId="0" fontId="4" fillId="2" borderId="31" xfId="0" applyFont="1" applyFill="1" applyBorder="1" applyAlignment="1" applyProtection="1">
      <alignment horizontal="center"/>
      <protection hidden="1"/>
    </xf>
    <xf numFmtId="165" fontId="4" fillId="2" borderId="31" xfId="0" quotePrefix="1" applyNumberFormat="1" applyFont="1" applyFill="1" applyBorder="1" applyAlignment="1" applyProtection="1">
      <alignment horizontal="center"/>
      <protection hidden="1"/>
    </xf>
    <xf numFmtId="165" fontId="4" fillId="2" borderId="32" xfId="0" applyNumberFormat="1" applyFont="1" applyFill="1" applyBorder="1" applyAlignment="1" applyProtection="1">
      <alignment horizontal="center"/>
      <protection hidden="1"/>
    </xf>
    <xf numFmtId="0" fontId="21" fillId="2" borderId="8" xfId="0" applyFont="1" applyFill="1" applyBorder="1" applyProtection="1">
      <protection hidden="1"/>
    </xf>
    <xf numFmtId="165" fontId="4" fillId="2" borderId="14" xfId="0" applyNumberFormat="1" applyFont="1" applyFill="1" applyBorder="1" applyAlignment="1" applyProtection="1">
      <alignment horizontal="center"/>
      <protection hidden="1"/>
    </xf>
    <xf numFmtId="2" fontId="27" fillId="2" borderId="8" xfId="0" applyNumberFormat="1" applyFont="1" applyFill="1" applyBorder="1" applyAlignment="1" applyProtection="1">
      <alignment horizontal="right"/>
      <protection hidden="1"/>
    </xf>
    <xf numFmtId="0" fontId="6" fillId="2" borderId="0" xfId="0" applyFont="1" applyFill="1" applyBorder="1" applyAlignment="1" applyProtection="1">
      <alignment horizontal="left"/>
      <protection hidden="1"/>
    </xf>
    <xf numFmtId="0" fontId="6" fillId="2" borderId="8" xfId="0" applyFont="1" applyFill="1" applyBorder="1" applyAlignment="1" applyProtection="1">
      <alignment horizontal="right"/>
      <protection hidden="1"/>
    </xf>
    <xf numFmtId="0" fontId="12" fillId="2" borderId="0" xfId="0" applyFont="1" applyFill="1" applyBorder="1" applyAlignment="1" applyProtection="1">
      <alignment horizontal="right"/>
      <protection hidden="1"/>
    </xf>
    <xf numFmtId="0" fontId="0" fillId="2" borderId="12" xfId="0" applyFill="1" applyBorder="1" applyAlignment="1" applyProtection="1">
      <alignment horizontal="left"/>
      <protection hidden="1"/>
    </xf>
    <xf numFmtId="165" fontId="6" fillId="2" borderId="0" xfId="0" quotePrefix="1" applyNumberFormat="1" applyFont="1" applyFill="1" applyBorder="1" applyAlignment="1" applyProtection="1">
      <alignment horizontal="left"/>
      <protection hidden="1"/>
    </xf>
    <xf numFmtId="0" fontId="42" fillId="2" borderId="0" xfId="0" applyFont="1" applyFill="1" applyBorder="1" applyAlignment="1" applyProtection="1">
      <alignment horizontal="left"/>
      <protection hidden="1"/>
    </xf>
    <xf numFmtId="165" fontId="6" fillId="2" borderId="0" xfId="0" applyNumberFormat="1" applyFont="1" applyFill="1" applyBorder="1" applyAlignment="1" applyProtection="1">
      <alignment horizontal="left"/>
      <protection hidden="1"/>
    </xf>
    <xf numFmtId="0" fontId="0" fillId="3" borderId="6" xfId="0" applyFill="1" applyBorder="1" applyProtection="1">
      <protection hidden="1"/>
    </xf>
    <xf numFmtId="0" fontId="0" fillId="3" borderId="7" xfId="0" applyFill="1" applyBorder="1" applyProtection="1">
      <protection hidden="1"/>
    </xf>
    <xf numFmtId="0" fontId="2" fillId="3" borderId="11" xfId="0" applyFont="1" applyFill="1" applyBorder="1" applyAlignment="1" applyProtection="1">
      <alignment horizontal="centerContinuous"/>
      <protection hidden="1"/>
    </xf>
    <xf numFmtId="0" fontId="2" fillId="2" borderId="0" xfId="0" applyFont="1" applyFill="1" applyProtection="1">
      <protection hidden="1"/>
    </xf>
    <xf numFmtId="0" fontId="4" fillId="2" borderId="0" xfId="0" applyFont="1" applyFill="1" applyAlignment="1" applyProtection="1">
      <alignment horizontal="center"/>
      <protection hidden="1"/>
    </xf>
    <xf numFmtId="0" fontId="32" fillId="0" borderId="0" xfId="0" applyFont="1" applyProtection="1">
      <protection hidden="1"/>
    </xf>
    <xf numFmtId="0" fontId="2" fillId="3" borderId="13" xfId="0" applyFont="1" applyFill="1" applyBorder="1" applyAlignment="1" applyProtection="1">
      <alignment horizontal="centerContinuous"/>
      <protection hidden="1"/>
    </xf>
    <xf numFmtId="0" fontId="43" fillId="2" borderId="0" xfId="0" applyFont="1" applyFill="1" applyBorder="1" applyAlignment="1" applyProtection="1">
      <alignment horizontal="center"/>
      <protection hidden="1"/>
    </xf>
    <xf numFmtId="0" fontId="4" fillId="2" borderId="0" xfId="0" applyFont="1" applyFill="1" applyAlignment="1" applyProtection="1">
      <alignment horizontal="centerContinuous"/>
      <protection hidden="1"/>
    </xf>
    <xf numFmtId="0" fontId="2" fillId="2" borderId="0" xfId="0" applyFont="1" applyFill="1" applyAlignment="1" applyProtection="1">
      <alignment horizontal="centerContinuous"/>
      <protection hidden="1"/>
    </xf>
    <xf numFmtId="0" fontId="2" fillId="2" borderId="0" xfId="0" applyFont="1" applyFill="1" applyBorder="1" applyAlignment="1" applyProtection="1">
      <alignment horizontal="centerContinuous"/>
      <protection hidden="1"/>
    </xf>
    <xf numFmtId="165" fontId="31" fillId="2" borderId="0" xfId="0" applyNumberFormat="1" applyFont="1" applyFill="1" applyBorder="1" applyAlignment="1" applyProtection="1">
      <alignment horizontal="center"/>
      <protection hidden="1"/>
    </xf>
    <xf numFmtId="165" fontId="31" fillId="2" borderId="0" xfId="0" applyNumberFormat="1" applyFont="1" applyFill="1" applyAlignment="1" applyProtection="1">
      <alignment horizontal="center"/>
      <protection hidden="1"/>
    </xf>
    <xf numFmtId="0" fontId="59" fillId="2" borderId="0" xfId="0" applyFont="1" applyFill="1" applyBorder="1" applyAlignment="1" applyProtection="1">
      <protection hidden="1"/>
    </xf>
    <xf numFmtId="0" fontId="60" fillId="2" borderId="0" xfId="0" applyFont="1" applyFill="1" applyBorder="1" applyAlignment="1" applyProtection="1">
      <protection hidden="1"/>
    </xf>
    <xf numFmtId="0" fontId="61" fillId="2" borderId="0" xfId="0" applyFont="1" applyFill="1" applyBorder="1" applyAlignment="1" applyProtection="1">
      <protection hidden="1"/>
    </xf>
    <xf numFmtId="0" fontId="2" fillId="2" borderId="12" xfId="0" applyFont="1" applyFill="1" applyBorder="1" applyProtection="1">
      <protection hidden="1"/>
    </xf>
    <xf numFmtId="0" fontId="2" fillId="2" borderId="0" xfId="0" applyFont="1" applyFill="1" applyBorder="1" applyProtection="1">
      <protection hidden="1"/>
    </xf>
    <xf numFmtId="0" fontId="31" fillId="0" borderId="0" xfId="0" applyFont="1" applyProtection="1">
      <protection hidden="1"/>
    </xf>
    <xf numFmtId="0" fontId="29" fillId="2" borderId="0" xfId="0" applyFont="1" applyFill="1" applyBorder="1" applyAlignment="1" applyProtection="1">
      <alignment horizontal="right"/>
      <protection hidden="1"/>
    </xf>
    <xf numFmtId="0" fontId="4" fillId="2" borderId="0" xfId="0" applyFont="1" applyFill="1" applyBorder="1" applyAlignment="1" applyProtection="1">
      <alignment horizontal="right"/>
      <protection hidden="1"/>
    </xf>
    <xf numFmtId="0" fontId="31" fillId="2" borderId="0" xfId="0" applyFont="1" applyFill="1" applyProtection="1">
      <protection hidden="1"/>
    </xf>
    <xf numFmtId="0" fontId="27" fillId="2" borderId="0" xfId="0" applyFont="1" applyFill="1" applyBorder="1" applyAlignment="1" applyProtection="1">
      <alignment horizontal="right"/>
      <protection hidden="1"/>
    </xf>
    <xf numFmtId="2" fontId="0" fillId="2" borderId="8" xfId="0" applyNumberFormat="1" applyFill="1" applyBorder="1" applyAlignment="1" applyProtection="1">
      <alignment horizontal="center"/>
      <protection hidden="1"/>
    </xf>
    <xf numFmtId="0" fontId="4" fillId="2" borderId="0" xfId="0" applyFont="1" applyFill="1" applyAlignment="1" applyProtection="1">
      <alignment horizontal="left"/>
      <protection hidden="1"/>
    </xf>
    <xf numFmtId="0" fontId="4" fillId="2" borderId="0" xfId="0" applyFont="1" applyFill="1" applyProtection="1">
      <protection hidden="1"/>
    </xf>
    <xf numFmtId="2" fontId="4" fillId="2" borderId="0" xfId="0" applyNumberFormat="1" applyFont="1" applyFill="1" applyAlignment="1" applyProtection="1">
      <alignment horizontal="center"/>
      <protection hidden="1"/>
    </xf>
    <xf numFmtId="0" fontId="29" fillId="2" borderId="0" xfId="0" applyFont="1" applyFill="1" applyBorder="1" applyAlignment="1" applyProtection="1">
      <alignment horizontal="left"/>
      <protection hidden="1"/>
    </xf>
    <xf numFmtId="0" fontId="2" fillId="2" borderId="0" xfId="0" applyFont="1" applyFill="1" applyBorder="1" applyAlignment="1" applyProtection="1">
      <protection hidden="1"/>
    </xf>
    <xf numFmtId="2" fontId="31" fillId="2" borderId="32" xfId="0" applyNumberFormat="1" applyFont="1" applyFill="1" applyBorder="1" applyAlignment="1" applyProtection="1">
      <alignment horizontal="center"/>
      <protection hidden="1"/>
    </xf>
    <xf numFmtId="0" fontId="2" fillId="2" borderId="13" xfId="0" applyFont="1" applyFill="1" applyBorder="1" applyProtection="1">
      <protection hidden="1"/>
    </xf>
    <xf numFmtId="2" fontId="4" fillId="4" borderId="14" xfId="0" applyNumberFormat="1" applyFont="1" applyFill="1" applyBorder="1" applyAlignment="1" applyProtection="1">
      <alignment horizontal="center"/>
      <protection locked="0"/>
    </xf>
    <xf numFmtId="0" fontId="40" fillId="2" borderId="8" xfId="0" applyFont="1" applyFill="1" applyBorder="1" applyAlignment="1" applyProtection="1">
      <alignment horizontal="right"/>
      <protection hidden="1"/>
    </xf>
    <xf numFmtId="2" fontId="49" fillId="2" borderId="8" xfId="0" applyNumberFormat="1" applyFont="1" applyFill="1" applyBorder="1" applyAlignment="1" applyProtection="1">
      <alignment horizontal="right"/>
      <protection hidden="1"/>
    </xf>
    <xf numFmtId="0" fontId="5" fillId="2" borderId="8" xfId="0" applyFont="1" applyFill="1" applyBorder="1" applyAlignment="1" applyProtection="1">
      <alignment horizontal="right"/>
      <protection hidden="1"/>
    </xf>
    <xf numFmtId="0" fontId="0" fillId="3" borderId="11" xfId="0" applyFill="1" applyBorder="1" applyAlignment="1" applyProtection="1">
      <alignment horizontal="center"/>
      <protection hidden="1"/>
    </xf>
    <xf numFmtId="0" fontId="21" fillId="3" borderId="6" xfId="0" applyFont="1" applyFill="1" applyBorder="1" applyAlignment="1" applyProtection="1">
      <alignment horizontal="centerContinuous"/>
      <protection hidden="1"/>
    </xf>
    <xf numFmtId="0" fontId="0" fillId="3" borderId="36" xfId="0" applyFill="1" applyBorder="1" applyAlignment="1" applyProtection="1">
      <alignment horizontal="center"/>
      <protection hidden="1"/>
    </xf>
    <xf numFmtId="2" fontId="4" fillId="0" borderId="36" xfId="0" applyNumberFormat="1" applyFont="1" applyBorder="1" applyAlignment="1" applyProtection="1">
      <alignment horizontal="center"/>
      <protection hidden="1"/>
    </xf>
    <xf numFmtId="0" fontId="0" fillId="3" borderId="0" xfId="0" applyFill="1" applyBorder="1" applyAlignment="1" applyProtection="1">
      <alignment horizontal="center"/>
      <protection hidden="1"/>
    </xf>
    <xf numFmtId="0" fontId="0" fillId="3" borderId="16" xfId="0" applyFill="1" applyBorder="1" applyProtection="1">
      <protection hidden="1"/>
    </xf>
    <xf numFmtId="0" fontId="42" fillId="3" borderId="15" xfId="0" applyFont="1" applyFill="1" applyBorder="1" applyAlignment="1" applyProtection="1">
      <alignment horizontal="center"/>
      <protection hidden="1"/>
    </xf>
    <xf numFmtId="0" fontId="42" fillId="3" borderId="13" xfId="0" applyFont="1" applyFill="1" applyBorder="1" applyAlignment="1" applyProtection="1">
      <alignment horizontal="center"/>
      <protection hidden="1"/>
    </xf>
    <xf numFmtId="2" fontId="4" fillId="4" borderId="4" xfId="0" applyNumberFormat="1" applyFont="1" applyFill="1" applyBorder="1" applyAlignment="1" applyProtection="1">
      <alignment horizontal="center"/>
      <protection locked="0"/>
    </xf>
    <xf numFmtId="0" fontId="42" fillId="3" borderId="10" xfId="0" applyFont="1" applyFill="1" applyBorder="1" applyAlignment="1" applyProtection="1">
      <alignment horizontal="center"/>
      <protection hidden="1"/>
    </xf>
    <xf numFmtId="0" fontId="42" fillId="3" borderId="18" xfId="0" applyFont="1" applyFill="1" applyBorder="1" applyAlignment="1" applyProtection="1">
      <alignment horizontal="center"/>
      <protection hidden="1"/>
    </xf>
    <xf numFmtId="0" fontId="42" fillId="3" borderId="8" xfId="0" applyFont="1" applyFill="1" applyBorder="1" applyAlignment="1" applyProtection="1">
      <alignment horizontal="center"/>
      <protection hidden="1"/>
    </xf>
    <xf numFmtId="2" fontId="6" fillId="2" borderId="0" xfId="0" applyNumberFormat="1" applyFont="1" applyFill="1" applyBorder="1" applyAlignment="1" applyProtection="1">
      <alignment horizontal="right"/>
      <protection hidden="1"/>
    </xf>
    <xf numFmtId="0" fontId="50"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45" fillId="2" borderId="8" xfId="0" applyFont="1" applyFill="1" applyBorder="1" applyProtection="1">
      <protection hidden="1"/>
    </xf>
    <xf numFmtId="0" fontId="62" fillId="2" borderId="6" xfId="0" applyFont="1" applyFill="1" applyBorder="1" applyProtection="1">
      <protection hidden="1"/>
    </xf>
    <xf numFmtId="0" fontId="4" fillId="2" borderId="7" xfId="0" applyFont="1" applyFill="1" applyBorder="1" applyAlignment="1" applyProtection="1">
      <protection hidden="1"/>
    </xf>
    <xf numFmtId="0" fontId="5" fillId="2" borderId="7" xfId="0" applyFont="1" applyFill="1" applyBorder="1" applyAlignment="1" applyProtection="1">
      <protection hidden="1"/>
    </xf>
    <xf numFmtId="0" fontId="5" fillId="2" borderId="11" xfId="0" applyFont="1" applyFill="1" applyBorder="1" applyAlignment="1" applyProtection="1">
      <protection hidden="1"/>
    </xf>
    <xf numFmtId="0" fontId="7" fillId="2" borderId="8" xfId="0" applyFont="1" applyFill="1" applyBorder="1" applyProtection="1">
      <protection hidden="1"/>
    </xf>
    <xf numFmtId="0" fontId="5" fillId="2" borderId="12" xfId="0" applyFont="1" applyFill="1" applyBorder="1" applyAlignment="1" applyProtection="1">
      <protection hidden="1"/>
    </xf>
    <xf numFmtId="0" fontId="7" fillId="2" borderId="8" xfId="0" applyFont="1" applyFill="1" applyBorder="1" applyAlignment="1" applyProtection="1">
      <protection hidden="1"/>
    </xf>
    <xf numFmtId="165" fontId="4" fillId="2" borderId="12" xfId="0" applyNumberFormat="1" applyFont="1" applyFill="1" applyBorder="1" applyAlignment="1" applyProtection="1">
      <protection hidden="1"/>
    </xf>
    <xf numFmtId="0" fontId="7" fillId="2" borderId="9" xfId="0" applyFont="1" applyFill="1" applyBorder="1" applyAlignment="1" applyProtection="1">
      <protection hidden="1"/>
    </xf>
    <xf numFmtId="0" fontId="5" fillId="2" borderId="10" xfId="0" applyFont="1" applyFill="1" applyBorder="1" applyAlignment="1" applyProtection="1">
      <protection hidden="1"/>
    </xf>
    <xf numFmtId="165" fontId="4" fillId="2" borderId="13" xfId="0" applyNumberFormat="1" applyFont="1" applyFill="1" applyBorder="1" applyAlignment="1" applyProtection="1">
      <protection hidden="1"/>
    </xf>
    <xf numFmtId="0" fontId="2" fillId="2" borderId="11" xfId="0" applyFont="1" applyFill="1" applyBorder="1" applyProtection="1">
      <protection hidden="1"/>
    </xf>
    <xf numFmtId="0" fontId="21" fillId="3" borderId="11" xfId="0" applyFont="1" applyFill="1" applyBorder="1" applyAlignment="1" applyProtection="1">
      <alignment horizontal="centerContinuous"/>
      <protection hidden="1"/>
    </xf>
    <xf numFmtId="0" fontId="21" fillId="3" borderId="4" xfId="0" applyFont="1" applyFill="1" applyBorder="1" applyAlignment="1" applyProtection="1">
      <alignment horizontal="centerContinuous"/>
      <protection hidden="1"/>
    </xf>
    <xf numFmtId="0" fontId="21" fillId="3" borderId="9" xfId="0" applyFont="1" applyFill="1" applyBorder="1" applyAlignment="1" applyProtection="1">
      <alignment horizontal="centerContinuous"/>
      <protection hidden="1"/>
    </xf>
    <xf numFmtId="0" fontId="31" fillId="2" borderId="6" xfId="0" applyFont="1" applyFill="1" applyBorder="1" applyAlignment="1" applyProtection="1">
      <alignment horizontal="centerContinuous"/>
      <protection hidden="1"/>
    </xf>
    <xf numFmtId="0" fontId="31" fillId="2" borderId="11" xfId="0" applyFont="1" applyFill="1" applyBorder="1" applyAlignment="1" applyProtection="1">
      <alignment horizontal="centerContinuous"/>
      <protection hidden="1"/>
    </xf>
    <xf numFmtId="166" fontId="31" fillId="2" borderId="8" xfId="0" applyNumberFormat="1" applyFont="1" applyFill="1" applyBorder="1" applyAlignment="1" applyProtection="1">
      <alignment horizontal="centerContinuous"/>
      <protection hidden="1"/>
    </xf>
    <xf numFmtId="0" fontId="31" fillId="2" borderId="12" xfId="0" applyFont="1" applyFill="1" applyBorder="1" applyAlignment="1" applyProtection="1">
      <alignment horizontal="centerContinuous"/>
      <protection hidden="1"/>
    </xf>
    <xf numFmtId="0" fontId="31" fillId="2" borderId="9" xfId="0" applyFont="1" applyFill="1" applyBorder="1" applyAlignment="1" applyProtection="1">
      <alignment horizontal="centerContinuous"/>
      <protection hidden="1"/>
    </xf>
    <xf numFmtId="0" fontId="31" fillId="2" borderId="13" xfId="0" applyFont="1" applyFill="1" applyBorder="1" applyAlignment="1" applyProtection="1">
      <alignment horizontal="centerContinuous"/>
      <protection hidden="1"/>
    </xf>
    <xf numFmtId="0" fontId="31" fillId="2" borderId="8" xfId="0" applyFont="1" applyFill="1" applyBorder="1" applyAlignment="1" applyProtection="1">
      <alignment horizontal="centerContinuous"/>
      <protection hidden="1"/>
    </xf>
    <xf numFmtId="0" fontId="21" fillId="3" borderId="9" xfId="0" applyFont="1" applyFill="1" applyBorder="1" applyAlignment="1" applyProtection="1">
      <protection hidden="1"/>
    </xf>
    <xf numFmtId="0" fontId="21" fillId="3" borderId="13" xfId="0" applyFont="1" applyFill="1" applyBorder="1" applyAlignment="1" applyProtection="1">
      <protection hidden="1"/>
    </xf>
    <xf numFmtId="0" fontId="21" fillId="3" borderId="13" xfId="0" applyFont="1" applyFill="1" applyBorder="1" applyAlignment="1" applyProtection="1">
      <alignment horizontal="centerContinuous"/>
      <protection hidden="1"/>
    </xf>
    <xf numFmtId="0" fontId="21" fillId="3" borderId="8" xfId="0" applyFont="1" applyFill="1" applyBorder="1" applyAlignment="1" applyProtection="1">
      <alignment horizontal="centerContinuous"/>
      <protection hidden="1"/>
    </xf>
    <xf numFmtId="0" fontId="21" fillId="3" borderId="12" xfId="0" applyFont="1" applyFill="1" applyBorder="1" applyAlignment="1" applyProtection="1">
      <alignment horizontal="centerContinuous"/>
      <protection hidden="1"/>
    </xf>
    <xf numFmtId="0" fontId="5" fillId="3" borderId="6" xfId="0" applyFont="1" applyFill="1" applyBorder="1" applyAlignment="1" applyProtection="1">
      <alignment horizontal="centerContinuous"/>
      <protection hidden="1"/>
    </xf>
    <xf numFmtId="0" fontId="5" fillId="3" borderId="11" xfId="0" applyFont="1" applyFill="1" applyBorder="1" applyAlignment="1" applyProtection="1">
      <alignment horizontal="centerContinuous"/>
      <protection hidden="1"/>
    </xf>
    <xf numFmtId="0" fontId="5" fillId="3" borderId="8" xfId="0" applyFont="1" applyFill="1" applyBorder="1" applyAlignment="1" applyProtection="1">
      <alignment horizontal="centerContinuous"/>
      <protection hidden="1"/>
    </xf>
    <xf numFmtId="0" fontId="5" fillId="3" borderId="12" xfId="0" applyFont="1" applyFill="1" applyBorder="1" applyAlignment="1" applyProtection="1">
      <alignment horizontal="centerContinuous"/>
      <protection hidden="1"/>
    </xf>
    <xf numFmtId="0" fontId="5" fillId="3" borderId="9" xfId="0" applyFont="1" applyFill="1" applyBorder="1" applyAlignment="1" applyProtection="1">
      <alignment horizontal="centerContinuous"/>
      <protection hidden="1"/>
    </xf>
    <xf numFmtId="0" fontId="5" fillId="3" borderId="13" xfId="0" applyFont="1" applyFill="1" applyBorder="1" applyAlignment="1" applyProtection="1">
      <alignment horizontal="centerContinuous"/>
      <protection hidden="1"/>
    </xf>
    <xf numFmtId="0" fontId="31" fillId="2" borderId="7" xfId="0" applyFont="1" applyFill="1" applyBorder="1" applyAlignment="1" applyProtection="1">
      <alignment horizontal="centerContinuous"/>
      <protection hidden="1"/>
    </xf>
    <xf numFmtId="0" fontId="31" fillId="2" borderId="0" xfId="0" applyFont="1" applyFill="1" applyBorder="1" applyAlignment="1" applyProtection="1">
      <alignment horizontal="centerContinuous"/>
      <protection hidden="1"/>
    </xf>
    <xf numFmtId="0" fontId="31" fillId="2" borderId="10" xfId="0" applyFont="1" applyFill="1" applyBorder="1" applyAlignment="1" applyProtection="1">
      <alignment horizontal="centerContinuous"/>
      <protection hidden="1"/>
    </xf>
    <xf numFmtId="0" fontId="20" fillId="2" borderId="8" xfId="0" applyFont="1" applyFill="1" applyBorder="1" applyAlignment="1" applyProtection="1">
      <alignment horizontal="right"/>
      <protection hidden="1"/>
    </xf>
    <xf numFmtId="0" fontId="63" fillId="2" borderId="8" xfId="0" applyFont="1" applyFill="1" applyBorder="1" applyProtection="1">
      <protection hidden="1"/>
    </xf>
    <xf numFmtId="0" fontId="0" fillId="3" borderId="0" xfId="0" applyFill="1" applyBorder="1" applyProtection="1">
      <protection hidden="1"/>
    </xf>
    <xf numFmtId="0" fontId="64" fillId="3" borderId="6" xfId="0" applyFont="1" applyFill="1" applyBorder="1" applyAlignment="1" applyProtection="1">
      <alignment horizontal="centerContinuous"/>
      <protection hidden="1"/>
    </xf>
    <xf numFmtId="0" fontId="4" fillId="2" borderId="32" xfId="0" applyFont="1" applyFill="1" applyBorder="1" applyAlignment="1" applyProtection="1">
      <alignment horizontal="center"/>
      <protection hidden="1"/>
    </xf>
    <xf numFmtId="0" fontId="14" fillId="2" borderId="0" xfId="0" applyFont="1" applyFill="1" applyBorder="1" applyAlignment="1" applyProtection="1">
      <protection hidden="1"/>
    </xf>
    <xf numFmtId="166" fontId="4" fillId="2" borderId="32" xfId="0" applyNumberFormat="1" applyFont="1" applyFill="1" applyBorder="1" applyAlignment="1" applyProtection="1">
      <alignment horizontal="center"/>
      <protection hidden="1"/>
    </xf>
    <xf numFmtId="0" fontId="4" fillId="2" borderId="0" xfId="0" applyFont="1" applyFill="1" applyBorder="1" applyAlignment="1" applyProtection="1">
      <alignment horizontal="left"/>
      <protection hidden="1"/>
    </xf>
    <xf numFmtId="2" fontId="4" fillId="4" borderId="30" xfId="0" applyNumberFormat="1" applyFont="1" applyFill="1" applyBorder="1" applyAlignment="1" applyProtection="1">
      <alignment horizontal="center"/>
      <protection locked="0"/>
    </xf>
    <xf numFmtId="165" fontId="4" fillId="2" borderId="36" xfId="0" applyNumberFormat="1" applyFont="1" applyFill="1" applyBorder="1" applyAlignment="1" applyProtection="1">
      <alignment horizontal="center"/>
      <protection hidden="1"/>
    </xf>
    <xf numFmtId="165" fontId="4" fillId="4" borderId="30" xfId="0" applyNumberFormat="1" applyFont="1" applyFill="1" applyBorder="1" applyAlignment="1" applyProtection="1">
      <alignment horizontal="center"/>
      <protection locked="0"/>
    </xf>
    <xf numFmtId="2" fontId="40" fillId="2" borderId="0" xfId="0" applyNumberFormat="1" applyFont="1" applyFill="1" applyBorder="1" applyAlignment="1" applyProtection="1">
      <alignment horizontal="center"/>
      <protection hidden="1"/>
    </xf>
    <xf numFmtId="2" fontId="27" fillId="2" borderId="0" xfId="0" applyNumberFormat="1" applyFont="1" applyFill="1" applyBorder="1" applyAlignment="1" applyProtection="1">
      <protection hidden="1"/>
    </xf>
    <xf numFmtId="2" fontId="40" fillId="2" borderId="0" xfId="0" applyNumberFormat="1" applyFont="1" applyFill="1" applyBorder="1" applyAlignment="1" applyProtection="1">
      <alignment horizontal="left"/>
      <protection hidden="1"/>
    </xf>
    <xf numFmtId="0" fontId="40" fillId="2" borderId="0" xfId="0" applyFont="1" applyFill="1" applyBorder="1" applyAlignment="1" applyProtection="1">
      <alignment horizontal="left"/>
      <protection hidden="1"/>
    </xf>
    <xf numFmtId="0" fontId="50" fillId="2" borderId="0" xfId="0" applyFont="1" applyFill="1" applyBorder="1" applyAlignment="1" applyProtection="1">
      <protection hidden="1"/>
    </xf>
    <xf numFmtId="0" fontId="5" fillId="3" borderId="4" xfId="0" applyFont="1" applyFill="1" applyBorder="1" applyAlignment="1" applyProtection="1">
      <alignment horizontal="centerContinuous"/>
      <protection hidden="1"/>
    </xf>
    <xf numFmtId="0" fontId="31" fillId="0" borderId="0" xfId="0" applyFont="1" applyAlignment="1" applyProtection="1">
      <alignment horizontal="center"/>
      <protection hidden="1"/>
    </xf>
    <xf numFmtId="0" fontId="7" fillId="2" borderId="0" xfId="0" applyFont="1" applyFill="1" applyBorder="1" applyAlignment="1" applyProtection="1">
      <protection hidden="1"/>
    </xf>
    <xf numFmtId="0" fontId="65" fillId="2" borderId="0" xfId="0" applyFont="1" applyFill="1" applyBorder="1" applyAlignment="1" applyProtection="1">
      <protection hidden="1"/>
    </xf>
    <xf numFmtId="0" fontId="62" fillId="2" borderId="0" xfId="0" applyFont="1" applyFill="1" applyBorder="1" applyAlignment="1" applyProtection="1">
      <protection hidden="1"/>
    </xf>
    <xf numFmtId="0" fontId="51" fillId="2" borderId="28" xfId="0" applyFont="1" applyFill="1" applyBorder="1" applyAlignment="1">
      <alignment horizontal="centerContinuous"/>
    </xf>
    <xf numFmtId="0" fontId="51" fillId="2" borderId="0" xfId="0" applyFont="1" applyFill="1"/>
    <xf numFmtId="0" fontId="4" fillId="2" borderId="0" xfId="0" applyFont="1" applyFill="1" applyBorder="1" applyAlignment="1" applyProtection="1">
      <protection locked="0"/>
    </xf>
    <xf numFmtId="14" fontId="4" fillId="2" borderId="7" xfId="0" applyNumberFormat="1" applyFont="1" applyFill="1" applyBorder="1" applyAlignment="1" applyProtection="1">
      <protection locked="0"/>
    </xf>
    <xf numFmtId="0" fontId="4" fillId="2" borderId="12" xfId="0" applyFont="1" applyFill="1" applyBorder="1" applyProtection="1">
      <protection locked="0"/>
    </xf>
    <xf numFmtId="18" fontId="4" fillId="2" borderId="0" xfId="0" applyNumberFormat="1" applyFont="1" applyFill="1" applyBorder="1" applyAlignment="1" applyProtection="1">
      <protection locked="0"/>
    </xf>
    <xf numFmtId="0" fontId="6" fillId="3" borderId="3" xfId="0" applyFont="1" applyFill="1" applyBorder="1" applyAlignment="1" applyProtection="1">
      <alignment horizontal="centerContinuous"/>
      <protection hidden="1"/>
    </xf>
    <xf numFmtId="49" fontId="4" fillId="2" borderId="5" xfId="0" applyNumberFormat="1" applyFont="1" applyFill="1" applyBorder="1" applyAlignment="1" applyProtection="1">
      <protection locked="0"/>
    </xf>
    <xf numFmtId="0" fontId="0" fillId="2" borderId="0" xfId="0" applyFill="1" applyAlignment="1" applyProtection="1">
      <alignment horizontal="left"/>
    </xf>
    <xf numFmtId="0" fontId="0" fillId="2" borderId="0" xfId="0" applyFill="1" applyProtection="1"/>
    <xf numFmtId="0" fontId="31" fillId="4" borderId="31" xfId="0" applyFont="1" applyFill="1" applyBorder="1" applyAlignment="1" applyProtection="1">
      <alignment horizontal="center"/>
      <protection locked="0"/>
    </xf>
    <xf numFmtId="0" fontId="5" fillId="0" borderId="8" xfId="0" quotePrefix="1" applyFont="1" applyBorder="1" applyProtection="1">
      <protection hidden="1"/>
    </xf>
    <xf numFmtId="2" fontId="4" fillId="0" borderId="37" xfId="0" applyNumberFormat="1" applyFont="1" applyBorder="1" applyAlignment="1" applyProtection="1">
      <alignment horizontal="center"/>
      <protection hidden="1"/>
    </xf>
    <xf numFmtId="2" fontId="4" fillId="0" borderId="7" xfId="0" applyNumberFormat="1" applyFont="1" applyBorder="1" applyAlignment="1" applyProtection="1">
      <alignment horizontal="center"/>
      <protection hidden="1"/>
    </xf>
    <xf numFmtId="0" fontId="5" fillId="0" borderId="8" xfId="0" applyFont="1" applyBorder="1" applyAlignment="1" applyProtection="1">
      <alignment horizontal="left"/>
      <protection hidden="1"/>
    </xf>
    <xf numFmtId="0" fontId="6" fillId="0" borderId="8" xfId="0" applyFont="1" applyBorder="1" applyProtection="1">
      <protection hidden="1"/>
    </xf>
    <xf numFmtId="2" fontId="4" fillId="0" borderId="31" xfId="0" quotePrefix="1" applyNumberFormat="1" applyFont="1" applyFill="1" applyBorder="1" applyAlignment="1" applyProtection="1">
      <alignment horizontal="center"/>
      <protection hidden="1"/>
    </xf>
    <xf numFmtId="0" fontId="0" fillId="3" borderId="38" xfId="0" applyFill="1" applyBorder="1" applyAlignment="1" applyProtection="1">
      <alignment horizontal="center"/>
      <protection hidden="1"/>
    </xf>
    <xf numFmtId="2" fontId="4" fillId="0" borderId="39" xfId="0" applyNumberFormat="1" applyFont="1" applyFill="1" applyBorder="1" applyAlignment="1" applyProtection="1">
      <alignment horizontal="center"/>
      <protection hidden="1"/>
    </xf>
    <xf numFmtId="2" fontId="4" fillId="0" borderId="38" xfId="0" applyNumberFormat="1" applyFont="1" applyFill="1" applyBorder="1" applyAlignment="1" applyProtection="1">
      <alignment horizontal="center"/>
      <protection hidden="1"/>
    </xf>
    <xf numFmtId="2" fontId="4" fillId="0" borderId="39" xfId="0" applyNumberFormat="1" applyFont="1" applyBorder="1" applyAlignment="1" applyProtection="1">
      <alignment horizontal="center"/>
      <protection hidden="1"/>
    </xf>
    <xf numFmtId="2" fontId="4" fillId="0" borderId="38" xfId="0" applyNumberFormat="1" applyFont="1" applyBorder="1" applyAlignment="1" applyProtection="1">
      <alignment horizontal="center"/>
      <protection hidden="1"/>
    </xf>
    <xf numFmtId="2" fontId="4" fillId="0" borderId="40" xfId="0" applyNumberFormat="1" applyFont="1" applyBorder="1" applyAlignment="1" applyProtection="1">
      <alignment horizontal="center"/>
      <protection hidden="1"/>
    </xf>
    <xf numFmtId="2" fontId="4" fillId="0" borderId="41" xfId="0" applyNumberFormat="1" applyFont="1" applyBorder="1" applyAlignment="1" applyProtection="1">
      <alignment horizontal="center"/>
      <protection hidden="1"/>
    </xf>
    <xf numFmtId="0" fontId="5" fillId="3" borderId="41" xfId="0" applyFont="1" applyFill="1" applyBorder="1" applyAlignment="1" applyProtection="1">
      <alignment horizontal="center"/>
      <protection hidden="1"/>
    </xf>
    <xf numFmtId="2" fontId="4" fillId="0" borderId="40" xfId="0" quotePrefix="1" applyNumberFormat="1" applyFont="1" applyFill="1" applyBorder="1" applyAlignment="1" applyProtection="1">
      <alignment horizontal="center"/>
      <protection hidden="1"/>
    </xf>
    <xf numFmtId="2" fontId="4" fillId="0" borderId="35" xfId="0" quotePrefix="1" applyNumberFormat="1" applyFont="1" applyFill="1" applyBorder="1" applyAlignment="1" applyProtection="1">
      <alignment horizontal="center"/>
      <protection hidden="1"/>
    </xf>
    <xf numFmtId="2" fontId="4" fillId="0" borderId="41" xfId="0" quotePrefix="1" applyNumberFormat="1" applyFont="1" applyFill="1" applyBorder="1" applyAlignment="1" applyProtection="1">
      <alignment horizontal="center"/>
      <protection hidden="1"/>
    </xf>
    <xf numFmtId="2" fontId="4" fillId="0" borderId="32" xfId="0" quotePrefix="1" applyNumberFormat="1" applyFont="1" applyFill="1" applyBorder="1" applyAlignment="1" applyProtection="1">
      <alignment horizontal="center"/>
      <protection hidden="1"/>
    </xf>
    <xf numFmtId="0" fontId="40" fillId="3" borderId="38" xfId="0" applyFont="1" applyFill="1" applyBorder="1" applyAlignment="1" applyProtection="1">
      <alignment horizontal="center"/>
      <protection hidden="1"/>
    </xf>
    <xf numFmtId="2" fontId="31" fillId="0" borderId="39" xfId="0" applyNumberFormat="1" applyFont="1" applyBorder="1" applyAlignment="1" applyProtection="1">
      <alignment horizontal="center"/>
      <protection hidden="1"/>
    </xf>
    <xf numFmtId="2" fontId="31" fillId="0" borderId="38" xfId="0" applyNumberFormat="1" applyFont="1" applyBorder="1" applyAlignment="1" applyProtection="1">
      <alignment horizontal="center"/>
      <protection hidden="1"/>
    </xf>
    <xf numFmtId="2" fontId="4" fillId="0" borderId="42" xfId="0" quotePrefix="1" applyNumberFormat="1" applyFont="1" applyFill="1" applyBorder="1" applyAlignment="1" applyProtection="1">
      <alignment horizontal="center"/>
      <protection hidden="1"/>
    </xf>
    <xf numFmtId="2" fontId="4" fillId="0" borderId="43" xfId="0" quotePrefix="1" applyNumberFormat="1" applyFont="1" applyFill="1" applyBorder="1" applyAlignment="1" applyProtection="1">
      <alignment horizontal="center"/>
      <protection hidden="1"/>
    </xf>
    <xf numFmtId="2" fontId="31" fillId="0" borderId="42" xfId="0" applyNumberFormat="1" applyFont="1" applyBorder="1" applyAlignment="1" applyProtection="1">
      <alignment horizontal="center"/>
      <protection hidden="1"/>
    </xf>
    <xf numFmtId="2" fontId="31" fillId="0" borderId="43" xfId="0" applyNumberFormat="1" applyFont="1" applyBorder="1" applyAlignment="1" applyProtection="1">
      <alignment horizontal="center"/>
      <protection hidden="1"/>
    </xf>
    <xf numFmtId="2" fontId="4" fillId="0" borderId="44" xfId="0" quotePrefix="1" applyNumberFormat="1" applyFont="1" applyFill="1" applyBorder="1" applyAlignment="1" applyProtection="1">
      <alignment horizontal="center"/>
      <protection hidden="1"/>
    </xf>
    <xf numFmtId="2" fontId="4" fillId="0" borderId="45" xfId="0" quotePrefix="1" applyNumberFormat="1" applyFont="1" applyFill="1" applyBorder="1" applyAlignment="1" applyProtection="1">
      <alignment horizontal="center"/>
      <protection hidden="1"/>
    </xf>
    <xf numFmtId="2" fontId="31" fillId="0" borderId="44" xfId="0" applyNumberFormat="1" applyFont="1" applyBorder="1" applyAlignment="1" applyProtection="1">
      <alignment horizontal="center"/>
      <protection hidden="1"/>
    </xf>
    <xf numFmtId="2" fontId="31" fillId="0" borderId="45" xfId="0" applyNumberFormat="1" applyFont="1" applyBorder="1" applyAlignment="1" applyProtection="1">
      <alignment horizontal="center"/>
      <protection hidden="1"/>
    </xf>
    <xf numFmtId="0" fontId="6" fillId="3" borderId="43" xfId="0" applyFont="1" applyFill="1" applyBorder="1" applyAlignment="1" applyProtection="1">
      <alignment horizontal="center"/>
      <protection hidden="1"/>
    </xf>
    <xf numFmtId="0" fontId="6" fillId="3" borderId="45" xfId="0" applyFont="1" applyFill="1" applyBorder="1" applyAlignment="1" applyProtection="1">
      <alignment horizontal="center"/>
      <protection hidden="1"/>
    </xf>
    <xf numFmtId="0" fontId="0" fillId="0" borderId="9" xfId="0" applyBorder="1" applyAlignment="1" applyProtection="1">
      <alignment horizontal="left"/>
      <protection hidden="1"/>
    </xf>
    <xf numFmtId="2" fontId="0" fillId="0" borderId="10" xfId="0" applyNumberFormat="1" applyBorder="1" applyAlignment="1" applyProtection="1">
      <alignment horizontal="left"/>
      <protection hidden="1"/>
    </xf>
    <xf numFmtId="0" fontId="4" fillId="0" borderId="0" xfId="0" applyFont="1" applyProtection="1">
      <protection hidden="1"/>
    </xf>
    <xf numFmtId="0" fontId="43" fillId="0" borderId="0" xfId="0" applyFont="1" applyAlignment="1" applyProtection="1">
      <alignment horizontal="center"/>
      <protection hidden="1"/>
    </xf>
    <xf numFmtId="0" fontId="4" fillId="0" borderId="0" xfId="0" applyFont="1" applyAlignment="1" applyProtection="1">
      <alignment horizontal="right"/>
      <protection hidden="1"/>
    </xf>
    <xf numFmtId="0" fontId="4" fillId="0" borderId="0" xfId="0" applyFont="1" applyAlignment="1" applyProtection="1">
      <alignment horizontal="center"/>
      <protection hidden="1"/>
    </xf>
    <xf numFmtId="2" fontId="4" fillId="0" borderId="0" xfId="0" applyNumberFormat="1" applyFont="1" applyAlignment="1" applyProtection="1">
      <alignment horizontal="center"/>
      <protection hidden="1"/>
    </xf>
    <xf numFmtId="165" fontId="4" fillId="0" borderId="0" xfId="0" applyNumberFormat="1" applyFont="1" applyProtection="1">
      <protection hidden="1"/>
    </xf>
    <xf numFmtId="0" fontId="4" fillId="0" borderId="0" xfId="0" applyFont="1" applyAlignment="1" applyProtection="1">
      <alignment horizontal="left"/>
      <protection hidden="1"/>
    </xf>
    <xf numFmtId="0" fontId="31" fillId="0" borderId="0" xfId="0" applyFont="1" applyAlignment="1" applyProtection="1">
      <alignment horizontal="right"/>
      <protection hidden="1"/>
    </xf>
    <xf numFmtId="0" fontId="4" fillId="0" borderId="0" xfId="0" quotePrefix="1" applyFont="1" applyAlignment="1" applyProtection="1">
      <alignment horizontal="center"/>
      <protection hidden="1"/>
    </xf>
    <xf numFmtId="165" fontId="4" fillId="0" borderId="0" xfId="0" applyNumberFormat="1" applyFont="1" applyBorder="1" applyAlignment="1" applyProtection="1">
      <alignment horizontal="center"/>
      <protection hidden="1"/>
    </xf>
    <xf numFmtId="0" fontId="30" fillId="2" borderId="0" xfId="0" applyFont="1" applyFill="1" applyBorder="1" applyAlignment="1" applyProtection="1">
      <alignment horizontal="centerContinuous"/>
      <protection hidden="1"/>
    </xf>
    <xf numFmtId="0" fontId="4" fillId="2" borderId="0" xfId="0" quotePrefix="1" applyFont="1" applyFill="1" applyBorder="1" applyAlignment="1" applyProtection="1">
      <alignment horizontal="right"/>
      <protection hidden="1"/>
    </xf>
    <xf numFmtId="0" fontId="4" fillId="0" borderId="0" xfId="0" quotePrefix="1" applyFont="1" applyAlignment="1" applyProtection="1">
      <alignment horizontal="right"/>
      <protection hidden="1"/>
    </xf>
    <xf numFmtId="2" fontId="4" fillId="0" borderId="0" xfId="0" applyNumberFormat="1" applyFont="1" applyAlignment="1" applyProtection="1">
      <alignment horizontal="left"/>
      <protection hidden="1"/>
    </xf>
    <xf numFmtId="165" fontId="4" fillId="0" borderId="0" xfId="0" applyNumberFormat="1" applyFont="1" applyAlignment="1" applyProtection="1">
      <alignment horizontal="center"/>
      <protection hidden="1"/>
    </xf>
    <xf numFmtId="0" fontId="29" fillId="0" borderId="0" xfId="0" applyFont="1" applyAlignment="1" applyProtection="1">
      <alignment horizontal="right"/>
      <protection hidden="1"/>
    </xf>
    <xf numFmtId="0" fontId="4" fillId="0" borderId="0" xfId="0" applyFont="1" applyBorder="1" applyAlignment="1" applyProtection="1">
      <alignment horizontal="center"/>
      <protection hidden="1"/>
    </xf>
    <xf numFmtId="1" fontId="4" fillId="0" borderId="0" xfId="0" applyNumberFormat="1" applyFont="1" applyBorder="1" applyAlignment="1" applyProtection="1">
      <alignment horizontal="center"/>
      <protection hidden="1"/>
    </xf>
    <xf numFmtId="164" fontId="4" fillId="0" borderId="0" xfId="0" applyNumberFormat="1" applyFont="1" applyAlignment="1" applyProtection="1">
      <alignment horizontal="center"/>
      <protection hidden="1"/>
    </xf>
    <xf numFmtId="164" fontId="4" fillId="0" borderId="0" xfId="0" applyNumberFormat="1" applyFont="1" applyBorder="1" applyAlignment="1" applyProtection="1">
      <alignment horizontal="center"/>
      <protection hidden="1"/>
    </xf>
    <xf numFmtId="0" fontId="30" fillId="2" borderId="0" xfId="0" applyFont="1" applyFill="1" applyBorder="1" applyAlignment="1" applyProtection="1">
      <protection hidden="1"/>
    </xf>
    <xf numFmtId="0" fontId="46" fillId="4" borderId="31" xfId="0" applyFont="1" applyFill="1" applyBorder="1" applyAlignment="1" applyProtection="1">
      <alignment horizontal="center"/>
      <protection locked="0"/>
    </xf>
    <xf numFmtId="2" fontId="4" fillId="2" borderId="7" xfId="0" applyNumberFormat="1" applyFont="1" applyFill="1" applyBorder="1" applyAlignment="1" applyProtection="1">
      <alignment horizontal="center"/>
      <protection hidden="1"/>
    </xf>
    <xf numFmtId="0" fontId="2" fillId="0" borderId="8" xfId="0" quotePrefix="1" applyFont="1" applyBorder="1" applyProtection="1">
      <protection hidden="1"/>
    </xf>
    <xf numFmtId="0" fontId="6" fillId="0" borderId="0" xfId="0" quotePrefix="1" applyFont="1" applyBorder="1" applyAlignment="1" applyProtection="1">
      <alignment horizontal="left"/>
      <protection hidden="1"/>
    </xf>
    <xf numFmtId="0" fontId="6" fillId="0" borderId="0" xfId="0" quotePrefix="1" applyFont="1" applyBorder="1" applyProtection="1">
      <protection hidden="1"/>
    </xf>
    <xf numFmtId="0" fontId="6" fillId="0" borderId="12" xfId="0" applyFont="1" applyBorder="1" applyAlignment="1" applyProtection="1">
      <alignment horizontal="right"/>
      <protection hidden="1"/>
    </xf>
    <xf numFmtId="0" fontId="48" fillId="0" borderId="0" xfId="0" applyFont="1" applyBorder="1" applyAlignment="1" applyProtection="1">
      <alignment horizontal="right"/>
      <protection hidden="1"/>
    </xf>
    <xf numFmtId="0" fontId="72" fillId="0" borderId="0" xfId="0" applyFont="1"/>
    <xf numFmtId="0" fontId="72" fillId="0" borderId="0" xfId="0" applyFont="1" applyProtection="1"/>
    <xf numFmtId="0" fontId="73" fillId="0" borderId="0" xfId="0" applyFont="1" applyProtection="1"/>
    <xf numFmtId="0" fontId="72" fillId="0" borderId="0" xfId="0" applyFont="1" applyAlignment="1" applyProtection="1">
      <alignment horizontal="center"/>
    </xf>
    <xf numFmtId="0" fontId="72" fillId="0" borderId="0" xfId="0" applyFont="1" applyAlignment="1" applyProtection="1">
      <alignment horizontal="right"/>
    </xf>
    <xf numFmtId="2" fontId="72" fillId="2" borderId="0" xfId="0" applyNumberFormat="1" applyFont="1" applyFill="1" applyBorder="1" applyAlignment="1" applyProtection="1">
      <alignment horizontal="center"/>
    </xf>
    <xf numFmtId="0" fontId="74" fillId="0" borderId="0" xfId="0" applyFont="1" applyAlignment="1" applyProtection="1">
      <alignment horizontal="center"/>
    </xf>
    <xf numFmtId="2" fontId="72" fillId="0" borderId="0" xfId="0" applyNumberFormat="1" applyFont="1" applyAlignment="1" applyProtection="1">
      <alignment horizontal="center"/>
    </xf>
    <xf numFmtId="0" fontId="72" fillId="0" borderId="0" xfId="0" applyFont="1" applyAlignment="1" applyProtection="1">
      <alignment horizontal="left"/>
    </xf>
    <xf numFmtId="165" fontId="72" fillId="0" borderId="0" xfId="0" applyNumberFormat="1" applyFont="1" applyAlignment="1" applyProtection="1">
      <alignment horizontal="center"/>
    </xf>
    <xf numFmtId="1" fontId="72" fillId="2" borderId="0" xfId="0" applyNumberFormat="1" applyFont="1" applyFill="1" applyBorder="1" applyAlignment="1" applyProtection="1">
      <alignment horizontal="center"/>
    </xf>
    <xf numFmtId="2" fontId="72" fillId="0" borderId="0" xfId="0" applyNumberFormat="1" applyFont="1" applyBorder="1" applyAlignment="1" applyProtection="1">
      <alignment horizontal="center"/>
    </xf>
    <xf numFmtId="2" fontId="72" fillId="0" borderId="0" xfId="0" applyNumberFormat="1" applyFont="1" applyAlignment="1" applyProtection="1">
      <alignment horizontal="left"/>
    </xf>
    <xf numFmtId="0" fontId="72" fillId="0" borderId="0" xfId="0" quotePrefix="1" applyFont="1" applyAlignment="1" applyProtection="1">
      <alignment horizontal="right"/>
    </xf>
    <xf numFmtId="0" fontId="72" fillId="2" borderId="0" xfId="0" applyFont="1" applyFill="1" applyBorder="1" applyAlignment="1" applyProtection="1">
      <alignment horizontal="center"/>
    </xf>
    <xf numFmtId="0" fontId="75" fillId="0" borderId="0" xfId="0" applyFont="1" applyAlignment="1" applyProtection="1">
      <alignment horizontal="right"/>
    </xf>
    <xf numFmtId="0" fontId="72" fillId="0" borderId="0" xfId="0" applyFont="1" applyBorder="1" applyAlignment="1" applyProtection="1">
      <alignment horizontal="left"/>
      <protection hidden="1"/>
    </xf>
    <xf numFmtId="0" fontId="72" fillId="0" borderId="0" xfId="0" applyFont="1" applyBorder="1" applyAlignment="1" applyProtection="1">
      <alignment horizontal="center"/>
    </xf>
    <xf numFmtId="0" fontId="51" fillId="0" borderId="0" xfId="0" quotePrefix="1" applyFont="1" applyBorder="1" applyAlignment="1" applyProtection="1">
      <alignment horizontal="left"/>
      <protection hidden="1"/>
    </xf>
    <xf numFmtId="0" fontId="13" fillId="3" borderId="5" xfId="9" applyFont="1" applyFill="1" applyBorder="1" applyAlignment="1">
      <alignment horizontal="centerContinuous"/>
    </xf>
    <xf numFmtId="0" fontId="2" fillId="3" borderId="3" xfId="9" applyFill="1" applyBorder="1" applyAlignment="1">
      <alignment horizontal="centerContinuous"/>
    </xf>
    <xf numFmtId="0" fontId="2" fillId="3" borderId="4" xfId="9" applyFill="1" applyBorder="1" applyAlignment="1">
      <alignment horizontal="centerContinuous"/>
    </xf>
    <xf numFmtId="0" fontId="2" fillId="2" borderId="0" xfId="9" applyFill="1"/>
    <xf numFmtId="0" fontId="2" fillId="7" borderId="6" xfId="9" applyFill="1" applyBorder="1"/>
    <xf numFmtId="0" fontId="2" fillId="7" borderId="7" xfId="9" applyFill="1" applyBorder="1"/>
    <xf numFmtId="0" fontId="2" fillId="7" borderId="11" xfId="9" applyFill="1" applyBorder="1"/>
    <xf numFmtId="0" fontId="2" fillId="7" borderId="8" xfId="9" applyFill="1" applyBorder="1"/>
    <xf numFmtId="0" fontId="2" fillId="7" borderId="0" xfId="9" applyFill="1" applyBorder="1"/>
    <xf numFmtId="0" fontId="2" fillId="7" borderId="12" xfId="9" applyFill="1" applyBorder="1"/>
    <xf numFmtId="0" fontId="2" fillId="7" borderId="9" xfId="9" applyFill="1" applyBorder="1"/>
    <xf numFmtId="0" fontId="2" fillId="7" borderId="10" xfId="9" applyFill="1" applyBorder="1"/>
    <xf numFmtId="0" fontId="2" fillId="7" borderId="13" xfId="9" applyFill="1" applyBorder="1"/>
    <xf numFmtId="0" fontId="2" fillId="8" borderId="0" xfId="9" applyFill="1"/>
    <xf numFmtId="0" fontId="2" fillId="2" borderId="0" xfId="9" quotePrefix="1" applyFont="1" applyFill="1"/>
    <xf numFmtId="0" fontId="2" fillId="2" borderId="0" xfId="9" applyFont="1" applyFill="1"/>
    <xf numFmtId="0" fontId="2" fillId="2" borderId="0" xfId="9" applyFont="1" applyFill="1" applyAlignment="1">
      <alignment horizontal="center"/>
    </xf>
    <xf numFmtId="0" fontId="2" fillId="2" borderId="0" xfId="9" applyFill="1" applyAlignment="1">
      <alignment horizontal="center"/>
    </xf>
    <xf numFmtId="49" fontId="2" fillId="2" borderId="0" xfId="9" applyNumberFormat="1" applyFont="1" applyFill="1" applyAlignment="1">
      <alignment horizontal="center"/>
    </xf>
    <xf numFmtId="0" fontId="2" fillId="7" borderId="8" xfId="9" applyFont="1" applyFill="1" applyBorder="1"/>
    <xf numFmtId="0" fontId="2" fillId="7" borderId="9" xfId="9" applyFont="1" applyFill="1" applyBorder="1"/>
    <xf numFmtId="0" fontId="31" fillId="2" borderId="38" xfId="0" applyNumberFormat="1" applyFont="1" applyFill="1" applyBorder="1" applyAlignment="1" applyProtection="1">
      <alignment horizontal="center"/>
      <protection hidden="1"/>
    </xf>
    <xf numFmtId="165" fontId="4" fillId="0" borderId="41" xfId="0" applyNumberFormat="1" applyFont="1" applyBorder="1" applyAlignment="1" applyProtection="1">
      <alignment horizontal="center"/>
      <protection hidden="1"/>
    </xf>
    <xf numFmtId="0" fontId="2" fillId="2" borderId="0" xfId="0" applyFont="1" applyFill="1"/>
    <xf numFmtId="0" fontId="77" fillId="2" borderId="0" xfId="0" applyFont="1" applyFill="1"/>
    <xf numFmtId="0" fontId="2" fillId="2" borderId="8" xfId="0" applyFont="1" applyFill="1" applyBorder="1" applyProtection="1">
      <protection hidden="1"/>
    </xf>
    <xf numFmtId="0" fontId="6" fillId="2" borderId="0" xfId="0" quotePrefix="1" applyFont="1" applyFill="1" applyBorder="1" applyProtection="1">
      <protection hidden="1"/>
    </xf>
    <xf numFmtId="0" fontId="6" fillId="2" borderId="0" xfId="0" quotePrefix="1" applyFont="1" applyFill="1" applyBorder="1" applyAlignment="1" applyProtection="1">
      <alignment horizontal="left"/>
      <protection hidden="1"/>
    </xf>
    <xf numFmtId="0" fontId="39" fillId="2" borderId="8" xfId="0" applyFont="1" applyFill="1" applyBorder="1" applyProtection="1">
      <protection hidden="1"/>
    </xf>
    <xf numFmtId="2" fontId="39" fillId="5" borderId="5" xfId="7" applyNumberFormat="1" applyFont="1" applyFill="1" applyBorder="1" applyAlignment="1" applyProtection="1">
      <alignment horizontal="center" vertical="center"/>
      <protection locked="0"/>
    </xf>
    <xf numFmtId="2" fontId="39" fillId="5" borderId="4" xfId="7" applyNumberFormat="1" applyFont="1" applyFill="1" applyBorder="1" applyAlignment="1" applyProtection="1">
      <alignment horizontal="center" vertical="center"/>
      <protection locked="0"/>
    </xf>
    <xf numFmtId="2" fontId="39" fillId="6" borderId="5" xfId="0" applyNumberFormat="1" applyFont="1" applyFill="1" applyBorder="1" applyAlignment="1" applyProtection="1">
      <alignment horizontal="center"/>
      <protection hidden="1"/>
    </xf>
    <xf numFmtId="0" fontId="39" fillId="6" borderId="4" xfId="0" applyFont="1" applyFill="1" applyBorder="1" applyAlignment="1" applyProtection="1">
      <alignment horizontal="center"/>
      <protection hidden="1"/>
    </xf>
  </cellXfs>
  <cellStyles count="10">
    <cellStyle name="Comma0" xfId="1"/>
    <cellStyle name="Currency0" xfId="2"/>
    <cellStyle name="Date" xfId="3"/>
    <cellStyle name="Fixed" xfId="4"/>
    <cellStyle name="Heading 1" xfId="5" builtinId="16" customBuiltin="1"/>
    <cellStyle name="Heading 2" xfId="6" builtinId="17" customBuiltin="1"/>
    <cellStyle name="Normal" xfId="0" builtinId="0"/>
    <cellStyle name="Normal 2" xfId="9"/>
    <cellStyle name="Normal_CONNXJA-VERSION 1.0" xfId="7"/>
    <cellStyle name="Total" xfId="8" builtinId="25" customBuiltin="1"/>
  </cellStyles>
  <dxfs count="4">
    <dxf>
      <font>
        <b/>
        <i/>
        <strike val="0"/>
        <condense val="0"/>
        <extend val="0"/>
        <color indexed="10"/>
      </font>
    </dxf>
    <dxf>
      <font>
        <b/>
        <i/>
        <strike val="0"/>
        <condense val="0"/>
        <extend val="0"/>
        <color indexed="10"/>
      </font>
    </dxf>
    <dxf>
      <font>
        <b/>
        <i/>
        <strike val="0"/>
        <condense val="0"/>
        <extend val="0"/>
        <color indexed="10"/>
      </font>
    </dxf>
    <dxf>
      <font>
        <b/>
        <i/>
        <strike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5</xdr:col>
      <xdr:colOff>381000</xdr:colOff>
      <xdr:row>6</xdr:row>
      <xdr:rowOff>104775</xdr:rowOff>
    </xdr:from>
    <xdr:to>
      <xdr:col>7</xdr:col>
      <xdr:colOff>114300</xdr:colOff>
      <xdr:row>13</xdr:row>
      <xdr:rowOff>114300</xdr:rowOff>
    </xdr:to>
    <xdr:sp macro="" textlink="">
      <xdr:nvSpPr>
        <xdr:cNvPr id="259902" name="Rectangle 21">
          <a:extLst>
            <a:ext uri="{FF2B5EF4-FFF2-40B4-BE49-F238E27FC236}">
              <a16:creationId xmlns:a16="http://schemas.microsoft.com/office/drawing/2014/main" id="{00000000-0008-0000-0100-00003EF70300}"/>
            </a:ext>
          </a:extLst>
        </xdr:cNvPr>
        <xdr:cNvSpPr>
          <a:spLocks noChangeArrowheads="1"/>
        </xdr:cNvSpPr>
      </xdr:nvSpPr>
      <xdr:spPr bwMode="auto">
        <a:xfrm>
          <a:off x="4181475" y="1114425"/>
          <a:ext cx="1162050" cy="1143000"/>
        </a:xfrm>
        <a:prstGeom prst="rect">
          <a:avLst/>
        </a:prstGeom>
        <a:solidFill>
          <a:srgbClr val="FFFFFF"/>
        </a:solidFill>
        <a:ln w="9525">
          <a:solidFill>
            <a:srgbClr val="000000"/>
          </a:solidFill>
          <a:miter lim="800000"/>
          <a:headEnd/>
          <a:tailEnd/>
        </a:ln>
      </xdr:spPr>
    </xdr:sp>
    <xdr:clientData/>
  </xdr:twoCellAnchor>
  <xdr:twoCellAnchor>
    <xdr:from>
      <xdr:col>6</xdr:col>
      <xdr:colOff>352425</xdr:colOff>
      <xdr:row>6</xdr:row>
      <xdr:rowOff>104775</xdr:rowOff>
    </xdr:from>
    <xdr:to>
      <xdr:col>6</xdr:col>
      <xdr:colOff>352425</xdr:colOff>
      <xdr:row>13</xdr:row>
      <xdr:rowOff>114300</xdr:rowOff>
    </xdr:to>
    <xdr:sp macro="" textlink="">
      <xdr:nvSpPr>
        <xdr:cNvPr id="259903" name="Line 22">
          <a:extLst>
            <a:ext uri="{FF2B5EF4-FFF2-40B4-BE49-F238E27FC236}">
              <a16:creationId xmlns:a16="http://schemas.microsoft.com/office/drawing/2014/main" id="{00000000-0008-0000-0100-00003FF70300}"/>
            </a:ext>
          </a:extLst>
        </xdr:cNvPr>
        <xdr:cNvSpPr>
          <a:spLocks noChangeShapeType="1"/>
        </xdr:cNvSpPr>
      </xdr:nvSpPr>
      <xdr:spPr bwMode="auto">
        <a:xfrm>
          <a:off x="4762500" y="1114425"/>
          <a:ext cx="0" cy="1143000"/>
        </a:xfrm>
        <a:prstGeom prst="line">
          <a:avLst/>
        </a:prstGeom>
        <a:noFill/>
        <a:ln w="9525">
          <a:solidFill>
            <a:srgbClr val="000000"/>
          </a:solidFill>
          <a:round/>
          <a:headEnd/>
          <a:tailEnd/>
        </a:ln>
      </xdr:spPr>
    </xdr:sp>
    <xdr:clientData/>
  </xdr:twoCellAnchor>
  <xdr:twoCellAnchor>
    <xdr:from>
      <xdr:col>5</xdr:col>
      <xdr:colOff>381000</xdr:colOff>
      <xdr:row>20</xdr:row>
      <xdr:rowOff>9525</xdr:rowOff>
    </xdr:from>
    <xdr:to>
      <xdr:col>5</xdr:col>
      <xdr:colOff>381000</xdr:colOff>
      <xdr:row>22</xdr:row>
      <xdr:rowOff>95250</xdr:rowOff>
    </xdr:to>
    <xdr:sp macro="" textlink="">
      <xdr:nvSpPr>
        <xdr:cNvPr id="259904" name="Line 23">
          <a:extLst>
            <a:ext uri="{FF2B5EF4-FFF2-40B4-BE49-F238E27FC236}">
              <a16:creationId xmlns:a16="http://schemas.microsoft.com/office/drawing/2014/main" id="{00000000-0008-0000-0100-000040F70300}"/>
            </a:ext>
          </a:extLst>
        </xdr:cNvPr>
        <xdr:cNvSpPr>
          <a:spLocks noChangeShapeType="1"/>
        </xdr:cNvSpPr>
      </xdr:nvSpPr>
      <xdr:spPr bwMode="auto">
        <a:xfrm flipV="1">
          <a:off x="4181475" y="3286125"/>
          <a:ext cx="0" cy="409575"/>
        </a:xfrm>
        <a:prstGeom prst="line">
          <a:avLst/>
        </a:prstGeom>
        <a:noFill/>
        <a:ln w="9525">
          <a:solidFill>
            <a:srgbClr val="000000"/>
          </a:solidFill>
          <a:round/>
          <a:headEnd/>
          <a:tailEnd/>
        </a:ln>
      </xdr:spPr>
    </xdr:sp>
    <xdr:clientData/>
  </xdr:twoCellAnchor>
  <xdr:twoCellAnchor>
    <xdr:from>
      <xdr:col>7</xdr:col>
      <xdr:colOff>114300</xdr:colOff>
      <xdr:row>20</xdr:row>
      <xdr:rowOff>9525</xdr:rowOff>
    </xdr:from>
    <xdr:to>
      <xdr:col>7</xdr:col>
      <xdr:colOff>114300</xdr:colOff>
      <xdr:row>22</xdr:row>
      <xdr:rowOff>95250</xdr:rowOff>
    </xdr:to>
    <xdr:sp macro="" textlink="">
      <xdr:nvSpPr>
        <xdr:cNvPr id="259905" name="Line 24">
          <a:extLst>
            <a:ext uri="{FF2B5EF4-FFF2-40B4-BE49-F238E27FC236}">
              <a16:creationId xmlns:a16="http://schemas.microsoft.com/office/drawing/2014/main" id="{00000000-0008-0000-0100-000041F70300}"/>
            </a:ext>
          </a:extLst>
        </xdr:cNvPr>
        <xdr:cNvSpPr>
          <a:spLocks noChangeShapeType="1"/>
        </xdr:cNvSpPr>
      </xdr:nvSpPr>
      <xdr:spPr bwMode="auto">
        <a:xfrm flipV="1">
          <a:off x="5343525" y="3286125"/>
          <a:ext cx="0" cy="409575"/>
        </a:xfrm>
        <a:prstGeom prst="line">
          <a:avLst/>
        </a:prstGeom>
        <a:noFill/>
        <a:ln w="9525">
          <a:solidFill>
            <a:srgbClr val="000000"/>
          </a:solidFill>
          <a:round/>
          <a:headEnd/>
          <a:tailEnd/>
        </a:ln>
      </xdr:spPr>
    </xdr:sp>
    <xdr:clientData/>
  </xdr:twoCellAnchor>
  <xdr:twoCellAnchor>
    <xdr:from>
      <xdr:col>5</xdr:col>
      <xdr:colOff>381000</xdr:colOff>
      <xdr:row>17</xdr:row>
      <xdr:rowOff>152400</xdr:rowOff>
    </xdr:from>
    <xdr:to>
      <xdr:col>6</xdr:col>
      <xdr:colOff>352425</xdr:colOff>
      <xdr:row>20</xdr:row>
      <xdr:rowOff>9525</xdr:rowOff>
    </xdr:to>
    <xdr:sp macro="" textlink="">
      <xdr:nvSpPr>
        <xdr:cNvPr id="259906" name="Line 25">
          <a:extLst>
            <a:ext uri="{FF2B5EF4-FFF2-40B4-BE49-F238E27FC236}">
              <a16:creationId xmlns:a16="http://schemas.microsoft.com/office/drawing/2014/main" id="{00000000-0008-0000-0100-000042F70300}"/>
            </a:ext>
          </a:extLst>
        </xdr:cNvPr>
        <xdr:cNvSpPr>
          <a:spLocks noChangeShapeType="1"/>
        </xdr:cNvSpPr>
      </xdr:nvSpPr>
      <xdr:spPr bwMode="auto">
        <a:xfrm flipV="1">
          <a:off x="4181475" y="2943225"/>
          <a:ext cx="581025" cy="342900"/>
        </a:xfrm>
        <a:prstGeom prst="line">
          <a:avLst/>
        </a:prstGeom>
        <a:noFill/>
        <a:ln w="9525">
          <a:solidFill>
            <a:srgbClr val="000000"/>
          </a:solidFill>
          <a:round/>
          <a:headEnd/>
          <a:tailEnd/>
        </a:ln>
      </xdr:spPr>
    </xdr:sp>
    <xdr:clientData/>
  </xdr:twoCellAnchor>
  <xdr:twoCellAnchor>
    <xdr:from>
      <xdr:col>6</xdr:col>
      <xdr:colOff>352425</xdr:colOff>
      <xdr:row>17</xdr:row>
      <xdr:rowOff>152400</xdr:rowOff>
    </xdr:from>
    <xdr:to>
      <xdr:col>7</xdr:col>
      <xdr:colOff>114300</xdr:colOff>
      <xdr:row>20</xdr:row>
      <xdr:rowOff>9525</xdr:rowOff>
    </xdr:to>
    <xdr:sp macro="" textlink="">
      <xdr:nvSpPr>
        <xdr:cNvPr id="259907" name="Line 26">
          <a:extLst>
            <a:ext uri="{FF2B5EF4-FFF2-40B4-BE49-F238E27FC236}">
              <a16:creationId xmlns:a16="http://schemas.microsoft.com/office/drawing/2014/main" id="{00000000-0008-0000-0100-000043F70300}"/>
            </a:ext>
          </a:extLst>
        </xdr:cNvPr>
        <xdr:cNvSpPr>
          <a:spLocks noChangeShapeType="1"/>
        </xdr:cNvSpPr>
      </xdr:nvSpPr>
      <xdr:spPr bwMode="auto">
        <a:xfrm>
          <a:off x="4762500" y="2943225"/>
          <a:ext cx="581025" cy="342900"/>
        </a:xfrm>
        <a:prstGeom prst="line">
          <a:avLst/>
        </a:prstGeom>
        <a:noFill/>
        <a:ln w="9525">
          <a:solidFill>
            <a:srgbClr val="000000"/>
          </a:solidFill>
          <a:round/>
          <a:headEnd/>
          <a:tailEnd/>
        </a:ln>
      </xdr:spPr>
    </xdr:sp>
    <xdr:clientData/>
  </xdr:twoCellAnchor>
  <xdr:twoCellAnchor>
    <xdr:from>
      <xdr:col>5</xdr:col>
      <xdr:colOff>381000</xdr:colOff>
      <xdr:row>22</xdr:row>
      <xdr:rowOff>95250</xdr:rowOff>
    </xdr:from>
    <xdr:to>
      <xdr:col>7</xdr:col>
      <xdr:colOff>114300</xdr:colOff>
      <xdr:row>22</xdr:row>
      <xdr:rowOff>95250</xdr:rowOff>
    </xdr:to>
    <xdr:sp macro="" textlink="">
      <xdr:nvSpPr>
        <xdr:cNvPr id="259908" name="Line 27">
          <a:extLst>
            <a:ext uri="{FF2B5EF4-FFF2-40B4-BE49-F238E27FC236}">
              <a16:creationId xmlns:a16="http://schemas.microsoft.com/office/drawing/2014/main" id="{00000000-0008-0000-0100-000044F70300}"/>
            </a:ext>
          </a:extLst>
        </xdr:cNvPr>
        <xdr:cNvSpPr>
          <a:spLocks noChangeShapeType="1"/>
        </xdr:cNvSpPr>
      </xdr:nvSpPr>
      <xdr:spPr bwMode="auto">
        <a:xfrm>
          <a:off x="4181475" y="3695700"/>
          <a:ext cx="1162050" cy="0"/>
        </a:xfrm>
        <a:prstGeom prst="line">
          <a:avLst/>
        </a:prstGeom>
        <a:noFill/>
        <a:ln w="9525">
          <a:solidFill>
            <a:srgbClr val="000000"/>
          </a:solidFill>
          <a:round/>
          <a:headEnd/>
          <a:tailEnd/>
        </a:ln>
      </xdr:spPr>
    </xdr:sp>
    <xdr:clientData/>
  </xdr:twoCellAnchor>
  <xdr:twoCellAnchor>
    <xdr:from>
      <xdr:col>5</xdr:col>
      <xdr:colOff>381000</xdr:colOff>
      <xdr:row>15</xdr:row>
      <xdr:rowOff>38100</xdr:rowOff>
    </xdr:from>
    <xdr:to>
      <xdr:col>7</xdr:col>
      <xdr:colOff>114300</xdr:colOff>
      <xdr:row>15</xdr:row>
      <xdr:rowOff>38100</xdr:rowOff>
    </xdr:to>
    <xdr:sp macro="" textlink="">
      <xdr:nvSpPr>
        <xdr:cNvPr id="259909" name="Line 28">
          <a:extLst>
            <a:ext uri="{FF2B5EF4-FFF2-40B4-BE49-F238E27FC236}">
              <a16:creationId xmlns:a16="http://schemas.microsoft.com/office/drawing/2014/main" id="{00000000-0008-0000-0100-000045F70300}"/>
            </a:ext>
          </a:extLst>
        </xdr:cNvPr>
        <xdr:cNvSpPr>
          <a:spLocks noChangeShapeType="1"/>
        </xdr:cNvSpPr>
      </xdr:nvSpPr>
      <xdr:spPr bwMode="auto">
        <a:xfrm>
          <a:off x="4181475" y="2505075"/>
          <a:ext cx="1162050" cy="0"/>
        </a:xfrm>
        <a:prstGeom prst="line">
          <a:avLst/>
        </a:prstGeom>
        <a:noFill/>
        <a:ln w="9525">
          <a:solidFill>
            <a:srgbClr val="000000"/>
          </a:solidFill>
          <a:round/>
          <a:headEnd type="stealth" w="sm" len="sm"/>
          <a:tailEnd type="stealth" w="sm" len="sm"/>
        </a:ln>
      </xdr:spPr>
    </xdr:sp>
    <xdr:clientData/>
  </xdr:twoCellAnchor>
  <xdr:twoCellAnchor>
    <xdr:from>
      <xdr:col>5</xdr:col>
      <xdr:colOff>381000</xdr:colOff>
      <xdr:row>14</xdr:row>
      <xdr:rowOff>66675</xdr:rowOff>
    </xdr:from>
    <xdr:to>
      <xdr:col>5</xdr:col>
      <xdr:colOff>381000</xdr:colOff>
      <xdr:row>16</xdr:row>
      <xdr:rowOff>9525</xdr:rowOff>
    </xdr:to>
    <xdr:sp macro="" textlink="">
      <xdr:nvSpPr>
        <xdr:cNvPr id="259910" name="Line 29">
          <a:extLst>
            <a:ext uri="{FF2B5EF4-FFF2-40B4-BE49-F238E27FC236}">
              <a16:creationId xmlns:a16="http://schemas.microsoft.com/office/drawing/2014/main" id="{00000000-0008-0000-0100-000046F70300}"/>
            </a:ext>
          </a:extLst>
        </xdr:cNvPr>
        <xdr:cNvSpPr>
          <a:spLocks noChangeShapeType="1"/>
        </xdr:cNvSpPr>
      </xdr:nvSpPr>
      <xdr:spPr bwMode="auto">
        <a:xfrm>
          <a:off x="4181475" y="2371725"/>
          <a:ext cx="0" cy="266700"/>
        </a:xfrm>
        <a:prstGeom prst="line">
          <a:avLst/>
        </a:prstGeom>
        <a:noFill/>
        <a:ln w="9525">
          <a:solidFill>
            <a:srgbClr val="000000"/>
          </a:solidFill>
          <a:round/>
          <a:headEnd/>
          <a:tailEnd/>
        </a:ln>
      </xdr:spPr>
    </xdr:sp>
    <xdr:clientData/>
  </xdr:twoCellAnchor>
  <xdr:twoCellAnchor>
    <xdr:from>
      <xdr:col>7</xdr:col>
      <xdr:colOff>114300</xdr:colOff>
      <xdr:row>14</xdr:row>
      <xdr:rowOff>66675</xdr:rowOff>
    </xdr:from>
    <xdr:to>
      <xdr:col>7</xdr:col>
      <xdr:colOff>114300</xdr:colOff>
      <xdr:row>16</xdr:row>
      <xdr:rowOff>9525</xdr:rowOff>
    </xdr:to>
    <xdr:sp macro="" textlink="">
      <xdr:nvSpPr>
        <xdr:cNvPr id="259911" name="Line 30">
          <a:extLst>
            <a:ext uri="{FF2B5EF4-FFF2-40B4-BE49-F238E27FC236}">
              <a16:creationId xmlns:a16="http://schemas.microsoft.com/office/drawing/2014/main" id="{00000000-0008-0000-0100-000047F70300}"/>
            </a:ext>
          </a:extLst>
        </xdr:cNvPr>
        <xdr:cNvSpPr>
          <a:spLocks noChangeShapeType="1"/>
        </xdr:cNvSpPr>
      </xdr:nvSpPr>
      <xdr:spPr bwMode="auto">
        <a:xfrm>
          <a:off x="5343525" y="2371725"/>
          <a:ext cx="0" cy="266700"/>
        </a:xfrm>
        <a:prstGeom prst="line">
          <a:avLst/>
        </a:prstGeom>
        <a:noFill/>
        <a:ln w="9525">
          <a:solidFill>
            <a:srgbClr val="000000"/>
          </a:solidFill>
          <a:round/>
          <a:headEnd/>
          <a:tailEnd/>
        </a:ln>
      </xdr:spPr>
    </xdr:sp>
    <xdr:clientData/>
  </xdr:twoCellAnchor>
  <xdr:twoCellAnchor>
    <xdr:from>
      <xdr:col>5</xdr:col>
      <xdr:colOff>381000</xdr:colOff>
      <xdr:row>22</xdr:row>
      <xdr:rowOff>123825</xdr:rowOff>
    </xdr:from>
    <xdr:to>
      <xdr:col>5</xdr:col>
      <xdr:colOff>381000</xdr:colOff>
      <xdr:row>24</xdr:row>
      <xdr:rowOff>66675</xdr:rowOff>
    </xdr:to>
    <xdr:sp macro="" textlink="">
      <xdr:nvSpPr>
        <xdr:cNvPr id="259912" name="Line 31">
          <a:extLst>
            <a:ext uri="{FF2B5EF4-FFF2-40B4-BE49-F238E27FC236}">
              <a16:creationId xmlns:a16="http://schemas.microsoft.com/office/drawing/2014/main" id="{00000000-0008-0000-0100-000048F70300}"/>
            </a:ext>
          </a:extLst>
        </xdr:cNvPr>
        <xdr:cNvSpPr>
          <a:spLocks noChangeShapeType="1"/>
        </xdr:cNvSpPr>
      </xdr:nvSpPr>
      <xdr:spPr bwMode="auto">
        <a:xfrm>
          <a:off x="4181475" y="3724275"/>
          <a:ext cx="0" cy="266700"/>
        </a:xfrm>
        <a:prstGeom prst="line">
          <a:avLst/>
        </a:prstGeom>
        <a:noFill/>
        <a:ln w="9525">
          <a:solidFill>
            <a:srgbClr val="000000"/>
          </a:solidFill>
          <a:round/>
          <a:headEnd/>
          <a:tailEnd/>
        </a:ln>
      </xdr:spPr>
    </xdr:sp>
    <xdr:clientData/>
  </xdr:twoCellAnchor>
  <xdr:twoCellAnchor>
    <xdr:from>
      <xdr:col>7</xdr:col>
      <xdr:colOff>114300</xdr:colOff>
      <xdr:row>22</xdr:row>
      <xdr:rowOff>123825</xdr:rowOff>
    </xdr:from>
    <xdr:to>
      <xdr:col>7</xdr:col>
      <xdr:colOff>114300</xdr:colOff>
      <xdr:row>24</xdr:row>
      <xdr:rowOff>66675</xdr:rowOff>
    </xdr:to>
    <xdr:sp macro="" textlink="">
      <xdr:nvSpPr>
        <xdr:cNvPr id="259913" name="Line 32">
          <a:extLst>
            <a:ext uri="{FF2B5EF4-FFF2-40B4-BE49-F238E27FC236}">
              <a16:creationId xmlns:a16="http://schemas.microsoft.com/office/drawing/2014/main" id="{00000000-0008-0000-0100-000049F70300}"/>
            </a:ext>
          </a:extLst>
        </xdr:cNvPr>
        <xdr:cNvSpPr>
          <a:spLocks noChangeShapeType="1"/>
        </xdr:cNvSpPr>
      </xdr:nvSpPr>
      <xdr:spPr bwMode="auto">
        <a:xfrm>
          <a:off x="5343525" y="3724275"/>
          <a:ext cx="0" cy="266700"/>
        </a:xfrm>
        <a:prstGeom prst="line">
          <a:avLst/>
        </a:prstGeom>
        <a:noFill/>
        <a:ln w="9525">
          <a:solidFill>
            <a:srgbClr val="000000"/>
          </a:solidFill>
          <a:round/>
          <a:headEnd/>
          <a:tailEnd/>
        </a:ln>
      </xdr:spPr>
    </xdr:sp>
    <xdr:clientData/>
  </xdr:twoCellAnchor>
  <xdr:twoCellAnchor>
    <xdr:from>
      <xdr:col>5</xdr:col>
      <xdr:colOff>381000</xdr:colOff>
      <xdr:row>23</xdr:row>
      <xdr:rowOff>114300</xdr:rowOff>
    </xdr:from>
    <xdr:to>
      <xdr:col>7</xdr:col>
      <xdr:colOff>114300</xdr:colOff>
      <xdr:row>23</xdr:row>
      <xdr:rowOff>114300</xdr:rowOff>
    </xdr:to>
    <xdr:sp macro="" textlink="">
      <xdr:nvSpPr>
        <xdr:cNvPr id="259914" name="Line 33">
          <a:extLst>
            <a:ext uri="{FF2B5EF4-FFF2-40B4-BE49-F238E27FC236}">
              <a16:creationId xmlns:a16="http://schemas.microsoft.com/office/drawing/2014/main" id="{00000000-0008-0000-0100-00004AF70300}"/>
            </a:ext>
          </a:extLst>
        </xdr:cNvPr>
        <xdr:cNvSpPr>
          <a:spLocks noChangeShapeType="1"/>
        </xdr:cNvSpPr>
      </xdr:nvSpPr>
      <xdr:spPr bwMode="auto">
        <a:xfrm>
          <a:off x="4181475" y="3876675"/>
          <a:ext cx="1162050" cy="0"/>
        </a:xfrm>
        <a:prstGeom prst="line">
          <a:avLst/>
        </a:prstGeom>
        <a:noFill/>
        <a:ln w="9525">
          <a:solidFill>
            <a:srgbClr val="000000"/>
          </a:solidFill>
          <a:round/>
          <a:headEnd type="stealth" w="sm" len="sm"/>
          <a:tailEnd type="stealth" w="sm" len="sm"/>
        </a:ln>
      </xdr:spPr>
    </xdr:sp>
    <xdr:clientData/>
  </xdr:twoCellAnchor>
  <xdr:twoCellAnchor>
    <xdr:from>
      <xdr:col>7</xdr:col>
      <xdr:colOff>247650</xdr:colOff>
      <xdr:row>22</xdr:row>
      <xdr:rowOff>95250</xdr:rowOff>
    </xdr:from>
    <xdr:to>
      <xdr:col>7</xdr:col>
      <xdr:colOff>504825</xdr:colOff>
      <xdr:row>22</xdr:row>
      <xdr:rowOff>95250</xdr:rowOff>
    </xdr:to>
    <xdr:sp macro="" textlink="">
      <xdr:nvSpPr>
        <xdr:cNvPr id="259915" name="Line 34">
          <a:extLst>
            <a:ext uri="{FF2B5EF4-FFF2-40B4-BE49-F238E27FC236}">
              <a16:creationId xmlns:a16="http://schemas.microsoft.com/office/drawing/2014/main" id="{00000000-0008-0000-0100-00004BF70300}"/>
            </a:ext>
          </a:extLst>
        </xdr:cNvPr>
        <xdr:cNvSpPr>
          <a:spLocks noChangeShapeType="1"/>
        </xdr:cNvSpPr>
      </xdr:nvSpPr>
      <xdr:spPr bwMode="auto">
        <a:xfrm>
          <a:off x="5476875" y="3695700"/>
          <a:ext cx="257175" cy="0"/>
        </a:xfrm>
        <a:prstGeom prst="line">
          <a:avLst/>
        </a:prstGeom>
        <a:noFill/>
        <a:ln w="9525">
          <a:solidFill>
            <a:srgbClr val="000000"/>
          </a:solidFill>
          <a:round/>
          <a:headEnd/>
          <a:tailEnd/>
        </a:ln>
      </xdr:spPr>
    </xdr:sp>
    <xdr:clientData/>
  </xdr:twoCellAnchor>
  <xdr:twoCellAnchor>
    <xdr:from>
      <xdr:col>7</xdr:col>
      <xdr:colOff>257175</xdr:colOff>
      <xdr:row>20</xdr:row>
      <xdr:rowOff>9525</xdr:rowOff>
    </xdr:from>
    <xdr:to>
      <xdr:col>7</xdr:col>
      <xdr:colOff>514350</xdr:colOff>
      <xdr:row>20</xdr:row>
      <xdr:rowOff>9525</xdr:rowOff>
    </xdr:to>
    <xdr:sp macro="" textlink="">
      <xdr:nvSpPr>
        <xdr:cNvPr id="259916" name="Line 35">
          <a:extLst>
            <a:ext uri="{FF2B5EF4-FFF2-40B4-BE49-F238E27FC236}">
              <a16:creationId xmlns:a16="http://schemas.microsoft.com/office/drawing/2014/main" id="{00000000-0008-0000-0100-00004CF70300}"/>
            </a:ext>
          </a:extLst>
        </xdr:cNvPr>
        <xdr:cNvSpPr>
          <a:spLocks noChangeShapeType="1"/>
        </xdr:cNvSpPr>
      </xdr:nvSpPr>
      <xdr:spPr bwMode="auto">
        <a:xfrm>
          <a:off x="5486400" y="3286125"/>
          <a:ext cx="257175" cy="0"/>
        </a:xfrm>
        <a:prstGeom prst="line">
          <a:avLst/>
        </a:prstGeom>
        <a:noFill/>
        <a:ln w="9525">
          <a:solidFill>
            <a:srgbClr val="000000"/>
          </a:solidFill>
          <a:round/>
          <a:headEnd/>
          <a:tailEnd/>
        </a:ln>
      </xdr:spPr>
    </xdr:sp>
    <xdr:clientData/>
  </xdr:twoCellAnchor>
  <xdr:twoCellAnchor>
    <xdr:from>
      <xdr:col>4</xdr:col>
      <xdr:colOff>581025</xdr:colOff>
      <xdr:row>17</xdr:row>
      <xdr:rowOff>142875</xdr:rowOff>
    </xdr:from>
    <xdr:to>
      <xdr:col>6</xdr:col>
      <xdr:colOff>304800</xdr:colOff>
      <xdr:row>17</xdr:row>
      <xdr:rowOff>142875</xdr:rowOff>
    </xdr:to>
    <xdr:sp macro="" textlink="">
      <xdr:nvSpPr>
        <xdr:cNvPr id="259917" name="Line 36">
          <a:extLst>
            <a:ext uri="{FF2B5EF4-FFF2-40B4-BE49-F238E27FC236}">
              <a16:creationId xmlns:a16="http://schemas.microsoft.com/office/drawing/2014/main" id="{00000000-0008-0000-0100-00004DF70300}"/>
            </a:ext>
          </a:extLst>
        </xdr:cNvPr>
        <xdr:cNvSpPr>
          <a:spLocks noChangeShapeType="1"/>
        </xdr:cNvSpPr>
      </xdr:nvSpPr>
      <xdr:spPr bwMode="auto">
        <a:xfrm>
          <a:off x="3771900" y="2933700"/>
          <a:ext cx="942975" cy="0"/>
        </a:xfrm>
        <a:prstGeom prst="line">
          <a:avLst/>
        </a:prstGeom>
        <a:noFill/>
        <a:ln w="9525">
          <a:solidFill>
            <a:srgbClr val="000000"/>
          </a:solidFill>
          <a:round/>
          <a:headEnd/>
          <a:tailEnd/>
        </a:ln>
      </xdr:spPr>
    </xdr:sp>
    <xdr:clientData/>
  </xdr:twoCellAnchor>
  <xdr:twoCellAnchor>
    <xdr:from>
      <xdr:col>4</xdr:col>
      <xdr:colOff>581025</xdr:colOff>
      <xdr:row>22</xdr:row>
      <xdr:rowOff>95250</xdr:rowOff>
    </xdr:from>
    <xdr:to>
      <xdr:col>5</xdr:col>
      <xdr:colOff>180975</xdr:colOff>
      <xdr:row>22</xdr:row>
      <xdr:rowOff>95250</xdr:rowOff>
    </xdr:to>
    <xdr:sp macro="" textlink="">
      <xdr:nvSpPr>
        <xdr:cNvPr id="259918" name="Line 37">
          <a:extLst>
            <a:ext uri="{FF2B5EF4-FFF2-40B4-BE49-F238E27FC236}">
              <a16:creationId xmlns:a16="http://schemas.microsoft.com/office/drawing/2014/main" id="{00000000-0008-0000-0100-00004EF70300}"/>
            </a:ext>
          </a:extLst>
        </xdr:cNvPr>
        <xdr:cNvSpPr>
          <a:spLocks noChangeShapeType="1"/>
        </xdr:cNvSpPr>
      </xdr:nvSpPr>
      <xdr:spPr bwMode="auto">
        <a:xfrm flipH="1">
          <a:off x="3771900" y="3695700"/>
          <a:ext cx="209550" cy="0"/>
        </a:xfrm>
        <a:prstGeom prst="line">
          <a:avLst/>
        </a:prstGeom>
        <a:noFill/>
        <a:ln w="9525">
          <a:solidFill>
            <a:srgbClr val="000000"/>
          </a:solidFill>
          <a:round/>
          <a:headEnd/>
          <a:tailEnd/>
        </a:ln>
      </xdr:spPr>
    </xdr:sp>
    <xdr:clientData/>
  </xdr:twoCellAnchor>
  <xdr:twoCellAnchor>
    <xdr:from>
      <xdr:col>7</xdr:col>
      <xdr:colOff>381000</xdr:colOff>
      <xdr:row>20</xdr:row>
      <xdr:rowOff>9525</xdr:rowOff>
    </xdr:from>
    <xdr:to>
      <xdr:col>7</xdr:col>
      <xdr:colOff>381000</xdr:colOff>
      <xdr:row>22</xdr:row>
      <xdr:rowOff>95250</xdr:rowOff>
    </xdr:to>
    <xdr:sp macro="" textlink="">
      <xdr:nvSpPr>
        <xdr:cNvPr id="259919" name="Line 38">
          <a:extLst>
            <a:ext uri="{FF2B5EF4-FFF2-40B4-BE49-F238E27FC236}">
              <a16:creationId xmlns:a16="http://schemas.microsoft.com/office/drawing/2014/main" id="{00000000-0008-0000-0100-00004FF70300}"/>
            </a:ext>
          </a:extLst>
        </xdr:cNvPr>
        <xdr:cNvSpPr>
          <a:spLocks noChangeShapeType="1"/>
        </xdr:cNvSpPr>
      </xdr:nvSpPr>
      <xdr:spPr bwMode="auto">
        <a:xfrm>
          <a:off x="5610225" y="3286125"/>
          <a:ext cx="0" cy="409575"/>
        </a:xfrm>
        <a:prstGeom prst="line">
          <a:avLst/>
        </a:prstGeom>
        <a:noFill/>
        <a:ln w="9525">
          <a:solidFill>
            <a:srgbClr val="000000"/>
          </a:solidFill>
          <a:round/>
          <a:headEnd type="stealth" w="sm" len="sm"/>
          <a:tailEnd type="stealth" w="sm" len="sm"/>
        </a:ln>
      </xdr:spPr>
    </xdr:sp>
    <xdr:clientData/>
  </xdr:twoCellAnchor>
  <xdr:twoCellAnchor>
    <xdr:from>
      <xdr:col>5</xdr:col>
      <xdr:colOff>76200</xdr:colOff>
      <xdr:row>17</xdr:row>
      <xdr:rowOff>142875</xdr:rowOff>
    </xdr:from>
    <xdr:to>
      <xdr:col>5</xdr:col>
      <xdr:colOff>76200</xdr:colOff>
      <xdr:row>22</xdr:row>
      <xdr:rowOff>95250</xdr:rowOff>
    </xdr:to>
    <xdr:sp macro="" textlink="">
      <xdr:nvSpPr>
        <xdr:cNvPr id="259920" name="Line 39">
          <a:extLst>
            <a:ext uri="{FF2B5EF4-FFF2-40B4-BE49-F238E27FC236}">
              <a16:creationId xmlns:a16="http://schemas.microsoft.com/office/drawing/2014/main" id="{00000000-0008-0000-0100-000050F70300}"/>
            </a:ext>
          </a:extLst>
        </xdr:cNvPr>
        <xdr:cNvSpPr>
          <a:spLocks noChangeShapeType="1"/>
        </xdr:cNvSpPr>
      </xdr:nvSpPr>
      <xdr:spPr bwMode="auto">
        <a:xfrm>
          <a:off x="3876675" y="2933700"/>
          <a:ext cx="0" cy="762000"/>
        </a:xfrm>
        <a:prstGeom prst="line">
          <a:avLst/>
        </a:prstGeom>
        <a:noFill/>
        <a:ln w="9525">
          <a:solidFill>
            <a:srgbClr val="000000"/>
          </a:solidFill>
          <a:round/>
          <a:headEnd type="stealth" w="sm" len="sm"/>
          <a:tailEnd type="stealth" w="sm" len="sm"/>
        </a:ln>
      </xdr:spPr>
    </xdr:sp>
    <xdr:clientData/>
  </xdr:twoCellAnchor>
  <xdr:twoCellAnchor>
    <xdr:from>
      <xdr:col>7</xdr:col>
      <xdr:colOff>257175</xdr:colOff>
      <xdr:row>13</xdr:row>
      <xdr:rowOff>114300</xdr:rowOff>
    </xdr:from>
    <xdr:to>
      <xdr:col>7</xdr:col>
      <xdr:colOff>514350</xdr:colOff>
      <xdr:row>13</xdr:row>
      <xdr:rowOff>114300</xdr:rowOff>
    </xdr:to>
    <xdr:sp macro="" textlink="">
      <xdr:nvSpPr>
        <xdr:cNvPr id="259921" name="Line 40">
          <a:extLst>
            <a:ext uri="{FF2B5EF4-FFF2-40B4-BE49-F238E27FC236}">
              <a16:creationId xmlns:a16="http://schemas.microsoft.com/office/drawing/2014/main" id="{00000000-0008-0000-0100-000051F70300}"/>
            </a:ext>
          </a:extLst>
        </xdr:cNvPr>
        <xdr:cNvSpPr>
          <a:spLocks noChangeShapeType="1"/>
        </xdr:cNvSpPr>
      </xdr:nvSpPr>
      <xdr:spPr bwMode="auto">
        <a:xfrm>
          <a:off x="5486400" y="2257425"/>
          <a:ext cx="257175" cy="0"/>
        </a:xfrm>
        <a:prstGeom prst="line">
          <a:avLst/>
        </a:prstGeom>
        <a:noFill/>
        <a:ln w="9525">
          <a:solidFill>
            <a:srgbClr val="000000"/>
          </a:solidFill>
          <a:round/>
          <a:headEnd/>
          <a:tailEnd/>
        </a:ln>
      </xdr:spPr>
    </xdr:sp>
    <xdr:clientData/>
  </xdr:twoCellAnchor>
  <xdr:twoCellAnchor>
    <xdr:from>
      <xdr:col>7</xdr:col>
      <xdr:colOff>257175</xdr:colOff>
      <xdr:row>6</xdr:row>
      <xdr:rowOff>104775</xdr:rowOff>
    </xdr:from>
    <xdr:to>
      <xdr:col>7</xdr:col>
      <xdr:colOff>514350</xdr:colOff>
      <xdr:row>6</xdr:row>
      <xdr:rowOff>104775</xdr:rowOff>
    </xdr:to>
    <xdr:sp macro="" textlink="">
      <xdr:nvSpPr>
        <xdr:cNvPr id="259922" name="Line 41">
          <a:extLst>
            <a:ext uri="{FF2B5EF4-FFF2-40B4-BE49-F238E27FC236}">
              <a16:creationId xmlns:a16="http://schemas.microsoft.com/office/drawing/2014/main" id="{00000000-0008-0000-0100-000052F70300}"/>
            </a:ext>
          </a:extLst>
        </xdr:cNvPr>
        <xdr:cNvSpPr>
          <a:spLocks noChangeShapeType="1"/>
        </xdr:cNvSpPr>
      </xdr:nvSpPr>
      <xdr:spPr bwMode="auto">
        <a:xfrm>
          <a:off x="5486400" y="1114425"/>
          <a:ext cx="257175" cy="0"/>
        </a:xfrm>
        <a:prstGeom prst="line">
          <a:avLst/>
        </a:prstGeom>
        <a:noFill/>
        <a:ln w="9525">
          <a:solidFill>
            <a:srgbClr val="000000"/>
          </a:solidFill>
          <a:round/>
          <a:headEnd/>
          <a:tailEnd/>
        </a:ln>
      </xdr:spPr>
    </xdr:sp>
    <xdr:clientData/>
  </xdr:twoCellAnchor>
  <xdr:twoCellAnchor>
    <xdr:from>
      <xdr:col>7</xdr:col>
      <xdr:colOff>371475</xdr:colOff>
      <xdr:row>6</xdr:row>
      <xdr:rowOff>104775</xdr:rowOff>
    </xdr:from>
    <xdr:to>
      <xdr:col>7</xdr:col>
      <xdr:colOff>371475</xdr:colOff>
      <xdr:row>13</xdr:row>
      <xdr:rowOff>114300</xdr:rowOff>
    </xdr:to>
    <xdr:sp macro="" textlink="">
      <xdr:nvSpPr>
        <xdr:cNvPr id="259923" name="Line 42">
          <a:extLst>
            <a:ext uri="{FF2B5EF4-FFF2-40B4-BE49-F238E27FC236}">
              <a16:creationId xmlns:a16="http://schemas.microsoft.com/office/drawing/2014/main" id="{00000000-0008-0000-0100-000053F70300}"/>
            </a:ext>
          </a:extLst>
        </xdr:cNvPr>
        <xdr:cNvSpPr>
          <a:spLocks noChangeShapeType="1"/>
        </xdr:cNvSpPr>
      </xdr:nvSpPr>
      <xdr:spPr bwMode="auto">
        <a:xfrm>
          <a:off x="5600700" y="1114425"/>
          <a:ext cx="0" cy="1143000"/>
        </a:xfrm>
        <a:prstGeom prst="line">
          <a:avLst/>
        </a:prstGeom>
        <a:noFill/>
        <a:ln w="9525">
          <a:solidFill>
            <a:srgbClr val="000000"/>
          </a:solidFill>
          <a:round/>
          <a:headEnd type="stealth" w="sm" len="sm"/>
          <a:tailEnd type="stealth" w="sm" len="sm"/>
        </a:ln>
      </xdr:spPr>
    </xdr:sp>
    <xdr:clientData/>
  </xdr:twoCellAnchor>
  <xdr:twoCellAnchor>
    <xdr:from>
      <xdr:col>5</xdr:col>
      <xdr:colOff>419100</xdr:colOff>
      <xdr:row>20</xdr:row>
      <xdr:rowOff>9525</xdr:rowOff>
    </xdr:from>
    <xdr:to>
      <xdr:col>6</xdr:col>
      <xdr:colOff>219075</xdr:colOff>
      <xdr:row>20</xdr:row>
      <xdr:rowOff>9525</xdr:rowOff>
    </xdr:to>
    <xdr:sp macro="" textlink="">
      <xdr:nvSpPr>
        <xdr:cNvPr id="259924" name="Line 43">
          <a:extLst>
            <a:ext uri="{FF2B5EF4-FFF2-40B4-BE49-F238E27FC236}">
              <a16:creationId xmlns:a16="http://schemas.microsoft.com/office/drawing/2014/main" id="{00000000-0008-0000-0100-000054F70300}"/>
            </a:ext>
          </a:extLst>
        </xdr:cNvPr>
        <xdr:cNvSpPr>
          <a:spLocks noChangeShapeType="1"/>
        </xdr:cNvSpPr>
      </xdr:nvSpPr>
      <xdr:spPr bwMode="auto">
        <a:xfrm>
          <a:off x="4219575" y="3286125"/>
          <a:ext cx="409575" cy="0"/>
        </a:xfrm>
        <a:prstGeom prst="line">
          <a:avLst/>
        </a:prstGeom>
        <a:noFill/>
        <a:ln w="9525">
          <a:solidFill>
            <a:srgbClr val="000000"/>
          </a:solidFill>
          <a:round/>
          <a:headEnd/>
          <a:tailEnd/>
        </a:ln>
      </xdr:spPr>
    </xdr:sp>
    <xdr:clientData/>
  </xdr:twoCellAnchor>
  <xdr:twoCellAnchor>
    <xdr:from>
      <xdr:col>6</xdr:col>
      <xdr:colOff>28575</xdr:colOff>
      <xdr:row>19</xdr:row>
      <xdr:rowOff>19050</xdr:rowOff>
    </xdr:from>
    <xdr:to>
      <xdr:col>6</xdr:col>
      <xdr:colOff>114300</xdr:colOff>
      <xdr:row>20</xdr:row>
      <xdr:rowOff>123825</xdr:rowOff>
    </xdr:to>
    <xdr:sp macro="" textlink="">
      <xdr:nvSpPr>
        <xdr:cNvPr id="259925" name="Arc 44">
          <a:extLst>
            <a:ext uri="{FF2B5EF4-FFF2-40B4-BE49-F238E27FC236}">
              <a16:creationId xmlns:a16="http://schemas.microsoft.com/office/drawing/2014/main" id="{00000000-0008-0000-0100-000055F70300}"/>
            </a:ext>
          </a:extLst>
        </xdr:cNvPr>
        <xdr:cNvSpPr>
          <a:spLocks/>
        </xdr:cNvSpPr>
      </xdr:nvSpPr>
      <xdr:spPr bwMode="auto">
        <a:xfrm>
          <a:off x="4438650" y="3133725"/>
          <a:ext cx="85725" cy="266700"/>
        </a:xfrm>
        <a:custGeom>
          <a:avLst/>
          <a:gdLst>
            <a:gd name="T0" fmla="*/ 2147483647 w 19129"/>
            <a:gd name="T1" fmla="*/ 0 h 21502"/>
            <a:gd name="T2" fmla="*/ 2147483647 w 19129"/>
            <a:gd name="T3" fmla="*/ 2147483647 h 21502"/>
            <a:gd name="T4" fmla="*/ 0 w 19129"/>
            <a:gd name="T5" fmla="*/ 2147483647 h 21502"/>
            <a:gd name="T6" fmla="*/ 0 60000 65536"/>
            <a:gd name="T7" fmla="*/ 0 60000 65536"/>
            <a:gd name="T8" fmla="*/ 0 60000 65536"/>
            <a:gd name="T9" fmla="*/ 0 w 19129"/>
            <a:gd name="T10" fmla="*/ 0 h 21502"/>
            <a:gd name="T11" fmla="*/ 19129 w 19129"/>
            <a:gd name="T12" fmla="*/ 21502 h 21502"/>
          </a:gdLst>
          <a:ahLst/>
          <a:cxnLst>
            <a:cxn ang="T6">
              <a:pos x="T0" y="T1"/>
            </a:cxn>
            <a:cxn ang="T7">
              <a:pos x="T2" y="T3"/>
            </a:cxn>
            <a:cxn ang="T8">
              <a:pos x="T4" y="T5"/>
            </a:cxn>
          </a:cxnLst>
          <a:rect l="T9" t="T10" r="T11" b="T12"/>
          <a:pathLst>
            <a:path w="19129" h="21502" fill="none" extrusionOk="0">
              <a:moveTo>
                <a:pt x="2052" y="-1"/>
              </a:moveTo>
              <a:cubicBezTo>
                <a:pt x="9316" y="692"/>
                <a:pt x="15739" y="5007"/>
                <a:pt x="19129" y="11469"/>
              </a:cubicBezTo>
            </a:path>
            <a:path w="19129" h="21502" stroke="0" extrusionOk="0">
              <a:moveTo>
                <a:pt x="2052" y="-1"/>
              </a:moveTo>
              <a:cubicBezTo>
                <a:pt x="9316" y="692"/>
                <a:pt x="15739" y="5007"/>
                <a:pt x="19129" y="11469"/>
              </a:cubicBezTo>
              <a:lnTo>
                <a:pt x="0" y="21502"/>
              </a:lnTo>
              <a:lnTo>
                <a:pt x="2052" y="-1"/>
              </a:lnTo>
              <a:close/>
            </a:path>
          </a:pathLst>
        </a:custGeom>
        <a:noFill/>
        <a:ln w="9525">
          <a:solidFill>
            <a:srgbClr val="000000"/>
          </a:solidFill>
          <a:round/>
          <a:headEnd/>
          <a:tailEnd/>
        </a:ln>
      </xdr:spPr>
    </xdr:sp>
    <xdr:clientData/>
  </xdr:twoCellAnchor>
  <xdr:twoCellAnchor editAs="oneCell">
    <xdr:from>
      <xdr:col>6</xdr:col>
      <xdr:colOff>95250</xdr:colOff>
      <xdr:row>18</xdr:row>
      <xdr:rowOff>133350</xdr:rowOff>
    </xdr:from>
    <xdr:to>
      <xdr:col>6</xdr:col>
      <xdr:colOff>323850</xdr:colOff>
      <xdr:row>19</xdr:row>
      <xdr:rowOff>152400</xdr:rowOff>
    </xdr:to>
    <xdr:sp macro="" textlink="">
      <xdr:nvSpPr>
        <xdr:cNvPr id="199725" name="Text Box 45">
          <a:extLst>
            <a:ext uri="{FF2B5EF4-FFF2-40B4-BE49-F238E27FC236}">
              <a16:creationId xmlns:a16="http://schemas.microsoft.com/office/drawing/2014/main" id="{00000000-0008-0000-0100-00002D0C0300}"/>
            </a:ext>
          </a:extLst>
        </xdr:cNvPr>
        <xdr:cNvSpPr txBox="1">
          <a:spLocks noChangeArrowheads="1"/>
        </xdr:cNvSpPr>
      </xdr:nvSpPr>
      <xdr:spPr bwMode="auto">
        <a:xfrm>
          <a:off x="4505325" y="3086100"/>
          <a:ext cx="228600" cy="18097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FF"/>
              </a:solidFill>
              <a:latin typeface="Symbol"/>
            </a:rPr>
            <a:t>q </a:t>
          </a:r>
          <a:r>
            <a:rPr lang="en-US" sz="800" b="0" i="0" u="none" strike="noStrike" baseline="30000">
              <a:solidFill>
                <a:srgbClr val="0000FF"/>
              </a:solidFill>
              <a:latin typeface="Arial"/>
              <a:cs typeface="Arial"/>
            </a:rPr>
            <a:t>o</a:t>
          </a:r>
          <a:endParaRPr lang="en-US"/>
        </a:p>
      </xdr:txBody>
    </xdr:sp>
    <xdr:clientData/>
  </xdr:twoCellAnchor>
  <xdr:twoCellAnchor>
    <xdr:from>
      <xdr:col>6</xdr:col>
      <xdr:colOff>400050</xdr:colOff>
      <xdr:row>18</xdr:row>
      <xdr:rowOff>152400</xdr:rowOff>
    </xdr:from>
    <xdr:to>
      <xdr:col>6</xdr:col>
      <xdr:colOff>771525</xdr:colOff>
      <xdr:row>18</xdr:row>
      <xdr:rowOff>152400</xdr:rowOff>
    </xdr:to>
    <xdr:sp macro="" textlink="">
      <xdr:nvSpPr>
        <xdr:cNvPr id="259927" name="Line 46">
          <a:extLst>
            <a:ext uri="{FF2B5EF4-FFF2-40B4-BE49-F238E27FC236}">
              <a16:creationId xmlns:a16="http://schemas.microsoft.com/office/drawing/2014/main" id="{00000000-0008-0000-0100-000057F70300}"/>
            </a:ext>
          </a:extLst>
        </xdr:cNvPr>
        <xdr:cNvSpPr>
          <a:spLocks noChangeShapeType="1"/>
        </xdr:cNvSpPr>
      </xdr:nvSpPr>
      <xdr:spPr bwMode="auto">
        <a:xfrm>
          <a:off x="4810125" y="3105150"/>
          <a:ext cx="371475" cy="0"/>
        </a:xfrm>
        <a:prstGeom prst="line">
          <a:avLst/>
        </a:prstGeom>
        <a:noFill/>
        <a:ln w="9525">
          <a:solidFill>
            <a:srgbClr val="000000"/>
          </a:solidFill>
          <a:round/>
          <a:headEnd/>
          <a:tailEnd/>
        </a:ln>
      </xdr:spPr>
    </xdr:sp>
    <xdr:clientData/>
  </xdr:twoCellAnchor>
  <xdr:twoCellAnchor>
    <xdr:from>
      <xdr:col>6</xdr:col>
      <xdr:colOff>542925</xdr:colOff>
      <xdr:row>18</xdr:row>
      <xdr:rowOff>152400</xdr:rowOff>
    </xdr:from>
    <xdr:to>
      <xdr:col>6</xdr:col>
      <xdr:colOff>542925</xdr:colOff>
      <xdr:row>22</xdr:row>
      <xdr:rowOff>95250</xdr:rowOff>
    </xdr:to>
    <xdr:sp macro="" textlink="">
      <xdr:nvSpPr>
        <xdr:cNvPr id="259928" name="Line 47">
          <a:extLst>
            <a:ext uri="{FF2B5EF4-FFF2-40B4-BE49-F238E27FC236}">
              <a16:creationId xmlns:a16="http://schemas.microsoft.com/office/drawing/2014/main" id="{00000000-0008-0000-0100-000058F70300}"/>
            </a:ext>
          </a:extLst>
        </xdr:cNvPr>
        <xdr:cNvSpPr>
          <a:spLocks noChangeShapeType="1"/>
        </xdr:cNvSpPr>
      </xdr:nvSpPr>
      <xdr:spPr bwMode="auto">
        <a:xfrm>
          <a:off x="4953000" y="3105150"/>
          <a:ext cx="0" cy="590550"/>
        </a:xfrm>
        <a:prstGeom prst="line">
          <a:avLst/>
        </a:prstGeom>
        <a:noFill/>
        <a:ln w="9525">
          <a:solidFill>
            <a:srgbClr val="000000"/>
          </a:solidFill>
          <a:round/>
          <a:headEnd type="stealth" w="sm" len="sm"/>
          <a:tailEnd type="stealth" w="sm" len="sm"/>
        </a:ln>
      </xdr:spPr>
    </xdr:sp>
    <xdr:clientData/>
  </xdr:twoCellAnchor>
  <xdr:twoCellAnchor>
    <xdr:from>
      <xdr:col>6</xdr:col>
      <xdr:colOff>285750</xdr:colOff>
      <xdr:row>14</xdr:row>
      <xdr:rowOff>47625</xdr:rowOff>
    </xdr:from>
    <xdr:to>
      <xdr:col>6</xdr:col>
      <xdr:colOff>438150</xdr:colOff>
      <xdr:row>15</xdr:row>
      <xdr:rowOff>47625</xdr:rowOff>
    </xdr:to>
    <xdr:sp macro="" textlink="">
      <xdr:nvSpPr>
        <xdr:cNvPr id="199728" name="Text Box 48">
          <a:extLst>
            <a:ext uri="{FF2B5EF4-FFF2-40B4-BE49-F238E27FC236}">
              <a16:creationId xmlns:a16="http://schemas.microsoft.com/office/drawing/2014/main" id="{00000000-0008-0000-0100-0000300C0300}"/>
            </a:ext>
          </a:extLst>
        </xdr:cNvPr>
        <xdr:cNvSpPr txBox="1">
          <a:spLocks noChangeArrowheads="1"/>
        </xdr:cNvSpPr>
      </xdr:nvSpPr>
      <xdr:spPr bwMode="auto">
        <a:xfrm>
          <a:off x="4695825" y="23526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xdr:from>
      <xdr:col>7</xdr:col>
      <xdr:colOff>371475</xdr:colOff>
      <xdr:row>9</xdr:row>
      <xdr:rowOff>114300</xdr:rowOff>
    </xdr:from>
    <xdr:to>
      <xdr:col>7</xdr:col>
      <xdr:colOff>552450</xdr:colOff>
      <xdr:row>10</xdr:row>
      <xdr:rowOff>123825</xdr:rowOff>
    </xdr:to>
    <xdr:sp macro="" textlink="">
      <xdr:nvSpPr>
        <xdr:cNvPr id="199729" name="Text Box 49">
          <a:extLst>
            <a:ext uri="{FF2B5EF4-FFF2-40B4-BE49-F238E27FC236}">
              <a16:creationId xmlns:a16="http://schemas.microsoft.com/office/drawing/2014/main" id="{00000000-0008-0000-0100-0000310C0300}"/>
            </a:ext>
          </a:extLst>
        </xdr:cNvPr>
        <xdr:cNvSpPr txBox="1">
          <a:spLocks noChangeArrowheads="1"/>
        </xdr:cNvSpPr>
      </xdr:nvSpPr>
      <xdr:spPr bwMode="auto">
        <a:xfrm>
          <a:off x="5600700" y="1609725"/>
          <a:ext cx="180975" cy="17145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B</a:t>
          </a:r>
          <a:endParaRPr lang="en-US"/>
        </a:p>
      </xdr:txBody>
    </xdr:sp>
    <xdr:clientData/>
  </xdr:twoCellAnchor>
  <xdr:twoCellAnchor>
    <xdr:from>
      <xdr:col>4</xdr:col>
      <xdr:colOff>533400</xdr:colOff>
      <xdr:row>19</xdr:row>
      <xdr:rowOff>104775</xdr:rowOff>
    </xdr:from>
    <xdr:to>
      <xdr:col>5</xdr:col>
      <xdr:colOff>104775</xdr:colOff>
      <xdr:row>20</xdr:row>
      <xdr:rowOff>95250</xdr:rowOff>
    </xdr:to>
    <xdr:sp macro="" textlink="">
      <xdr:nvSpPr>
        <xdr:cNvPr id="199730" name="Text Box 50">
          <a:extLst>
            <a:ext uri="{FF2B5EF4-FFF2-40B4-BE49-F238E27FC236}">
              <a16:creationId xmlns:a16="http://schemas.microsoft.com/office/drawing/2014/main" id="{00000000-0008-0000-0100-0000320C0300}"/>
            </a:ext>
          </a:extLst>
        </xdr:cNvPr>
        <xdr:cNvSpPr txBox="1">
          <a:spLocks noChangeArrowheads="1"/>
        </xdr:cNvSpPr>
      </xdr:nvSpPr>
      <xdr:spPr bwMode="auto">
        <a:xfrm>
          <a:off x="3724275" y="3219450"/>
          <a:ext cx="180975"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r</a:t>
          </a:r>
          <a:endParaRPr lang="en-US"/>
        </a:p>
      </xdr:txBody>
    </xdr:sp>
    <xdr:clientData/>
  </xdr:twoCellAnchor>
  <xdr:twoCellAnchor>
    <xdr:from>
      <xdr:col>7</xdr:col>
      <xdr:colOff>381000</xdr:colOff>
      <xdr:row>20</xdr:row>
      <xdr:rowOff>133350</xdr:rowOff>
    </xdr:from>
    <xdr:to>
      <xdr:col>7</xdr:col>
      <xdr:colOff>561975</xdr:colOff>
      <xdr:row>21</xdr:row>
      <xdr:rowOff>123825</xdr:rowOff>
    </xdr:to>
    <xdr:sp macro="" textlink="">
      <xdr:nvSpPr>
        <xdr:cNvPr id="199731" name="Text Box 51">
          <a:extLst>
            <a:ext uri="{FF2B5EF4-FFF2-40B4-BE49-F238E27FC236}">
              <a16:creationId xmlns:a16="http://schemas.microsoft.com/office/drawing/2014/main" id="{00000000-0008-0000-0100-0000330C0300}"/>
            </a:ext>
          </a:extLst>
        </xdr:cNvPr>
        <xdr:cNvSpPr txBox="1">
          <a:spLocks noChangeArrowheads="1"/>
        </xdr:cNvSpPr>
      </xdr:nvSpPr>
      <xdr:spPr bwMode="auto">
        <a:xfrm>
          <a:off x="5610225" y="3409950"/>
          <a:ext cx="180975"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e</a:t>
          </a:r>
          <a:endParaRPr lang="en-US"/>
        </a:p>
      </xdr:txBody>
    </xdr:sp>
    <xdr:clientData/>
  </xdr:twoCellAnchor>
  <xdr:twoCellAnchor>
    <xdr:from>
      <xdr:col>6</xdr:col>
      <xdr:colOff>542925</xdr:colOff>
      <xdr:row>20</xdr:row>
      <xdr:rowOff>38100</xdr:rowOff>
    </xdr:from>
    <xdr:to>
      <xdr:col>7</xdr:col>
      <xdr:colOff>142875</xdr:colOff>
      <xdr:row>21</xdr:row>
      <xdr:rowOff>47625</xdr:rowOff>
    </xdr:to>
    <xdr:sp macro="" textlink="">
      <xdr:nvSpPr>
        <xdr:cNvPr id="199732" name="Text Box 52">
          <a:extLst>
            <a:ext uri="{FF2B5EF4-FFF2-40B4-BE49-F238E27FC236}">
              <a16:creationId xmlns:a16="http://schemas.microsoft.com/office/drawing/2014/main" id="{00000000-0008-0000-0100-0000340C0300}"/>
            </a:ext>
          </a:extLst>
        </xdr:cNvPr>
        <xdr:cNvSpPr txBox="1">
          <a:spLocks noChangeArrowheads="1"/>
        </xdr:cNvSpPr>
      </xdr:nvSpPr>
      <xdr:spPr bwMode="auto">
        <a:xfrm>
          <a:off x="4953000" y="3314700"/>
          <a:ext cx="419100" cy="17145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h&lt;=60'</a:t>
          </a:r>
          <a:endParaRPr lang="en-US"/>
        </a:p>
      </xdr:txBody>
    </xdr:sp>
    <xdr:clientData/>
  </xdr:twoCellAnchor>
  <xdr:twoCellAnchor>
    <xdr:from>
      <xdr:col>6</xdr:col>
      <xdr:colOff>352425</xdr:colOff>
      <xdr:row>17</xdr:row>
      <xdr:rowOff>9525</xdr:rowOff>
    </xdr:from>
    <xdr:to>
      <xdr:col>6</xdr:col>
      <xdr:colOff>447675</xdr:colOff>
      <xdr:row>17</xdr:row>
      <xdr:rowOff>152400</xdr:rowOff>
    </xdr:to>
    <xdr:sp macro="" textlink="">
      <xdr:nvSpPr>
        <xdr:cNvPr id="259934" name="Line 53">
          <a:extLst>
            <a:ext uri="{FF2B5EF4-FFF2-40B4-BE49-F238E27FC236}">
              <a16:creationId xmlns:a16="http://schemas.microsoft.com/office/drawing/2014/main" id="{00000000-0008-0000-0100-00005EF70300}"/>
            </a:ext>
          </a:extLst>
        </xdr:cNvPr>
        <xdr:cNvSpPr>
          <a:spLocks noChangeShapeType="1"/>
        </xdr:cNvSpPr>
      </xdr:nvSpPr>
      <xdr:spPr bwMode="auto">
        <a:xfrm flipV="1">
          <a:off x="4762500" y="2800350"/>
          <a:ext cx="95250" cy="142875"/>
        </a:xfrm>
        <a:prstGeom prst="line">
          <a:avLst/>
        </a:prstGeom>
        <a:noFill/>
        <a:ln w="9525">
          <a:solidFill>
            <a:srgbClr val="000000"/>
          </a:solidFill>
          <a:round/>
          <a:headEnd/>
          <a:tailEnd type="stealth" w="sm" len="sm"/>
        </a:ln>
      </xdr:spPr>
    </xdr:sp>
    <xdr:clientData/>
  </xdr:twoCellAnchor>
  <xdr:twoCellAnchor>
    <xdr:from>
      <xdr:col>6</xdr:col>
      <xdr:colOff>466725</xdr:colOff>
      <xdr:row>17</xdr:row>
      <xdr:rowOff>76200</xdr:rowOff>
    </xdr:from>
    <xdr:to>
      <xdr:col>6</xdr:col>
      <xdr:colOff>561975</xdr:colOff>
      <xdr:row>18</xdr:row>
      <xdr:rowOff>57150</xdr:rowOff>
    </xdr:to>
    <xdr:sp macro="" textlink="">
      <xdr:nvSpPr>
        <xdr:cNvPr id="259935" name="Line 54">
          <a:extLst>
            <a:ext uri="{FF2B5EF4-FFF2-40B4-BE49-F238E27FC236}">
              <a16:creationId xmlns:a16="http://schemas.microsoft.com/office/drawing/2014/main" id="{00000000-0008-0000-0100-00005FF70300}"/>
            </a:ext>
          </a:extLst>
        </xdr:cNvPr>
        <xdr:cNvSpPr>
          <a:spLocks noChangeShapeType="1"/>
        </xdr:cNvSpPr>
      </xdr:nvSpPr>
      <xdr:spPr bwMode="auto">
        <a:xfrm flipV="1">
          <a:off x="4876800" y="2867025"/>
          <a:ext cx="95250" cy="142875"/>
        </a:xfrm>
        <a:prstGeom prst="line">
          <a:avLst/>
        </a:prstGeom>
        <a:noFill/>
        <a:ln w="9525">
          <a:solidFill>
            <a:srgbClr val="000000"/>
          </a:solidFill>
          <a:round/>
          <a:headEnd/>
          <a:tailEnd type="stealth" w="sm" len="sm"/>
        </a:ln>
      </xdr:spPr>
    </xdr:sp>
    <xdr:clientData/>
  </xdr:twoCellAnchor>
  <xdr:twoCellAnchor>
    <xdr:from>
      <xdr:col>6</xdr:col>
      <xdr:colOff>800100</xdr:colOff>
      <xdr:row>18</xdr:row>
      <xdr:rowOff>114300</xdr:rowOff>
    </xdr:from>
    <xdr:to>
      <xdr:col>7</xdr:col>
      <xdr:colOff>76200</xdr:colOff>
      <xdr:row>19</xdr:row>
      <xdr:rowOff>95250</xdr:rowOff>
    </xdr:to>
    <xdr:sp macro="" textlink="">
      <xdr:nvSpPr>
        <xdr:cNvPr id="259936" name="Line 55">
          <a:extLst>
            <a:ext uri="{FF2B5EF4-FFF2-40B4-BE49-F238E27FC236}">
              <a16:creationId xmlns:a16="http://schemas.microsoft.com/office/drawing/2014/main" id="{00000000-0008-0000-0100-000060F70300}"/>
            </a:ext>
          </a:extLst>
        </xdr:cNvPr>
        <xdr:cNvSpPr>
          <a:spLocks noChangeShapeType="1"/>
        </xdr:cNvSpPr>
      </xdr:nvSpPr>
      <xdr:spPr bwMode="auto">
        <a:xfrm flipV="1">
          <a:off x="5210175" y="3067050"/>
          <a:ext cx="95250" cy="142875"/>
        </a:xfrm>
        <a:prstGeom prst="line">
          <a:avLst/>
        </a:prstGeom>
        <a:noFill/>
        <a:ln w="9525">
          <a:solidFill>
            <a:srgbClr val="000000"/>
          </a:solidFill>
          <a:round/>
          <a:headEnd/>
          <a:tailEnd type="stealth" w="sm" len="sm"/>
        </a:ln>
      </xdr:spPr>
    </xdr:sp>
    <xdr:clientData/>
  </xdr:twoCellAnchor>
  <xdr:twoCellAnchor>
    <xdr:from>
      <xdr:col>7</xdr:col>
      <xdr:colOff>114300</xdr:colOff>
      <xdr:row>19</xdr:row>
      <xdr:rowOff>28575</xdr:rowOff>
    </xdr:from>
    <xdr:to>
      <xdr:col>7</xdr:col>
      <xdr:colOff>209550</xdr:colOff>
      <xdr:row>20</xdr:row>
      <xdr:rowOff>9525</xdr:rowOff>
    </xdr:to>
    <xdr:sp macro="" textlink="">
      <xdr:nvSpPr>
        <xdr:cNvPr id="259937" name="Line 56">
          <a:extLst>
            <a:ext uri="{FF2B5EF4-FFF2-40B4-BE49-F238E27FC236}">
              <a16:creationId xmlns:a16="http://schemas.microsoft.com/office/drawing/2014/main" id="{00000000-0008-0000-0100-000061F70300}"/>
            </a:ext>
          </a:extLst>
        </xdr:cNvPr>
        <xdr:cNvSpPr>
          <a:spLocks noChangeShapeType="1"/>
        </xdr:cNvSpPr>
      </xdr:nvSpPr>
      <xdr:spPr bwMode="auto">
        <a:xfrm flipV="1">
          <a:off x="5343525" y="3143250"/>
          <a:ext cx="95250" cy="142875"/>
        </a:xfrm>
        <a:prstGeom prst="line">
          <a:avLst/>
        </a:prstGeom>
        <a:noFill/>
        <a:ln w="9525">
          <a:solidFill>
            <a:srgbClr val="000000"/>
          </a:solidFill>
          <a:round/>
          <a:headEnd/>
          <a:tailEnd type="stealth" w="sm" len="sm"/>
        </a:ln>
      </xdr:spPr>
    </xdr:sp>
    <xdr:clientData/>
  </xdr:twoCellAnchor>
  <xdr:twoCellAnchor>
    <xdr:from>
      <xdr:col>6</xdr:col>
      <xdr:colOff>571500</xdr:colOff>
      <xdr:row>17</xdr:row>
      <xdr:rowOff>142875</xdr:rowOff>
    </xdr:from>
    <xdr:to>
      <xdr:col>6</xdr:col>
      <xdr:colOff>666750</xdr:colOff>
      <xdr:row>18</xdr:row>
      <xdr:rowOff>123825</xdr:rowOff>
    </xdr:to>
    <xdr:sp macro="" textlink="">
      <xdr:nvSpPr>
        <xdr:cNvPr id="259938" name="Line 57">
          <a:extLst>
            <a:ext uri="{FF2B5EF4-FFF2-40B4-BE49-F238E27FC236}">
              <a16:creationId xmlns:a16="http://schemas.microsoft.com/office/drawing/2014/main" id="{00000000-0008-0000-0100-000062F70300}"/>
            </a:ext>
          </a:extLst>
        </xdr:cNvPr>
        <xdr:cNvSpPr>
          <a:spLocks noChangeShapeType="1"/>
        </xdr:cNvSpPr>
      </xdr:nvSpPr>
      <xdr:spPr bwMode="auto">
        <a:xfrm flipV="1">
          <a:off x="4981575" y="2933700"/>
          <a:ext cx="95250" cy="142875"/>
        </a:xfrm>
        <a:prstGeom prst="line">
          <a:avLst/>
        </a:prstGeom>
        <a:noFill/>
        <a:ln w="9525">
          <a:solidFill>
            <a:srgbClr val="000000"/>
          </a:solidFill>
          <a:round/>
          <a:headEnd/>
          <a:tailEnd type="stealth" w="sm" len="sm"/>
        </a:ln>
      </xdr:spPr>
    </xdr:sp>
    <xdr:clientData/>
  </xdr:twoCellAnchor>
  <xdr:twoCellAnchor>
    <xdr:from>
      <xdr:col>5</xdr:col>
      <xdr:colOff>514350</xdr:colOff>
      <xdr:row>18</xdr:row>
      <xdr:rowOff>47625</xdr:rowOff>
    </xdr:from>
    <xdr:to>
      <xdr:col>6</xdr:col>
      <xdr:colOff>0</xdr:colOff>
      <xdr:row>19</xdr:row>
      <xdr:rowOff>28575</xdr:rowOff>
    </xdr:to>
    <xdr:sp macro="" textlink="">
      <xdr:nvSpPr>
        <xdr:cNvPr id="259939" name="Line 58">
          <a:extLst>
            <a:ext uri="{FF2B5EF4-FFF2-40B4-BE49-F238E27FC236}">
              <a16:creationId xmlns:a16="http://schemas.microsoft.com/office/drawing/2014/main" id="{00000000-0008-0000-0100-000063F70300}"/>
            </a:ext>
          </a:extLst>
        </xdr:cNvPr>
        <xdr:cNvSpPr>
          <a:spLocks noChangeShapeType="1"/>
        </xdr:cNvSpPr>
      </xdr:nvSpPr>
      <xdr:spPr bwMode="auto">
        <a:xfrm flipH="1" flipV="1">
          <a:off x="4314825" y="3000375"/>
          <a:ext cx="95250" cy="142875"/>
        </a:xfrm>
        <a:prstGeom prst="line">
          <a:avLst/>
        </a:prstGeom>
        <a:noFill/>
        <a:ln w="9525">
          <a:solidFill>
            <a:srgbClr val="000000"/>
          </a:solidFill>
          <a:round/>
          <a:headEnd/>
          <a:tailEnd type="stealth" w="sm" len="sm"/>
        </a:ln>
      </xdr:spPr>
    </xdr:sp>
    <xdr:clientData/>
  </xdr:twoCellAnchor>
  <xdr:twoCellAnchor>
    <xdr:from>
      <xdr:col>5</xdr:col>
      <xdr:colOff>400050</xdr:colOff>
      <xdr:row>18</xdr:row>
      <xdr:rowOff>123825</xdr:rowOff>
    </xdr:from>
    <xdr:to>
      <xdr:col>5</xdr:col>
      <xdr:colOff>495300</xdr:colOff>
      <xdr:row>19</xdr:row>
      <xdr:rowOff>104775</xdr:rowOff>
    </xdr:to>
    <xdr:sp macro="" textlink="">
      <xdr:nvSpPr>
        <xdr:cNvPr id="259940" name="Line 59">
          <a:extLst>
            <a:ext uri="{FF2B5EF4-FFF2-40B4-BE49-F238E27FC236}">
              <a16:creationId xmlns:a16="http://schemas.microsoft.com/office/drawing/2014/main" id="{00000000-0008-0000-0100-000064F70300}"/>
            </a:ext>
          </a:extLst>
        </xdr:cNvPr>
        <xdr:cNvSpPr>
          <a:spLocks noChangeShapeType="1"/>
        </xdr:cNvSpPr>
      </xdr:nvSpPr>
      <xdr:spPr bwMode="auto">
        <a:xfrm flipH="1" flipV="1">
          <a:off x="4200525" y="3076575"/>
          <a:ext cx="95250" cy="142875"/>
        </a:xfrm>
        <a:prstGeom prst="line">
          <a:avLst/>
        </a:prstGeom>
        <a:noFill/>
        <a:ln w="9525">
          <a:solidFill>
            <a:srgbClr val="000000"/>
          </a:solidFill>
          <a:round/>
          <a:headEnd/>
          <a:tailEnd type="stealth" w="sm" len="sm"/>
        </a:ln>
      </xdr:spPr>
    </xdr:sp>
    <xdr:clientData/>
  </xdr:twoCellAnchor>
  <xdr:twoCellAnchor>
    <xdr:from>
      <xdr:col>5</xdr:col>
      <xdr:colOff>285750</xdr:colOff>
      <xdr:row>19</xdr:row>
      <xdr:rowOff>28575</xdr:rowOff>
    </xdr:from>
    <xdr:to>
      <xdr:col>5</xdr:col>
      <xdr:colOff>381000</xdr:colOff>
      <xdr:row>20</xdr:row>
      <xdr:rowOff>9525</xdr:rowOff>
    </xdr:to>
    <xdr:sp macro="" textlink="">
      <xdr:nvSpPr>
        <xdr:cNvPr id="259941" name="Line 60">
          <a:extLst>
            <a:ext uri="{FF2B5EF4-FFF2-40B4-BE49-F238E27FC236}">
              <a16:creationId xmlns:a16="http://schemas.microsoft.com/office/drawing/2014/main" id="{00000000-0008-0000-0100-000065F70300}"/>
            </a:ext>
          </a:extLst>
        </xdr:cNvPr>
        <xdr:cNvSpPr>
          <a:spLocks noChangeShapeType="1"/>
        </xdr:cNvSpPr>
      </xdr:nvSpPr>
      <xdr:spPr bwMode="auto">
        <a:xfrm flipH="1" flipV="1">
          <a:off x="4086225" y="3143250"/>
          <a:ext cx="95250" cy="142875"/>
        </a:xfrm>
        <a:prstGeom prst="line">
          <a:avLst/>
        </a:prstGeom>
        <a:noFill/>
        <a:ln w="9525">
          <a:solidFill>
            <a:srgbClr val="000000"/>
          </a:solidFill>
          <a:round/>
          <a:headEnd/>
          <a:tailEnd type="stealth" w="sm" len="sm"/>
        </a:ln>
      </xdr:spPr>
    </xdr:sp>
    <xdr:clientData/>
  </xdr:twoCellAnchor>
  <xdr:twoCellAnchor>
    <xdr:from>
      <xdr:col>6</xdr:col>
      <xdr:colOff>257175</xdr:colOff>
      <xdr:row>17</xdr:row>
      <xdr:rowOff>9525</xdr:rowOff>
    </xdr:from>
    <xdr:to>
      <xdr:col>6</xdr:col>
      <xdr:colOff>352425</xdr:colOff>
      <xdr:row>17</xdr:row>
      <xdr:rowOff>152400</xdr:rowOff>
    </xdr:to>
    <xdr:sp macro="" textlink="">
      <xdr:nvSpPr>
        <xdr:cNvPr id="259942" name="Line 61">
          <a:extLst>
            <a:ext uri="{FF2B5EF4-FFF2-40B4-BE49-F238E27FC236}">
              <a16:creationId xmlns:a16="http://schemas.microsoft.com/office/drawing/2014/main" id="{00000000-0008-0000-0100-000066F70300}"/>
            </a:ext>
          </a:extLst>
        </xdr:cNvPr>
        <xdr:cNvSpPr>
          <a:spLocks noChangeShapeType="1"/>
        </xdr:cNvSpPr>
      </xdr:nvSpPr>
      <xdr:spPr bwMode="auto">
        <a:xfrm flipH="1" flipV="1">
          <a:off x="4667250" y="2800350"/>
          <a:ext cx="95250" cy="142875"/>
        </a:xfrm>
        <a:prstGeom prst="line">
          <a:avLst/>
        </a:prstGeom>
        <a:noFill/>
        <a:ln w="9525">
          <a:solidFill>
            <a:srgbClr val="000000"/>
          </a:solidFill>
          <a:round/>
          <a:headEnd/>
          <a:tailEnd type="stealth" w="sm" len="sm"/>
        </a:ln>
      </xdr:spPr>
    </xdr:sp>
    <xdr:clientData/>
  </xdr:twoCellAnchor>
  <xdr:twoCellAnchor>
    <xdr:from>
      <xdr:col>6</xdr:col>
      <xdr:colOff>133350</xdr:colOff>
      <xdr:row>17</xdr:row>
      <xdr:rowOff>76200</xdr:rowOff>
    </xdr:from>
    <xdr:to>
      <xdr:col>6</xdr:col>
      <xdr:colOff>228600</xdr:colOff>
      <xdr:row>18</xdr:row>
      <xdr:rowOff>57150</xdr:rowOff>
    </xdr:to>
    <xdr:sp macro="" textlink="">
      <xdr:nvSpPr>
        <xdr:cNvPr id="259943" name="Line 62">
          <a:extLst>
            <a:ext uri="{FF2B5EF4-FFF2-40B4-BE49-F238E27FC236}">
              <a16:creationId xmlns:a16="http://schemas.microsoft.com/office/drawing/2014/main" id="{00000000-0008-0000-0100-000067F70300}"/>
            </a:ext>
          </a:extLst>
        </xdr:cNvPr>
        <xdr:cNvSpPr>
          <a:spLocks noChangeShapeType="1"/>
        </xdr:cNvSpPr>
      </xdr:nvSpPr>
      <xdr:spPr bwMode="auto">
        <a:xfrm flipH="1" flipV="1">
          <a:off x="4543425" y="2867025"/>
          <a:ext cx="95250" cy="142875"/>
        </a:xfrm>
        <a:prstGeom prst="line">
          <a:avLst/>
        </a:prstGeom>
        <a:noFill/>
        <a:ln w="9525">
          <a:solidFill>
            <a:srgbClr val="000000"/>
          </a:solidFill>
          <a:round/>
          <a:headEnd/>
          <a:tailEnd type="stealth" w="sm" len="sm"/>
        </a:ln>
      </xdr:spPr>
    </xdr:sp>
    <xdr:clientData/>
  </xdr:twoCellAnchor>
  <xdr:twoCellAnchor>
    <xdr:from>
      <xdr:col>6</xdr:col>
      <xdr:colOff>28575</xdr:colOff>
      <xdr:row>17</xdr:row>
      <xdr:rowOff>142875</xdr:rowOff>
    </xdr:from>
    <xdr:to>
      <xdr:col>6</xdr:col>
      <xdr:colOff>123825</xdr:colOff>
      <xdr:row>18</xdr:row>
      <xdr:rowOff>123825</xdr:rowOff>
    </xdr:to>
    <xdr:sp macro="" textlink="">
      <xdr:nvSpPr>
        <xdr:cNvPr id="259944" name="Line 63">
          <a:extLst>
            <a:ext uri="{FF2B5EF4-FFF2-40B4-BE49-F238E27FC236}">
              <a16:creationId xmlns:a16="http://schemas.microsoft.com/office/drawing/2014/main" id="{00000000-0008-0000-0100-000068F70300}"/>
            </a:ext>
          </a:extLst>
        </xdr:cNvPr>
        <xdr:cNvSpPr>
          <a:spLocks noChangeShapeType="1"/>
        </xdr:cNvSpPr>
      </xdr:nvSpPr>
      <xdr:spPr bwMode="auto">
        <a:xfrm flipH="1" flipV="1">
          <a:off x="4438650" y="2933700"/>
          <a:ext cx="95250" cy="142875"/>
        </a:xfrm>
        <a:prstGeom prst="line">
          <a:avLst/>
        </a:prstGeom>
        <a:noFill/>
        <a:ln w="9525">
          <a:solidFill>
            <a:srgbClr val="000000"/>
          </a:solidFill>
          <a:round/>
          <a:headEnd/>
          <a:tailEnd type="stealth" w="sm" len="sm"/>
        </a:ln>
      </xdr:spPr>
    </xdr:sp>
    <xdr:clientData/>
  </xdr:twoCellAnchor>
  <xdr:twoCellAnchor>
    <xdr:from>
      <xdr:col>5</xdr:col>
      <xdr:colOff>219075</xdr:colOff>
      <xdr:row>21</xdr:row>
      <xdr:rowOff>123825</xdr:rowOff>
    </xdr:from>
    <xdr:to>
      <xdr:col>5</xdr:col>
      <xdr:colOff>381000</xdr:colOff>
      <xdr:row>21</xdr:row>
      <xdr:rowOff>123825</xdr:rowOff>
    </xdr:to>
    <xdr:sp macro="" textlink="">
      <xdr:nvSpPr>
        <xdr:cNvPr id="259945" name="Line 64">
          <a:extLst>
            <a:ext uri="{FF2B5EF4-FFF2-40B4-BE49-F238E27FC236}">
              <a16:creationId xmlns:a16="http://schemas.microsoft.com/office/drawing/2014/main" id="{00000000-0008-0000-0100-000069F70300}"/>
            </a:ext>
          </a:extLst>
        </xdr:cNvPr>
        <xdr:cNvSpPr>
          <a:spLocks noChangeShapeType="1"/>
        </xdr:cNvSpPr>
      </xdr:nvSpPr>
      <xdr:spPr bwMode="auto">
        <a:xfrm>
          <a:off x="4019550" y="3562350"/>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22</xdr:row>
      <xdr:rowOff>95250</xdr:rowOff>
    </xdr:from>
    <xdr:to>
      <xdr:col>5</xdr:col>
      <xdr:colOff>381000</xdr:colOff>
      <xdr:row>22</xdr:row>
      <xdr:rowOff>95250</xdr:rowOff>
    </xdr:to>
    <xdr:sp macro="" textlink="">
      <xdr:nvSpPr>
        <xdr:cNvPr id="259946" name="Line 65">
          <a:extLst>
            <a:ext uri="{FF2B5EF4-FFF2-40B4-BE49-F238E27FC236}">
              <a16:creationId xmlns:a16="http://schemas.microsoft.com/office/drawing/2014/main" id="{00000000-0008-0000-0100-00006AF70300}"/>
            </a:ext>
          </a:extLst>
        </xdr:cNvPr>
        <xdr:cNvSpPr>
          <a:spLocks noChangeShapeType="1"/>
        </xdr:cNvSpPr>
      </xdr:nvSpPr>
      <xdr:spPr bwMode="auto">
        <a:xfrm>
          <a:off x="4019550" y="3695700"/>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20</xdr:row>
      <xdr:rowOff>142875</xdr:rowOff>
    </xdr:from>
    <xdr:to>
      <xdr:col>5</xdr:col>
      <xdr:colOff>381000</xdr:colOff>
      <xdr:row>20</xdr:row>
      <xdr:rowOff>142875</xdr:rowOff>
    </xdr:to>
    <xdr:sp macro="" textlink="">
      <xdr:nvSpPr>
        <xdr:cNvPr id="259947" name="Line 66">
          <a:extLst>
            <a:ext uri="{FF2B5EF4-FFF2-40B4-BE49-F238E27FC236}">
              <a16:creationId xmlns:a16="http://schemas.microsoft.com/office/drawing/2014/main" id="{00000000-0008-0000-0100-00006BF70300}"/>
            </a:ext>
          </a:extLst>
        </xdr:cNvPr>
        <xdr:cNvSpPr>
          <a:spLocks noChangeShapeType="1"/>
        </xdr:cNvSpPr>
      </xdr:nvSpPr>
      <xdr:spPr bwMode="auto">
        <a:xfrm>
          <a:off x="4019550" y="3419475"/>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20</xdr:row>
      <xdr:rowOff>9525</xdr:rowOff>
    </xdr:from>
    <xdr:to>
      <xdr:col>5</xdr:col>
      <xdr:colOff>381000</xdr:colOff>
      <xdr:row>20</xdr:row>
      <xdr:rowOff>9525</xdr:rowOff>
    </xdr:to>
    <xdr:sp macro="" textlink="">
      <xdr:nvSpPr>
        <xdr:cNvPr id="259948" name="Line 67">
          <a:extLst>
            <a:ext uri="{FF2B5EF4-FFF2-40B4-BE49-F238E27FC236}">
              <a16:creationId xmlns:a16="http://schemas.microsoft.com/office/drawing/2014/main" id="{00000000-0008-0000-0100-00006CF70300}"/>
            </a:ext>
          </a:extLst>
        </xdr:cNvPr>
        <xdr:cNvSpPr>
          <a:spLocks noChangeShapeType="1"/>
        </xdr:cNvSpPr>
      </xdr:nvSpPr>
      <xdr:spPr bwMode="auto">
        <a:xfrm>
          <a:off x="4019550" y="3286125"/>
          <a:ext cx="161925" cy="0"/>
        </a:xfrm>
        <a:prstGeom prst="line">
          <a:avLst/>
        </a:prstGeom>
        <a:noFill/>
        <a:ln w="9525">
          <a:solidFill>
            <a:srgbClr val="000000"/>
          </a:solidFill>
          <a:round/>
          <a:headEnd/>
          <a:tailEnd type="stealth" w="sm" len="sm"/>
        </a:ln>
      </xdr:spPr>
    </xdr:sp>
    <xdr:clientData/>
  </xdr:twoCellAnchor>
  <xdr:twoCellAnchor>
    <xdr:from>
      <xdr:col>7</xdr:col>
      <xdr:colOff>114300</xdr:colOff>
      <xdr:row>22</xdr:row>
      <xdr:rowOff>95250</xdr:rowOff>
    </xdr:from>
    <xdr:to>
      <xdr:col>7</xdr:col>
      <xdr:colOff>209550</xdr:colOff>
      <xdr:row>22</xdr:row>
      <xdr:rowOff>95250</xdr:rowOff>
    </xdr:to>
    <xdr:sp macro="" textlink="">
      <xdr:nvSpPr>
        <xdr:cNvPr id="259949" name="Line 68">
          <a:extLst>
            <a:ext uri="{FF2B5EF4-FFF2-40B4-BE49-F238E27FC236}">
              <a16:creationId xmlns:a16="http://schemas.microsoft.com/office/drawing/2014/main" id="{00000000-0008-0000-0100-00006DF70300}"/>
            </a:ext>
          </a:extLst>
        </xdr:cNvPr>
        <xdr:cNvSpPr>
          <a:spLocks noChangeShapeType="1"/>
        </xdr:cNvSpPr>
      </xdr:nvSpPr>
      <xdr:spPr bwMode="auto">
        <a:xfrm>
          <a:off x="5343525" y="3695700"/>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21</xdr:row>
      <xdr:rowOff>123825</xdr:rowOff>
    </xdr:from>
    <xdr:to>
      <xdr:col>7</xdr:col>
      <xdr:colOff>209550</xdr:colOff>
      <xdr:row>21</xdr:row>
      <xdr:rowOff>123825</xdr:rowOff>
    </xdr:to>
    <xdr:sp macro="" textlink="">
      <xdr:nvSpPr>
        <xdr:cNvPr id="259950" name="Line 69">
          <a:extLst>
            <a:ext uri="{FF2B5EF4-FFF2-40B4-BE49-F238E27FC236}">
              <a16:creationId xmlns:a16="http://schemas.microsoft.com/office/drawing/2014/main" id="{00000000-0008-0000-0100-00006EF70300}"/>
            </a:ext>
          </a:extLst>
        </xdr:cNvPr>
        <xdr:cNvSpPr>
          <a:spLocks noChangeShapeType="1"/>
        </xdr:cNvSpPr>
      </xdr:nvSpPr>
      <xdr:spPr bwMode="auto">
        <a:xfrm>
          <a:off x="5343525" y="3562350"/>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20</xdr:row>
      <xdr:rowOff>142875</xdr:rowOff>
    </xdr:from>
    <xdr:to>
      <xdr:col>7</xdr:col>
      <xdr:colOff>209550</xdr:colOff>
      <xdr:row>20</xdr:row>
      <xdr:rowOff>142875</xdr:rowOff>
    </xdr:to>
    <xdr:sp macro="" textlink="">
      <xdr:nvSpPr>
        <xdr:cNvPr id="259951" name="Line 70">
          <a:extLst>
            <a:ext uri="{FF2B5EF4-FFF2-40B4-BE49-F238E27FC236}">
              <a16:creationId xmlns:a16="http://schemas.microsoft.com/office/drawing/2014/main" id="{00000000-0008-0000-0100-00006FF70300}"/>
            </a:ext>
          </a:extLst>
        </xdr:cNvPr>
        <xdr:cNvSpPr>
          <a:spLocks noChangeShapeType="1"/>
        </xdr:cNvSpPr>
      </xdr:nvSpPr>
      <xdr:spPr bwMode="auto">
        <a:xfrm>
          <a:off x="5343525" y="3419475"/>
          <a:ext cx="95250" cy="0"/>
        </a:xfrm>
        <a:prstGeom prst="line">
          <a:avLst/>
        </a:prstGeom>
        <a:noFill/>
        <a:ln w="9525">
          <a:solidFill>
            <a:srgbClr val="000000"/>
          </a:solidFill>
          <a:round/>
          <a:headEnd/>
          <a:tailEnd type="stealth" w="med" len="sm"/>
        </a:ln>
      </xdr:spPr>
    </xdr:sp>
    <xdr:clientData/>
  </xdr:twoCellAnchor>
  <xdr:twoCellAnchor>
    <xdr:from>
      <xdr:col>7</xdr:col>
      <xdr:colOff>123825</xdr:colOff>
      <xdr:row>20</xdr:row>
      <xdr:rowOff>9525</xdr:rowOff>
    </xdr:from>
    <xdr:to>
      <xdr:col>7</xdr:col>
      <xdr:colOff>219075</xdr:colOff>
      <xdr:row>20</xdr:row>
      <xdr:rowOff>9525</xdr:rowOff>
    </xdr:to>
    <xdr:sp macro="" textlink="">
      <xdr:nvSpPr>
        <xdr:cNvPr id="259952" name="Line 71">
          <a:extLst>
            <a:ext uri="{FF2B5EF4-FFF2-40B4-BE49-F238E27FC236}">
              <a16:creationId xmlns:a16="http://schemas.microsoft.com/office/drawing/2014/main" id="{00000000-0008-0000-0100-000070F70300}"/>
            </a:ext>
          </a:extLst>
        </xdr:cNvPr>
        <xdr:cNvSpPr>
          <a:spLocks noChangeShapeType="1"/>
        </xdr:cNvSpPr>
      </xdr:nvSpPr>
      <xdr:spPr bwMode="auto">
        <a:xfrm>
          <a:off x="5353050" y="3286125"/>
          <a:ext cx="95250" cy="0"/>
        </a:xfrm>
        <a:prstGeom prst="line">
          <a:avLst/>
        </a:prstGeom>
        <a:noFill/>
        <a:ln w="9525">
          <a:solidFill>
            <a:srgbClr val="000000"/>
          </a:solidFill>
          <a:round/>
          <a:headEnd/>
          <a:tailEnd type="stealth" w="sm" len="sm"/>
        </a:ln>
      </xdr:spPr>
    </xdr:sp>
    <xdr:clientData/>
  </xdr:twoCellAnchor>
  <xdr:twoCellAnchor>
    <xdr:from>
      <xdr:col>6</xdr:col>
      <xdr:colOff>676275</xdr:colOff>
      <xdr:row>18</xdr:row>
      <xdr:rowOff>38100</xdr:rowOff>
    </xdr:from>
    <xdr:to>
      <xdr:col>6</xdr:col>
      <xdr:colOff>771525</xdr:colOff>
      <xdr:row>19</xdr:row>
      <xdr:rowOff>19050</xdr:rowOff>
    </xdr:to>
    <xdr:sp macro="" textlink="">
      <xdr:nvSpPr>
        <xdr:cNvPr id="259953" name="Line 72">
          <a:extLst>
            <a:ext uri="{FF2B5EF4-FFF2-40B4-BE49-F238E27FC236}">
              <a16:creationId xmlns:a16="http://schemas.microsoft.com/office/drawing/2014/main" id="{00000000-0008-0000-0100-000071F70300}"/>
            </a:ext>
          </a:extLst>
        </xdr:cNvPr>
        <xdr:cNvSpPr>
          <a:spLocks noChangeShapeType="1"/>
        </xdr:cNvSpPr>
      </xdr:nvSpPr>
      <xdr:spPr bwMode="auto">
        <a:xfrm flipV="1">
          <a:off x="5086350" y="2990850"/>
          <a:ext cx="95250" cy="142875"/>
        </a:xfrm>
        <a:prstGeom prst="line">
          <a:avLst/>
        </a:prstGeom>
        <a:noFill/>
        <a:ln w="9525">
          <a:solidFill>
            <a:srgbClr val="000000"/>
          </a:solidFill>
          <a:round/>
          <a:headEnd/>
          <a:tailEnd type="stealth" w="sm" len="sm"/>
        </a:ln>
      </xdr:spPr>
    </xdr:sp>
    <xdr:clientData/>
  </xdr:twoCellAnchor>
  <xdr:twoCellAnchor>
    <xdr:from>
      <xdr:col>5</xdr:col>
      <xdr:colOff>219075</xdr:colOff>
      <xdr:row>20</xdr:row>
      <xdr:rowOff>9525</xdr:rowOff>
    </xdr:from>
    <xdr:to>
      <xdr:col>5</xdr:col>
      <xdr:colOff>219075</xdr:colOff>
      <xdr:row>22</xdr:row>
      <xdr:rowOff>95250</xdr:rowOff>
    </xdr:to>
    <xdr:sp macro="" textlink="">
      <xdr:nvSpPr>
        <xdr:cNvPr id="259954" name="Line 73">
          <a:extLst>
            <a:ext uri="{FF2B5EF4-FFF2-40B4-BE49-F238E27FC236}">
              <a16:creationId xmlns:a16="http://schemas.microsoft.com/office/drawing/2014/main" id="{00000000-0008-0000-0100-000072F70300}"/>
            </a:ext>
          </a:extLst>
        </xdr:cNvPr>
        <xdr:cNvSpPr>
          <a:spLocks noChangeShapeType="1"/>
        </xdr:cNvSpPr>
      </xdr:nvSpPr>
      <xdr:spPr bwMode="auto">
        <a:xfrm>
          <a:off x="4019550" y="3286125"/>
          <a:ext cx="0" cy="409575"/>
        </a:xfrm>
        <a:prstGeom prst="line">
          <a:avLst/>
        </a:prstGeom>
        <a:noFill/>
        <a:ln w="9525">
          <a:solidFill>
            <a:srgbClr val="000000"/>
          </a:solidFill>
          <a:round/>
          <a:headEnd/>
          <a:tailEnd/>
        </a:ln>
      </xdr:spPr>
    </xdr:sp>
    <xdr:clientData/>
  </xdr:twoCellAnchor>
  <xdr:twoCellAnchor>
    <xdr:from>
      <xdr:col>7</xdr:col>
      <xdr:colOff>209550</xdr:colOff>
      <xdr:row>20</xdr:row>
      <xdr:rowOff>9525</xdr:rowOff>
    </xdr:from>
    <xdr:to>
      <xdr:col>7</xdr:col>
      <xdr:colOff>209550</xdr:colOff>
      <xdr:row>22</xdr:row>
      <xdr:rowOff>95250</xdr:rowOff>
    </xdr:to>
    <xdr:sp macro="" textlink="">
      <xdr:nvSpPr>
        <xdr:cNvPr id="259955" name="Line 74">
          <a:extLst>
            <a:ext uri="{FF2B5EF4-FFF2-40B4-BE49-F238E27FC236}">
              <a16:creationId xmlns:a16="http://schemas.microsoft.com/office/drawing/2014/main" id="{00000000-0008-0000-0100-000073F70300}"/>
            </a:ext>
          </a:extLst>
        </xdr:cNvPr>
        <xdr:cNvSpPr>
          <a:spLocks noChangeShapeType="1"/>
        </xdr:cNvSpPr>
      </xdr:nvSpPr>
      <xdr:spPr bwMode="auto">
        <a:xfrm>
          <a:off x="5438775" y="3286125"/>
          <a:ext cx="0" cy="409575"/>
        </a:xfrm>
        <a:prstGeom prst="line">
          <a:avLst/>
        </a:prstGeom>
        <a:noFill/>
        <a:ln w="9525">
          <a:solidFill>
            <a:srgbClr val="000000"/>
          </a:solidFill>
          <a:round/>
          <a:headEnd/>
          <a:tailEnd/>
        </a:ln>
      </xdr:spPr>
    </xdr:sp>
    <xdr:clientData/>
  </xdr:twoCellAnchor>
  <xdr:twoCellAnchor>
    <xdr:from>
      <xdr:col>5</xdr:col>
      <xdr:colOff>285750</xdr:colOff>
      <xdr:row>17</xdr:row>
      <xdr:rowOff>9525</xdr:rowOff>
    </xdr:from>
    <xdr:to>
      <xdr:col>6</xdr:col>
      <xdr:colOff>257175</xdr:colOff>
      <xdr:row>19</xdr:row>
      <xdr:rowOff>28575</xdr:rowOff>
    </xdr:to>
    <xdr:sp macro="" textlink="">
      <xdr:nvSpPr>
        <xdr:cNvPr id="259956" name="Line 75">
          <a:extLst>
            <a:ext uri="{FF2B5EF4-FFF2-40B4-BE49-F238E27FC236}">
              <a16:creationId xmlns:a16="http://schemas.microsoft.com/office/drawing/2014/main" id="{00000000-0008-0000-0100-000074F70300}"/>
            </a:ext>
          </a:extLst>
        </xdr:cNvPr>
        <xdr:cNvSpPr>
          <a:spLocks noChangeShapeType="1"/>
        </xdr:cNvSpPr>
      </xdr:nvSpPr>
      <xdr:spPr bwMode="auto">
        <a:xfrm flipV="1">
          <a:off x="4086225" y="2800350"/>
          <a:ext cx="581025" cy="342900"/>
        </a:xfrm>
        <a:prstGeom prst="line">
          <a:avLst/>
        </a:prstGeom>
        <a:noFill/>
        <a:ln w="9525">
          <a:solidFill>
            <a:srgbClr val="000000"/>
          </a:solidFill>
          <a:round/>
          <a:headEnd/>
          <a:tailEnd/>
        </a:ln>
      </xdr:spPr>
    </xdr:sp>
    <xdr:clientData/>
  </xdr:twoCellAnchor>
  <xdr:twoCellAnchor>
    <xdr:from>
      <xdr:col>6</xdr:col>
      <xdr:colOff>447675</xdr:colOff>
      <xdr:row>17</xdr:row>
      <xdr:rowOff>9525</xdr:rowOff>
    </xdr:from>
    <xdr:to>
      <xdr:col>7</xdr:col>
      <xdr:colOff>209550</xdr:colOff>
      <xdr:row>19</xdr:row>
      <xdr:rowOff>28575</xdr:rowOff>
    </xdr:to>
    <xdr:sp macro="" textlink="">
      <xdr:nvSpPr>
        <xdr:cNvPr id="259957" name="Line 76">
          <a:extLst>
            <a:ext uri="{FF2B5EF4-FFF2-40B4-BE49-F238E27FC236}">
              <a16:creationId xmlns:a16="http://schemas.microsoft.com/office/drawing/2014/main" id="{00000000-0008-0000-0100-000075F70300}"/>
            </a:ext>
          </a:extLst>
        </xdr:cNvPr>
        <xdr:cNvSpPr>
          <a:spLocks noChangeShapeType="1"/>
        </xdr:cNvSpPr>
      </xdr:nvSpPr>
      <xdr:spPr bwMode="auto">
        <a:xfrm>
          <a:off x="4857750" y="2800350"/>
          <a:ext cx="581025" cy="342900"/>
        </a:xfrm>
        <a:prstGeom prst="line">
          <a:avLst/>
        </a:prstGeom>
        <a:noFill/>
        <a:ln w="9525">
          <a:solidFill>
            <a:srgbClr val="000000"/>
          </a:solidFill>
          <a:round/>
          <a:headEnd/>
          <a:tailEnd/>
        </a:ln>
      </xdr:spPr>
    </xdr:sp>
    <xdr:clientData/>
  </xdr:twoCellAnchor>
  <xdr:twoCellAnchor>
    <xdr:from>
      <xdr:col>5</xdr:col>
      <xdr:colOff>381000</xdr:colOff>
      <xdr:row>6</xdr:row>
      <xdr:rowOff>9525</xdr:rowOff>
    </xdr:from>
    <xdr:to>
      <xdr:col>5</xdr:col>
      <xdr:colOff>381000</xdr:colOff>
      <xdr:row>6</xdr:row>
      <xdr:rowOff>104775</xdr:rowOff>
    </xdr:to>
    <xdr:sp macro="" textlink="">
      <xdr:nvSpPr>
        <xdr:cNvPr id="259958" name="Line 77">
          <a:extLst>
            <a:ext uri="{FF2B5EF4-FFF2-40B4-BE49-F238E27FC236}">
              <a16:creationId xmlns:a16="http://schemas.microsoft.com/office/drawing/2014/main" id="{00000000-0008-0000-0100-000076F70300}"/>
            </a:ext>
          </a:extLst>
        </xdr:cNvPr>
        <xdr:cNvSpPr>
          <a:spLocks noChangeShapeType="1"/>
        </xdr:cNvSpPr>
      </xdr:nvSpPr>
      <xdr:spPr bwMode="auto">
        <a:xfrm flipV="1">
          <a:off x="4181475" y="1019175"/>
          <a:ext cx="0" cy="95250"/>
        </a:xfrm>
        <a:prstGeom prst="line">
          <a:avLst/>
        </a:prstGeom>
        <a:noFill/>
        <a:ln w="9525">
          <a:solidFill>
            <a:srgbClr val="000000"/>
          </a:solidFill>
          <a:round/>
          <a:headEnd/>
          <a:tailEnd type="stealth" w="sm" len="sm"/>
        </a:ln>
      </xdr:spPr>
    </xdr:sp>
    <xdr:clientData/>
  </xdr:twoCellAnchor>
  <xdr:twoCellAnchor>
    <xdr:from>
      <xdr:col>6</xdr:col>
      <xdr:colOff>104775</xdr:colOff>
      <xdr:row>6</xdr:row>
      <xdr:rowOff>9525</xdr:rowOff>
    </xdr:from>
    <xdr:to>
      <xdr:col>6</xdr:col>
      <xdr:colOff>104775</xdr:colOff>
      <xdr:row>6</xdr:row>
      <xdr:rowOff>104775</xdr:rowOff>
    </xdr:to>
    <xdr:sp macro="" textlink="">
      <xdr:nvSpPr>
        <xdr:cNvPr id="259959" name="Line 78">
          <a:extLst>
            <a:ext uri="{FF2B5EF4-FFF2-40B4-BE49-F238E27FC236}">
              <a16:creationId xmlns:a16="http://schemas.microsoft.com/office/drawing/2014/main" id="{00000000-0008-0000-0100-000077F70300}"/>
            </a:ext>
          </a:extLst>
        </xdr:cNvPr>
        <xdr:cNvSpPr>
          <a:spLocks noChangeShapeType="1"/>
        </xdr:cNvSpPr>
      </xdr:nvSpPr>
      <xdr:spPr bwMode="auto">
        <a:xfrm flipV="1">
          <a:off x="4514850" y="1019175"/>
          <a:ext cx="0" cy="95250"/>
        </a:xfrm>
        <a:prstGeom prst="line">
          <a:avLst/>
        </a:prstGeom>
        <a:noFill/>
        <a:ln w="9525">
          <a:solidFill>
            <a:srgbClr val="000000"/>
          </a:solidFill>
          <a:round/>
          <a:headEnd/>
          <a:tailEnd type="stealth" w="sm" len="sm"/>
        </a:ln>
      </xdr:spPr>
    </xdr:sp>
    <xdr:clientData/>
  </xdr:twoCellAnchor>
  <xdr:twoCellAnchor>
    <xdr:from>
      <xdr:col>6</xdr:col>
      <xdr:colOff>276225</xdr:colOff>
      <xdr:row>6</xdr:row>
      <xdr:rowOff>9525</xdr:rowOff>
    </xdr:from>
    <xdr:to>
      <xdr:col>6</xdr:col>
      <xdr:colOff>276225</xdr:colOff>
      <xdr:row>6</xdr:row>
      <xdr:rowOff>104775</xdr:rowOff>
    </xdr:to>
    <xdr:sp macro="" textlink="">
      <xdr:nvSpPr>
        <xdr:cNvPr id="259960" name="Line 79">
          <a:extLst>
            <a:ext uri="{FF2B5EF4-FFF2-40B4-BE49-F238E27FC236}">
              <a16:creationId xmlns:a16="http://schemas.microsoft.com/office/drawing/2014/main" id="{00000000-0008-0000-0100-000078F70300}"/>
            </a:ext>
          </a:extLst>
        </xdr:cNvPr>
        <xdr:cNvSpPr>
          <a:spLocks noChangeShapeType="1"/>
        </xdr:cNvSpPr>
      </xdr:nvSpPr>
      <xdr:spPr bwMode="auto">
        <a:xfrm flipV="1">
          <a:off x="4686300" y="1019175"/>
          <a:ext cx="0" cy="95250"/>
        </a:xfrm>
        <a:prstGeom prst="line">
          <a:avLst/>
        </a:prstGeom>
        <a:noFill/>
        <a:ln w="9525">
          <a:solidFill>
            <a:srgbClr val="000000"/>
          </a:solidFill>
          <a:round/>
          <a:headEnd/>
          <a:tailEnd type="stealth" w="sm" len="sm"/>
        </a:ln>
      </xdr:spPr>
    </xdr:sp>
    <xdr:clientData/>
  </xdr:twoCellAnchor>
  <xdr:twoCellAnchor>
    <xdr:from>
      <xdr:col>5</xdr:col>
      <xdr:colOff>542925</xdr:colOff>
      <xdr:row>6</xdr:row>
      <xdr:rowOff>9525</xdr:rowOff>
    </xdr:from>
    <xdr:to>
      <xdr:col>5</xdr:col>
      <xdr:colOff>542925</xdr:colOff>
      <xdr:row>6</xdr:row>
      <xdr:rowOff>104775</xdr:rowOff>
    </xdr:to>
    <xdr:sp macro="" textlink="">
      <xdr:nvSpPr>
        <xdr:cNvPr id="259961" name="Line 80">
          <a:extLst>
            <a:ext uri="{FF2B5EF4-FFF2-40B4-BE49-F238E27FC236}">
              <a16:creationId xmlns:a16="http://schemas.microsoft.com/office/drawing/2014/main" id="{00000000-0008-0000-0100-000079F70300}"/>
            </a:ext>
          </a:extLst>
        </xdr:cNvPr>
        <xdr:cNvSpPr>
          <a:spLocks noChangeShapeType="1"/>
        </xdr:cNvSpPr>
      </xdr:nvSpPr>
      <xdr:spPr bwMode="auto">
        <a:xfrm flipV="1">
          <a:off x="4343400" y="1019175"/>
          <a:ext cx="0" cy="95250"/>
        </a:xfrm>
        <a:prstGeom prst="line">
          <a:avLst/>
        </a:prstGeom>
        <a:noFill/>
        <a:ln w="9525">
          <a:solidFill>
            <a:srgbClr val="000000"/>
          </a:solidFill>
          <a:round/>
          <a:headEnd/>
          <a:tailEnd type="stealth" w="sm" len="sm"/>
        </a:ln>
      </xdr:spPr>
    </xdr:sp>
    <xdr:clientData/>
  </xdr:twoCellAnchor>
  <xdr:twoCellAnchor>
    <xdr:from>
      <xdr:col>6</xdr:col>
      <xdr:colOff>428625</xdr:colOff>
      <xdr:row>6</xdr:row>
      <xdr:rowOff>9525</xdr:rowOff>
    </xdr:from>
    <xdr:to>
      <xdr:col>6</xdr:col>
      <xdr:colOff>428625</xdr:colOff>
      <xdr:row>6</xdr:row>
      <xdr:rowOff>104775</xdr:rowOff>
    </xdr:to>
    <xdr:sp macro="" textlink="">
      <xdr:nvSpPr>
        <xdr:cNvPr id="259962" name="Line 81">
          <a:extLst>
            <a:ext uri="{FF2B5EF4-FFF2-40B4-BE49-F238E27FC236}">
              <a16:creationId xmlns:a16="http://schemas.microsoft.com/office/drawing/2014/main" id="{00000000-0008-0000-0100-00007AF70300}"/>
            </a:ext>
          </a:extLst>
        </xdr:cNvPr>
        <xdr:cNvSpPr>
          <a:spLocks noChangeShapeType="1"/>
        </xdr:cNvSpPr>
      </xdr:nvSpPr>
      <xdr:spPr bwMode="auto">
        <a:xfrm flipV="1">
          <a:off x="4838700" y="1019175"/>
          <a:ext cx="0" cy="95250"/>
        </a:xfrm>
        <a:prstGeom prst="line">
          <a:avLst/>
        </a:prstGeom>
        <a:noFill/>
        <a:ln w="9525">
          <a:solidFill>
            <a:srgbClr val="000000"/>
          </a:solidFill>
          <a:round/>
          <a:headEnd/>
          <a:tailEnd type="stealth" w="sm" len="sm"/>
        </a:ln>
      </xdr:spPr>
    </xdr:sp>
    <xdr:clientData/>
  </xdr:twoCellAnchor>
  <xdr:twoCellAnchor>
    <xdr:from>
      <xdr:col>6</xdr:col>
      <xdr:colOff>600075</xdr:colOff>
      <xdr:row>6</xdr:row>
      <xdr:rowOff>9525</xdr:rowOff>
    </xdr:from>
    <xdr:to>
      <xdr:col>6</xdr:col>
      <xdr:colOff>600075</xdr:colOff>
      <xdr:row>6</xdr:row>
      <xdr:rowOff>104775</xdr:rowOff>
    </xdr:to>
    <xdr:sp macro="" textlink="">
      <xdr:nvSpPr>
        <xdr:cNvPr id="259963" name="Line 82">
          <a:extLst>
            <a:ext uri="{FF2B5EF4-FFF2-40B4-BE49-F238E27FC236}">
              <a16:creationId xmlns:a16="http://schemas.microsoft.com/office/drawing/2014/main" id="{00000000-0008-0000-0100-00007BF70300}"/>
            </a:ext>
          </a:extLst>
        </xdr:cNvPr>
        <xdr:cNvSpPr>
          <a:spLocks noChangeShapeType="1"/>
        </xdr:cNvSpPr>
      </xdr:nvSpPr>
      <xdr:spPr bwMode="auto">
        <a:xfrm flipV="1">
          <a:off x="5010150" y="1019175"/>
          <a:ext cx="0" cy="95250"/>
        </a:xfrm>
        <a:prstGeom prst="line">
          <a:avLst/>
        </a:prstGeom>
        <a:noFill/>
        <a:ln w="9525">
          <a:solidFill>
            <a:srgbClr val="000000"/>
          </a:solidFill>
          <a:round/>
          <a:headEnd/>
          <a:tailEnd type="stealth" w="sm" len="sm"/>
        </a:ln>
      </xdr:spPr>
    </xdr:sp>
    <xdr:clientData/>
  </xdr:twoCellAnchor>
  <xdr:twoCellAnchor>
    <xdr:from>
      <xdr:col>6</xdr:col>
      <xdr:colOff>771525</xdr:colOff>
      <xdr:row>6</xdr:row>
      <xdr:rowOff>9525</xdr:rowOff>
    </xdr:from>
    <xdr:to>
      <xdr:col>6</xdr:col>
      <xdr:colOff>771525</xdr:colOff>
      <xdr:row>6</xdr:row>
      <xdr:rowOff>104775</xdr:rowOff>
    </xdr:to>
    <xdr:sp macro="" textlink="">
      <xdr:nvSpPr>
        <xdr:cNvPr id="259964" name="Line 83">
          <a:extLst>
            <a:ext uri="{FF2B5EF4-FFF2-40B4-BE49-F238E27FC236}">
              <a16:creationId xmlns:a16="http://schemas.microsoft.com/office/drawing/2014/main" id="{00000000-0008-0000-0100-00007CF70300}"/>
            </a:ext>
          </a:extLst>
        </xdr:cNvPr>
        <xdr:cNvSpPr>
          <a:spLocks noChangeShapeType="1"/>
        </xdr:cNvSpPr>
      </xdr:nvSpPr>
      <xdr:spPr bwMode="auto">
        <a:xfrm flipV="1">
          <a:off x="5181600" y="1019175"/>
          <a:ext cx="0" cy="95250"/>
        </a:xfrm>
        <a:prstGeom prst="line">
          <a:avLst/>
        </a:prstGeom>
        <a:noFill/>
        <a:ln w="9525">
          <a:solidFill>
            <a:srgbClr val="000000"/>
          </a:solidFill>
          <a:round/>
          <a:headEnd/>
          <a:tailEnd type="stealth" w="sm" len="sm"/>
        </a:ln>
      </xdr:spPr>
    </xdr:sp>
    <xdr:clientData/>
  </xdr:twoCellAnchor>
  <xdr:twoCellAnchor>
    <xdr:from>
      <xdr:col>7</xdr:col>
      <xdr:colOff>114300</xdr:colOff>
      <xdr:row>6</xdr:row>
      <xdr:rowOff>9525</xdr:rowOff>
    </xdr:from>
    <xdr:to>
      <xdr:col>7</xdr:col>
      <xdr:colOff>114300</xdr:colOff>
      <xdr:row>6</xdr:row>
      <xdr:rowOff>104775</xdr:rowOff>
    </xdr:to>
    <xdr:sp macro="" textlink="">
      <xdr:nvSpPr>
        <xdr:cNvPr id="259965" name="Line 84">
          <a:extLst>
            <a:ext uri="{FF2B5EF4-FFF2-40B4-BE49-F238E27FC236}">
              <a16:creationId xmlns:a16="http://schemas.microsoft.com/office/drawing/2014/main" id="{00000000-0008-0000-0100-00007DF70300}"/>
            </a:ext>
          </a:extLst>
        </xdr:cNvPr>
        <xdr:cNvSpPr>
          <a:spLocks noChangeShapeType="1"/>
        </xdr:cNvSpPr>
      </xdr:nvSpPr>
      <xdr:spPr bwMode="auto">
        <a:xfrm flipV="1">
          <a:off x="5343525" y="1019175"/>
          <a:ext cx="0" cy="95250"/>
        </a:xfrm>
        <a:prstGeom prst="line">
          <a:avLst/>
        </a:prstGeom>
        <a:noFill/>
        <a:ln w="9525">
          <a:solidFill>
            <a:srgbClr val="000000"/>
          </a:solidFill>
          <a:round/>
          <a:headEnd/>
          <a:tailEnd type="stealth" w="sm" len="sm"/>
        </a:ln>
      </xdr:spPr>
    </xdr:sp>
    <xdr:clientData/>
  </xdr:twoCellAnchor>
  <xdr:twoCellAnchor>
    <xdr:from>
      <xdr:col>5</xdr:col>
      <xdr:colOff>381000</xdr:colOff>
      <xdr:row>6</xdr:row>
      <xdr:rowOff>9525</xdr:rowOff>
    </xdr:from>
    <xdr:to>
      <xdr:col>7</xdr:col>
      <xdr:colOff>114300</xdr:colOff>
      <xdr:row>6</xdr:row>
      <xdr:rowOff>9525</xdr:rowOff>
    </xdr:to>
    <xdr:sp macro="" textlink="">
      <xdr:nvSpPr>
        <xdr:cNvPr id="259966" name="Line 85">
          <a:extLst>
            <a:ext uri="{FF2B5EF4-FFF2-40B4-BE49-F238E27FC236}">
              <a16:creationId xmlns:a16="http://schemas.microsoft.com/office/drawing/2014/main" id="{00000000-0008-0000-0100-00007EF70300}"/>
            </a:ext>
          </a:extLst>
        </xdr:cNvPr>
        <xdr:cNvSpPr>
          <a:spLocks noChangeShapeType="1"/>
        </xdr:cNvSpPr>
      </xdr:nvSpPr>
      <xdr:spPr bwMode="auto">
        <a:xfrm>
          <a:off x="4181475" y="1019175"/>
          <a:ext cx="1162050" cy="0"/>
        </a:xfrm>
        <a:prstGeom prst="line">
          <a:avLst/>
        </a:prstGeom>
        <a:noFill/>
        <a:ln w="9525">
          <a:solidFill>
            <a:srgbClr val="000000"/>
          </a:solidFill>
          <a:round/>
          <a:headEnd/>
          <a:tailEnd/>
        </a:ln>
      </xdr:spPr>
    </xdr:sp>
    <xdr:clientData/>
  </xdr:twoCellAnchor>
  <xdr:twoCellAnchor>
    <xdr:from>
      <xdr:col>5</xdr:col>
      <xdr:colOff>542925</xdr:colOff>
      <xdr:row>13</xdr:row>
      <xdr:rowOff>114300</xdr:rowOff>
    </xdr:from>
    <xdr:to>
      <xdr:col>5</xdr:col>
      <xdr:colOff>542925</xdr:colOff>
      <xdr:row>14</xdr:row>
      <xdr:rowOff>47625</xdr:rowOff>
    </xdr:to>
    <xdr:sp macro="" textlink="">
      <xdr:nvSpPr>
        <xdr:cNvPr id="259967" name="Line 86">
          <a:extLst>
            <a:ext uri="{FF2B5EF4-FFF2-40B4-BE49-F238E27FC236}">
              <a16:creationId xmlns:a16="http://schemas.microsoft.com/office/drawing/2014/main" id="{00000000-0008-0000-0100-00007FF70300}"/>
            </a:ext>
          </a:extLst>
        </xdr:cNvPr>
        <xdr:cNvSpPr>
          <a:spLocks noChangeShapeType="1"/>
        </xdr:cNvSpPr>
      </xdr:nvSpPr>
      <xdr:spPr bwMode="auto">
        <a:xfrm flipV="1">
          <a:off x="4343400"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276225</xdr:colOff>
      <xdr:row>13</xdr:row>
      <xdr:rowOff>114300</xdr:rowOff>
    </xdr:from>
    <xdr:to>
      <xdr:col>6</xdr:col>
      <xdr:colOff>276225</xdr:colOff>
      <xdr:row>14</xdr:row>
      <xdr:rowOff>47625</xdr:rowOff>
    </xdr:to>
    <xdr:sp macro="" textlink="">
      <xdr:nvSpPr>
        <xdr:cNvPr id="259968" name="Line 87">
          <a:extLst>
            <a:ext uri="{FF2B5EF4-FFF2-40B4-BE49-F238E27FC236}">
              <a16:creationId xmlns:a16="http://schemas.microsoft.com/office/drawing/2014/main" id="{00000000-0008-0000-0100-000080F70300}"/>
            </a:ext>
          </a:extLst>
        </xdr:cNvPr>
        <xdr:cNvSpPr>
          <a:spLocks noChangeShapeType="1"/>
        </xdr:cNvSpPr>
      </xdr:nvSpPr>
      <xdr:spPr bwMode="auto">
        <a:xfrm flipV="1">
          <a:off x="4686300"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428625</xdr:colOff>
      <xdr:row>13</xdr:row>
      <xdr:rowOff>114300</xdr:rowOff>
    </xdr:from>
    <xdr:to>
      <xdr:col>6</xdr:col>
      <xdr:colOff>428625</xdr:colOff>
      <xdr:row>14</xdr:row>
      <xdr:rowOff>47625</xdr:rowOff>
    </xdr:to>
    <xdr:sp macro="" textlink="">
      <xdr:nvSpPr>
        <xdr:cNvPr id="259969" name="Line 88">
          <a:extLst>
            <a:ext uri="{FF2B5EF4-FFF2-40B4-BE49-F238E27FC236}">
              <a16:creationId xmlns:a16="http://schemas.microsoft.com/office/drawing/2014/main" id="{00000000-0008-0000-0100-000081F70300}"/>
            </a:ext>
          </a:extLst>
        </xdr:cNvPr>
        <xdr:cNvSpPr>
          <a:spLocks noChangeShapeType="1"/>
        </xdr:cNvSpPr>
      </xdr:nvSpPr>
      <xdr:spPr bwMode="auto">
        <a:xfrm flipV="1">
          <a:off x="4838700"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104775</xdr:colOff>
      <xdr:row>13</xdr:row>
      <xdr:rowOff>114300</xdr:rowOff>
    </xdr:from>
    <xdr:to>
      <xdr:col>6</xdr:col>
      <xdr:colOff>104775</xdr:colOff>
      <xdr:row>14</xdr:row>
      <xdr:rowOff>47625</xdr:rowOff>
    </xdr:to>
    <xdr:sp macro="" textlink="">
      <xdr:nvSpPr>
        <xdr:cNvPr id="259970" name="Line 89">
          <a:extLst>
            <a:ext uri="{FF2B5EF4-FFF2-40B4-BE49-F238E27FC236}">
              <a16:creationId xmlns:a16="http://schemas.microsoft.com/office/drawing/2014/main" id="{00000000-0008-0000-0100-000082F70300}"/>
            </a:ext>
          </a:extLst>
        </xdr:cNvPr>
        <xdr:cNvSpPr>
          <a:spLocks noChangeShapeType="1"/>
        </xdr:cNvSpPr>
      </xdr:nvSpPr>
      <xdr:spPr bwMode="auto">
        <a:xfrm flipV="1">
          <a:off x="4514850"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600075</xdr:colOff>
      <xdr:row>13</xdr:row>
      <xdr:rowOff>114300</xdr:rowOff>
    </xdr:from>
    <xdr:to>
      <xdr:col>6</xdr:col>
      <xdr:colOff>600075</xdr:colOff>
      <xdr:row>14</xdr:row>
      <xdr:rowOff>47625</xdr:rowOff>
    </xdr:to>
    <xdr:sp macro="" textlink="">
      <xdr:nvSpPr>
        <xdr:cNvPr id="259971" name="Line 90">
          <a:extLst>
            <a:ext uri="{FF2B5EF4-FFF2-40B4-BE49-F238E27FC236}">
              <a16:creationId xmlns:a16="http://schemas.microsoft.com/office/drawing/2014/main" id="{00000000-0008-0000-0100-000083F70300}"/>
            </a:ext>
          </a:extLst>
        </xdr:cNvPr>
        <xdr:cNvSpPr>
          <a:spLocks noChangeShapeType="1"/>
        </xdr:cNvSpPr>
      </xdr:nvSpPr>
      <xdr:spPr bwMode="auto">
        <a:xfrm flipV="1">
          <a:off x="5010150"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771525</xdr:colOff>
      <xdr:row>13</xdr:row>
      <xdr:rowOff>114300</xdr:rowOff>
    </xdr:from>
    <xdr:to>
      <xdr:col>6</xdr:col>
      <xdr:colOff>771525</xdr:colOff>
      <xdr:row>14</xdr:row>
      <xdr:rowOff>47625</xdr:rowOff>
    </xdr:to>
    <xdr:sp macro="" textlink="">
      <xdr:nvSpPr>
        <xdr:cNvPr id="259972" name="Line 91">
          <a:extLst>
            <a:ext uri="{FF2B5EF4-FFF2-40B4-BE49-F238E27FC236}">
              <a16:creationId xmlns:a16="http://schemas.microsoft.com/office/drawing/2014/main" id="{00000000-0008-0000-0100-000084F70300}"/>
            </a:ext>
          </a:extLst>
        </xdr:cNvPr>
        <xdr:cNvSpPr>
          <a:spLocks noChangeShapeType="1"/>
        </xdr:cNvSpPr>
      </xdr:nvSpPr>
      <xdr:spPr bwMode="auto">
        <a:xfrm flipV="1">
          <a:off x="5181600" y="2257425"/>
          <a:ext cx="0" cy="95250"/>
        </a:xfrm>
        <a:prstGeom prst="line">
          <a:avLst/>
        </a:prstGeom>
        <a:noFill/>
        <a:ln w="9525">
          <a:solidFill>
            <a:srgbClr val="000000"/>
          </a:solidFill>
          <a:round/>
          <a:headEnd type="stealth" w="sm" len="sm"/>
          <a:tailEnd type="none" w="sm" len="sm"/>
        </a:ln>
      </xdr:spPr>
    </xdr:sp>
    <xdr:clientData/>
  </xdr:twoCellAnchor>
  <xdr:twoCellAnchor>
    <xdr:from>
      <xdr:col>7</xdr:col>
      <xdr:colOff>114300</xdr:colOff>
      <xdr:row>13</xdr:row>
      <xdr:rowOff>114300</xdr:rowOff>
    </xdr:from>
    <xdr:to>
      <xdr:col>7</xdr:col>
      <xdr:colOff>114300</xdr:colOff>
      <xdr:row>14</xdr:row>
      <xdr:rowOff>47625</xdr:rowOff>
    </xdr:to>
    <xdr:sp macro="" textlink="">
      <xdr:nvSpPr>
        <xdr:cNvPr id="259973" name="Line 92">
          <a:extLst>
            <a:ext uri="{FF2B5EF4-FFF2-40B4-BE49-F238E27FC236}">
              <a16:creationId xmlns:a16="http://schemas.microsoft.com/office/drawing/2014/main" id="{00000000-0008-0000-0100-000085F70300}"/>
            </a:ext>
          </a:extLst>
        </xdr:cNvPr>
        <xdr:cNvSpPr>
          <a:spLocks noChangeShapeType="1"/>
        </xdr:cNvSpPr>
      </xdr:nvSpPr>
      <xdr:spPr bwMode="auto">
        <a:xfrm flipV="1">
          <a:off x="5343525"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381000</xdr:colOff>
      <xdr:row>13</xdr:row>
      <xdr:rowOff>114300</xdr:rowOff>
    </xdr:from>
    <xdr:to>
      <xdr:col>5</xdr:col>
      <xdr:colOff>381000</xdr:colOff>
      <xdr:row>14</xdr:row>
      <xdr:rowOff>47625</xdr:rowOff>
    </xdr:to>
    <xdr:sp macro="" textlink="">
      <xdr:nvSpPr>
        <xdr:cNvPr id="259974" name="Line 93">
          <a:extLst>
            <a:ext uri="{FF2B5EF4-FFF2-40B4-BE49-F238E27FC236}">
              <a16:creationId xmlns:a16="http://schemas.microsoft.com/office/drawing/2014/main" id="{00000000-0008-0000-0100-000086F70300}"/>
            </a:ext>
          </a:extLst>
        </xdr:cNvPr>
        <xdr:cNvSpPr>
          <a:spLocks noChangeShapeType="1"/>
        </xdr:cNvSpPr>
      </xdr:nvSpPr>
      <xdr:spPr bwMode="auto">
        <a:xfrm flipV="1">
          <a:off x="4181475"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381000</xdr:colOff>
      <xdr:row>14</xdr:row>
      <xdr:rowOff>47625</xdr:rowOff>
    </xdr:from>
    <xdr:to>
      <xdr:col>7</xdr:col>
      <xdr:colOff>114300</xdr:colOff>
      <xdr:row>14</xdr:row>
      <xdr:rowOff>47625</xdr:rowOff>
    </xdr:to>
    <xdr:sp macro="" textlink="">
      <xdr:nvSpPr>
        <xdr:cNvPr id="259975" name="Line 94">
          <a:extLst>
            <a:ext uri="{FF2B5EF4-FFF2-40B4-BE49-F238E27FC236}">
              <a16:creationId xmlns:a16="http://schemas.microsoft.com/office/drawing/2014/main" id="{00000000-0008-0000-0100-000087F70300}"/>
            </a:ext>
          </a:extLst>
        </xdr:cNvPr>
        <xdr:cNvSpPr>
          <a:spLocks noChangeShapeType="1"/>
        </xdr:cNvSpPr>
      </xdr:nvSpPr>
      <xdr:spPr bwMode="auto">
        <a:xfrm>
          <a:off x="4181475" y="2352675"/>
          <a:ext cx="1162050" cy="0"/>
        </a:xfrm>
        <a:prstGeom prst="line">
          <a:avLst/>
        </a:prstGeom>
        <a:noFill/>
        <a:ln w="9525">
          <a:solidFill>
            <a:srgbClr val="000000"/>
          </a:solidFill>
          <a:round/>
          <a:headEnd/>
          <a:tailEnd/>
        </a:ln>
      </xdr:spPr>
    </xdr:sp>
    <xdr:clientData/>
  </xdr:twoCellAnchor>
  <xdr:twoCellAnchor>
    <xdr:from>
      <xdr:col>5</xdr:col>
      <xdr:colOff>219075</xdr:colOff>
      <xdr:row>13</xdr:row>
      <xdr:rowOff>114300</xdr:rowOff>
    </xdr:from>
    <xdr:to>
      <xdr:col>5</xdr:col>
      <xdr:colOff>381000</xdr:colOff>
      <xdr:row>13</xdr:row>
      <xdr:rowOff>114300</xdr:rowOff>
    </xdr:to>
    <xdr:sp macro="" textlink="">
      <xdr:nvSpPr>
        <xdr:cNvPr id="259976" name="Line 95">
          <a:extLst>
            <a:ext uri="{FF2B5EF4-FFF2-40B4-BE49-F238E27FC236}">
              <a16:creationId xmlns:a16="http://schemas.microsoft.com/office/drawing/2014/main" id="{00000000-0008-0000-0100-000088F70300}"/>
            </a:ext>
          </a:extLst>
        </xdr:cNvPr>
        <xdr:cNvSpPr>
          <a:spLocks noChangeShapeType="1"/>
        </xdr:cNvSpPr>
      </xdr:nvSpPr>
      <xdr:spPr bwMode="auto">
        <a:xfrm>
          <a:off x="4019550" y="2257425"/>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12</xdr:row>
      <xdr:rowOff>114300</xdr:rowOff>
    </xdr:from>
    <xdr:to>
      <xdr:col>5</xdr:col>
      <xdr:colOff>381000</xdr:colOff>
      <xdr:row>12</xdr:row>
      <xdr:rowOff>114300</xdr:rowOff>
    </xdr:to>
    <xdr:sp macro="" textlink="">
      <xdr:nvSpPr>
        <xdr:cNvPr id="259977" name="Line 96">
          <a:extLst>
            <a:ext uri="{FF2B5EF4-FFF2-40B4-BE49-F238E27FC236}">
              <a16:creationId xmlns:a16="http://schemas.microsoft.com/office/drawing/2014/main" id="{00000000-0008-0000-0100-000089F70300}"/>
            </a:ext>
          </a:extLst>
        </xdr:cNvPr>
        <xdr:cNvSpPr>
          <a:spLocks noChangeShapeType="1"/>
        </xdr:cNvSpPr>
      </xdr:nvSpPr>
      <xdr:spPr bwMode="auto">
        <a:xfrm>
          <a:off x="4019550" y="2095500"/>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11</xdr:row>
      <xdr:rowOff>114300</xdr:rowOff>
    </xdr:from>
    <xdr:to>
      <xdr:col>5</xdr:col>
      <xdr:colOff>381000</xdr:colOff>
      <xdr:row>11</xdr:row>
      <xdr:rowOff>114300</xdr:rowOff>
    </xdr:to>
    <xdr:sp macro="" textlink="">
      <xdr:nvSpPr>
        <xdr:cNvPr id="259978" name="Line 97">
          <a:extLst>
            <a:ext uri="{FF2B5EF4-FFF2-40B4-BE49-F238E27FC236}">
              <a16:creationId xmlns:a16="http://schemas.microsoft.com/office/drawing/2014/main" id="{00000000-0008-0000-0100-00008AF70300}"/>
            </a:ext>
          </a:extLst>
        </xdr:cNvPr>
        <xdr:cNvSpPr>
          <a:spLocks noChangeShapeType="1"/>
        </xdr:cNvSpPr>
      </xdr:nvSpPr>
      <xdr:spPr bwMode="auto">
        <a:xfrm>
          <a:off x="4019550" y="1933575"/>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6</xdr:row>
      <xdr:rowOff>104775</xdr:rowOff>
    </xdr:from>
    <xdr:to>
      <xdr:col>5</xdr:col>
      <xdr:colOff>381000</xdr:colOff>
      <xdr:row>6</xdr:row>
      <xdr:rowOff>104775</xdr:rowOff>
    </xdr:to>
    <xdr:sp macro="" textlink="">
      <xdr:nvSpPr>
        <xdr:cNvPr id="259979" name="Line 98">
          <a:extLst>
            <a:ext uri="{FF2B5EF4-FFF2-40B4-BE49-F238E27FC236}">
              <a16:creationId xmlns:a16="http://schemas.microsoft.com/office/drawing/2014/main" id="{00000000-0008-0000-0100-00008BF70300}"/>
            </a:ext>
          </a:extLst>
        </xdr:cNvPr>
        <xdr:cNvSpPr>
          <a:spLocks noChangeShapeType="1"/>
        </xdr:cNvSpPr>
      </xdr:nvSpPr>
      <xdr:spPr bwMode="auto">
        <a:xfrm>
          <a:off x="4019550" y="1114425"/>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7</xdr:row>
      <xdr:rowOff>104775</xdr:rowOff>
    </xdr:from>
    <xdr:to>
      <xdr:col>5</xdr:col>
      <xdr:colOff>381000</xdr:colOff>
      <xdr:row>7</xdr:row>
      <xdr:rowOff>104775</xdr:rowOff>
    </xdr:to>
    <xdr:sp macro="" textlink="">
      <xdr:nvSpPr>
        <xdr:cNvPr id="259980" name="Line 99">
          <a:extLst>
            <a:ext uri="{FF2B5EF4-FFF2-40B4-BE49-F238E27FC236}">
              <a16:creationId xmlns:a16="http://schemas.microsoft.com/office/drawing/2014/main" id="{00000000-0008-0000-0100-00008CF70300}"/>
            </a:ext>
          </a:extLst>
        </xdr:cNvPr>
        <xdr:cNvSpPr>
          <a:spLocks noChangeShapeType="1"/>
        </xdr:cNvSpPr>
      </xdr:nvSpPr>
      <xdr:spPr bwMode="auto">
        <a:xfrm>
          <a:off x="4019550" y="1276350"/>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8</xdr:row>
      <xdr:rowOff>104775</xdr:rowOff>
    </xdr:from>
    <xdr:to>
      <xdr:col>5</xdr:col>
      <xdr:colOff>381000</xdr:colOff>
      <xdr:row>8</xdr:row>
      <xdr:rowOff>104775</xdr:rowOff>
    </xdr:to>
    <xdr:sp macro="" textlink="">
      <xdr:nvSpPr>
        <xdr:cNvPr id="259981" name="Line 100">
          <a:extLst>
            <a:ext uri="{FF2B5EF4-FFF2-40B4-BE49-F238E27FC236}">
              <a16:creationId xmlns:a16="http://schemas.microsoft.com/office/drawing/2014/main" id="{00000000-0008-0000-0100-00008DF70300}"/>
            </a:ext>
          </a:extLst>
        </xdr:cNvPr>
        <xdr:cNvSpPr>
          <a:spLocks noChangeShapeType="1"/>
        </xdr:cNvSpPr>
      </xdr:nvSpPr>
      <xdr:spPr bwMode="auto">
        <a:xfrm>
          <a:off x="4019550" y="1438275"/>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9</xdr:row>
      <xdr:rowOff>104775</xdr:rowOff>
    </xdr:from>
    <xdr:to>
      <xdr:col>5</xdr:col>
      <xdr:colOff>381000</xdr:colOff>
      <xdr:row>9</xdr:row>
      <xdr:rowOff>104775</xdr:rowOff>
    </xdr:to>
    <xdr:sp macro="" textlink="">
      <xdr:nvSpPr>
        <xdr:cNvPr id="259982" name="Line 101">
          <a:extLst>
            <a:ext uri="{FF2B5EF4-FFF2-40B4-BE49-F238E27FC236}">
              <a16:creationId xmlns:a16="http://schemas.microsoft.com/office/drawing/2014/main" id="{00000000-0008-0000-0100-00008EF70300}"/>
            </a:ext>
          </a:extLst>
        </xdr:cNvPr>
        <xdr:cNvSpPr>
          <a:spLocks noChangeShapeType="1"/>
        </xdr:cNvSpPr>
      </xdr:nvSpPr>
      <xdr:spPr bwMode="auto">
        <a:xfrm>
          <a:off x="4019550" y="1600200"/>
          <a:ext cx="161925" cy="0"/>
        </a:xfrm>
        <a:prstGeom prst="line">
          <a:avLst/>
        </a:prstGeom>
        <a:noFill/>
        <a:ln w="9525">
          <a:solidFill>
            <a:srgbClr val="000000"/>
          </a:solidFill>
          <a:round/>
          <a:headEnd/>
          <a:tailEnd type="stealth" w="sm" len="sm"/>
        </a:ln>
      </xdr:spPr>
    </xdr:sp>
    <xdr:clientData/>
  </xdr:twoCellAnchor>
  <xdr:twoCellAnchor>
    <xdr:from>
      <xdr:col>5</xdr:col>
      <xdr:colOff>219075</xdr:colOff>
      <xdr:row>10</xdr:row>
      <xdr:rowOff>104775</xdr:rowOff>
    </xdr:from>
    <xdr:to>
      <xdr:col>5</xdr:col>
      <xdr:colOff>381000</xdr:colOff>
      <xdr:row>10</xdr:row>
      <xdr:rowOff>104775</xdr:rowOff>
    </xdr:to>
    <xdr:sp macro="" textlink="">
      <xdr:nvSpPr>
        <xdr:cNvPr id="259983" name="Line 102">
          <a:extLst>
            <a:ext uri="{FF2B5EF4-FFF2-40B4-BE49-F238E27FC236}">
              <a16:creationId xmlns:a16="http://schemas.microsoft.com/office/drawing/2014/main" id="{00000000-0008-0000-0100-00008FF70300}"/>
            </a:ext>
          </a:extLst>
        </xdr:cNvPr>
        <xdr:cNvSpPr>
          <a:spLocks noChangeShapeType="1"/>
        </xdr:cNvSpPr>
      </xdr:nvSpPr>
      <xdr:spPr bwMode="auto">
        <a:xfrm>
          <a:off x="4019550" y="1762125"/>
          <a:ext cx="161925" cy="0"/>
        </a:xfrm>
        <a:prstGeom prst="line">
          <a:avLst/>
        </a:prstGeom>
        <a:noFill/>
        <a:ln w="9525">
          <a:solidFill>
            <a:srgbClr val="000000"/>
          </a:solidFill>
          <a:round/>
          <a:headEnd/>
          <a:tailEnd type="stealth" w="sm" len="sm"/>
        </a:ln>
      </xdr:spPr>
    </xdr:sp>
    <xdr:clientData/>
  </xdr:twoCellAnchor>
  <xdr:twoCellAnchor>
    <xdr:from>
      <xdr:col>5</xdr:col>
      <xdr:colOff>209550</xdr:colOff>
      <xdr:row>6</xdr:row>
      <xdr:rowOff>104775</xdr:rowOff>
    </xdr:from>
    <xdr:to>
      <xdr:col>5</xdr:col>
      <xdr:colOff>209550</xdr:colOff>
      <xdr:row>13</xdr:row>
      <xdr:rowOff>114300</xdr:rowOff>
    </xdr:to>
    <xdr:sp macro="" textlink="">
      <xdr:nvSpPr>
        <xdr:cNvPr id="259984" name="Line 103">
          <a:extLst>
            <a:ext uri="{FF2B5EF4-FFF2-40B4-BE49-F238E27FC236}">
              <a16:creationId xmlns:a16="http://schemas.microsoft.com/office/drawing/2014/main" id="{00000000-0008-0000-0100-000090F70300}"/>
            </a:ext>
          </a:extLst>
        </xdr:cNvPr>
        <xdr:cNvSpPr>
          <a:spLocks noChangeShapeType="1"/>
        </xdr:cNvSpPr>
      </xdr:nvSpPr>
      <xdr:spPr bwMode="auto">
        <a:xfrm>
          <a:off x="4010025" y="1114425"/>
          <a:ext cx="0" cy="1143000"/>
        </a:xfrm>
        <a:prstGeom prst="line">
          <a:avLst/>
        </a:prstGeom>
        <a:noFill/>
        <a:ln w="9525">
          <a:solidFill>
            <a:srgbClr val="000000"/>
          </a:solidFill>
          <a:round/>
          <a:headEnd/>
          <a:tailEnd/>
        </a:ln>
      </xdr:spPr>
    </xdr:sp>
    <xdr:clientData/>
  </xdr:twoCellAnchor>
  <xdr:twoCellAnchor>
    <xdr:from>
      <xdr:col>7</xdr:col>
      <xdr:colOff>114300</xdr:colOff>
      <xdr:row>6</xdr:row>
      <xdr:rowOff>104775</xdr:rowOff>
    </xdr:from>
    <xdr:to>
      <xdr:col>7</xdr:col>
      <xdr:colOff>209550</xdr:colOff>
      <xdr:row>6</xdr:row>
      <xdr:rowOff>104775</xdr:rowOff>
    </xdr:to>
    <xdr:sp macro="" textlink="">
      <xdr:nvSpPr>
        <xdr:cNvPr id="259985" name="Line 104">
          <a:extLst>
            <a:ext uri="{FF2B5EF4-FFF2-40B4-BE49-F238E27FC236}">
              <a16:creationId xmlns:a16="http://schemas.microsoft.com/office/drawing/2014/main" id="{00000000-0008-0000-0100-000091F70300}"/>
            </a:ext>
          </a:extLst>
        </xdr:cNvPr>
        <xdr:cNvSpPr>
          <a:spLocks noChangeShapeType="1"/>
        </xdr:cNvSpPr>
      </xdr:nvSpPr>
      <xdr:spPr bwMode="auto">
        <a:xfrm>
          <a:off x="5343525" y="1114425"/>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7</xdr:row>
      <xdr:rowOff>104775</xdr:rowOff>
    </xdr:from>
    <xdr:to>
      <xdr:col>7</xdr:col>
      <xdr:colOff>209550</xdr:colOff>
      <xdr:row>7</xdr:row>
      <xdr:rowOff>104775</xdr:rowOff>
    </xdr:to>
    <xdr:sp macro="" textlink="">
      <xdr:nvSpPr>
        <xdr:cNvPr id="259986" name="Line 105">
          <a:extLst>
            <a:ext uri="{FF2B5EF4-FFF2-40B4-BE49-F238E27FC236}">
              <a16:creationId xmlns:a16="http://schemas.microsoft.com/office/drawing/2014/main" id="{00000000-0008-0000-0100-000092F70300}"/>
            </a:ext>
          </a:extLst>
        </xdr:cNvPr>
        <xdr:cNvSpPr>
          <a:spLocks noChangeShapeType="1"/>
        </xdr:cNvSpPr>
      </xdr:nvSpPr>
      <xdr:spPr bwMode="auto">
        <a:xfrm>
          <a:off x="5343525" y="1276350"/>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8</xdr:row>
      <xdr:rowOff>104775</xdr:rowOff>
    </xdr:from>
    <xdr:to>
      <xdr:col>7</xdr:col>
      <xdr:colOff>209550</xdr:colOff>
      <xdr:row>8</xdr:row>
      <xdr:rowOff>104775</xdr:rowOff>
    </xdr:to>
    <xdr:sp macro="" textlink="">
      <xdr:nvSpPr>
        <xdr:cNvPr id="259987" name="Line 106">
          <a:extLst>
            <a:ext uri="{FF2B5EF4-FFF2-40B4-BE49-F238E27FC236}">
              <a16:creationId xmlns:a16="http://schemas.microsoft.com/office/drawing/2014/main" id="{00000000-0008-0000-0100-000093F70300}"/>
            </a:ext>
          </a:extLst>
        </xdr:cNvPr>
        <xdr:cNvSpPr>
          <a:spLocks noChangeShapeType="1"/>
        </xdr:cNvSpPr>
      </xdr:nvSpPr>
      <xdr:spPr bwMode="auto">
        <a:xfrm>
          <a:off x="5343525" y="1438275"/>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9</xdr:row>
      <xdr:rowOff>104775</xdr:rowOff>
    </xdr:from>
    <xdr:to>
      <xdr:col>7</xdr:col>
      <xdr:colOff>209550</xdr:colOff>
      <xdr:row>9</xdr:row>
      <xdr:rowOff>104775</xdr:rowOff>
    </xdr:to>
    <xdr:sp macro="" textlink="">
      <xdr:nvSpPr>
        <xdr:cNvPr id="259988" name="Line 107">
          <a:extLst>
            <a:ext uri="{FF2B5EF4-FFF2-40B4-BE49-F238E27FC236}">
              <a16:creationId xmlns:a16="http://schemas.microsoft.com/office/drawing/2014/main" id="{00000000-0008-0000-0100-000094F70300}"/>
            </a:ext>
          </a:extLst>
        </xdr:cNvPr>
        <xdr:cNvSpPr>
          <a:spLocks noChangeShapeType="1"/>
        </xdr:cNvSpPr>
      </xdr:nvSpPr>
      <xdr:spPr bwMode="auto">
        <a:xfrm>
          <a:off x="5343525" y="1600200"/>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10</xdr:row>
      <xdr:rowOff>104775</xdr:rowOff>
    </xdr:from>
    <xdr:to>
      <xdr:col>7</xdr:col>
      <xdr:colOff>209550</xdr:colOff>
      <xdr:row>10</xdr:row>
      <xdr:rowOff>104775</xdr:rowOff>
    </xdr:to>
    <xdr:sp macro="" textlink="">
      <xdr:nvSpPr>
        <xdr:cNvPr id="259989" name="Line 108">
          <a:extLst>
            <a:ext uri="{FF2B5EF4-FFF2-40B4-BE49-F238E27FC236}">
              <a16:creationId xmlns:a16="http://schemas.microsoft.com/office/drawing/2014/main" id="{00000000-0008-0000-0100-000095F70300}"/>
            </a:ext>
          </a:extLst>
        </xdr:cNvPr>
        <xdr:cNvSpPr>
          <a:spLocks noChangeShapeType="1"/>
        </xdr:cNvSpPr>
      </xdr:nvSpPr>
      <xdr:spPr bwMode="auto">
        <a:xfrm>
          <a:off x="5343525" y="1762125"/>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11</xdr:row>
      <xdr:rowOff>114300</xdr:rowOff>
    </xdr:from>
    <xdr:to>
      <xdr:col>7</xdr:col>
      <xdr:colOff>209550</xdr:colOff>
      <xdr:row>11</xdr:row>
      <xdr:rowOff>114300</xdr:rowOff>
    </xdr:to>
    <xdr:sp macro="" textlink="">
      <xdr:nvSpPr>
        <xdr:cNvPr id="259990" name="Line 109">
          <a:extLst>
            <a:ext uri="{FF2B5EF4-FFF2-40B4-BE49-F238E27FC236}">
              <a16:creationId xmlns:a16="http://schemas.microsoft.com/office/drawing/2014/main" id="{00000000-0008-0000-0100-000096F70300}"/>
            </a:ext>
          </a:extLst>
        </xdr:cNvPr>
        <xdr:cNvSpPr>
          <a:spLocks noChangeShapeType="1"/>
        </xdr:cNvSpPr>
      </xdr:nvSpPr>
      <xdr:spPr bwMode="auto">
        <a:xfrm>
          <a:off x="5343525" y="1933575"/>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12</xdr:row>
      <xdr:rowOff>114300</xdr:rowOff>
    </xdr:from>
    <xdr:to>
      <xdr:col>7</xdr:col>
      <xdr:colOff>209550</xdr:colOff>
      <xdr:row>12</xdr:row>
      <xdr:rowOff>114300</xdr:rowOff>
    </xdr:to>
    <xdr:sp macro="" textlink="">
      <xdr:nvSpPr>
        <xdr:cNvPr id="259991" name="Line 110">
          <a:extLst>
            <a:ext uri="{FF2B5EF4-FFF2-40B4-BE49-F238E27FC236}">
              <a16:creationId xmlns:a16="http://schemas.microsoft.com/office/drawing/2014/main" id="{00000000-0008-0000-0100-000097F70300}"/>
            </a:ext>
          </a:extLst>
        </xdr:cNvPr>
        <xdr:cNvSpPr>
          <a:spLocks noChangeShapeType="1"/>
        </xdr:cNvSpPr>
      </xdr:nvSpPr>
      <xdr:spPr bwMode="auto">
        <a:xfrm>
          <a:off x="5343525" y="2095500"/>
          <a:ext cx="95250" cy="0"/>
        </a:xfrm>
        <a:prstGeom prst="line">
          <a:avLst/>
        </a:prstGeom>
        <a:noFill/>
        <a:ln w="9525">
          <a:solidFill>
            <a:srgbClr val="000000"/>
          </a:solidFill>
          <a:round/>
          <a:headEnd/>
          <a:tailEnd type="stealth" w="sm" len="sm"/>
        </a:ln>
      </xdr:spPr>
    </xdr:sp>
    <xdr:clientData/>
  </xdr:twoCellAnchor>
  <xdr:twoCellAnchor>
    <xdr:from>
      <xdr:col>7</xdr:col>
      <xdr:colOff>114300</xdr:colOff>
      <xdr:row>13</xdr:row>
      <xdr:rowOff>114300</xdr:rowOff>
    </xdr:from>
    <xdr:to>
      <xdr:col>7</xdr:col>
      <xdr:colOff>209550</xdr:colOff>
      <xdr:row>13</xdr:row>
      <xdr:rowOff>114300</xdr:rowOff>
    </xdr:to>
    <xdr:sp macro="" textlink="">
      <xdr:nvSpPr>
        <xdr:cNvPr id="259992" name="Line 111">
          <a:extLst>
            <a:ext uri="{FF2B5EF4-FFF2-40B4-BE49-F238E27FC236}">
              <a16:creationId xmlns:a16="http://schemas.microsoft.com/office/drawing/2014/main" id="{00000000-0008-0000-0100-000098F70300}"/>
            </a:ext>
          </a:extLst>
        </xdr:cNvPr>
        <xdr:cNvSpPr>
          <a:spLocks noChangeShapeType="1"/>
        </xdr:cNvSpPr>
      </xdr:nvSpPr>
      <xdr:spPr bwMode="auto">
        <a:xfrm>
          <a:off x="5343525" y="2257425"/>
          <a:ext cx="95250" cy="0"/>
        </a:xfrm>
        <a:prstGeom prst="line">
          <a:avLst/>
        </a:prstGeom>
        <a:noFill/>
        <a:ln w="9525">
          <a:solidFill>
            <a:srgbClr val="000000"/>
          </a:solidFill>
          <a:round/>
          <a:headEnd/>
          <a:tailEnd type="stealth" w="sm" len="sm"/>
        </a:ln>
      </xdr:spPr>
    </xdr:sp>
    <xdr:clientData/>
  </xdr:twoCellAnchor>
  <xdr:twoCellAnchor>
    <xdr:from>
      <xdr:col>7</xdr:col>
      <xdr:colOff>209550</xdr:colOff>
      <xdr:row>6</xdr:row>
      <xdr:rowOff>104775</xdr:rowOff>
    </xdr:from>
    <xdr:to>
      <xdr:col>7</xdr:col>
      <xdr:colOff>209550</xdr:colOff>
      <xdr:row>13</xdr:row>
      <xdr:rowOff>114300</xdr:rowOff>
    </xdr:to>
    <xdr:sp macro="" textlink="">
      <xdr:nvSpPr>
        <xdr:cNvPr id="259993" name="Line 112">
          <a:extLst>
            <a:ext uri="{FF2B5EF4-FFF2-40B4-BE49-F238E27FC236}">
              <a16:creationId xmlns:a16="http://schemas.microsoft.com/office/drawing/2014/main" id="{00000000-0008-0000-0100-000099F70300}"/>
            </a:ext>
          </a:extLst>
        </xdr:cNvPr>
        <xdr:cNvSpPr>
          <a:spLocks noChangeShapeType="1"/>
        </xdr:cNvSpPr>
      </xdr:nvSpPr>
      <xdr:spPr bwMode="auto">
        <a:xfrm>
          <a:off x="5438775" y="1114425"/>
          <a:ext cx="0" cy="1143000"/>
        </a:xfrm>
        <a:prstGeom prst="line">
          <a:avLst/>
        </a:prstGeom>
        <a:noFill/>
        <a:ln w="9525">
          <a:solidFill>
            <a:srgbClr val="000000"/>
          </a:solidFill>
          <a:round/>
          <a:headEnd/>
          <a:tailEnd/>
        </a:ln>
      </xdr:spPr>
    </xdr:sp>
    <xdr:clientData/>
  </xdr:twoCellAnchor>
  <xdr:twoCellAnchor>
    <xdr:from>
      <xdr:col>4</xdr:col>
      <xdr:colOff>409575</xdr:colOff>
      <xdr:row>10</xdr:row>
      <xdr:rowOff>19050</xdr:rowOff>
    </xdr:from>
    <xdr:to>
      <xdr:col>5</xdr:col>
      <xdr:colOff>171450</xdr:colOff>
      <xdr:row>10</xdr:row>
      <xdr:rowOff>19050</xdr:rowOff>
    </xdr:to>
    <xdr:sp macro="" textlink="">
      <xdr:nvSpPr>
        <xdr:cNvPr id="259994" name="Line 113">
          <a:extLst>
            <a:ext uri="{FF2B5EF4-FFF2-40B4-BE49-F238E27FC236}">
              <a16:creationId xmlns:a16="http://schemas.microsoft.com/office/drawing/2014/main" id="{00000000-0008-0000-0100-00009AF70300}"/>
            </a:ext>
          </a:extLst>
        </xdr:cNvPr>
        <xdr:cNvSpPr>
          <a:spLocks noChangeShapeType="1"/>
        </xdr:cNvSpPr>
      </xdr:nvSpPr>
      <xdr:spPr bwMode="auto">
        <a:xfrm>
          <a:off x="3600450" y="1676400"/>
          <a:ext cx="371475" cy="0"/>
        </a:xfrm>
        <a:prstGeom prst="line">
          <a:avLst/>
        </a:prstGeom>
        <a:noFill/>
        <a:ln w="9525">
          <a:solidFill>
            <a:srgbClr val="000000"/>
          </a:solidFill>
          <a:round/>
          <a:headEnd/>
          <a:tailEnd type="stealth" w="sm" len="med"/>
        </a:ln>
      </xdr:spPr>
    </xdr:sp>
    <xdr:clientData/>
  </xdr:twoCellAnchor>
  <xdr:twoCellAnchor>
    <xdr:from>
      <xdr:col>4</xdr:col>
      <xdr:colOff>390525</xdr:colOff>
      <xdr:row>9</xdr:row>
      <xdr:rowOff>28575</xdr:rowOff>
    </xdr:from>
    <xdr:to>
      <xdr:col>5</xdr:col>
      <xdr:colOff>123825</xdr:colOff>
      <xdr:row>10</xdr:row>
      <xdr:rowOff>38100</xdr:rowOff>
    </xdr:to>
    <xdr:sp macro="" textlink="">
      <xdr:nvSpPr>
        <xdr:cNvPr id="199794" name="Text Box 114">
          <a:extLst>
            <a:ext uri="{FF2B5EF4-FFF2-40B4-BE49-F238E27FC236}">
              <a16:creationId xmlns:a16="http://schemas.microsoft.com/office/drawing/2014/main" id="{00000000-0008-0000-0100-0000720C0300}"/>
            </a:ext>
          </a:extLst>
        </xdr:cNvPr>
        <xdr:cNvSpPr txBox="1">
          <a:spLocks noChangeArrowheads="1"/>
        </xdr:cNvSpPr>
      </xdr:nvSpPr>
      <xdr:spPr bwMode="auto">
        <a:xfrm>
          <a:off x="3581400" y="1524000"/>
          <a:ext cx="342900" cy="171450"/>
        </a:xfrm>
        <a:prstGeom prst="rect">
          <a:avLst/>
        </a:prstGeom>
        <a:noFill/>
        <a:ln>
          <a:noFill/>
        </a:ln>
        <a:extLst/>
      </xdr:spPr>
      <xdr:txBody>
        <a:bodyPr vertOverflow="clip" wrap="square" lIns="27432" tIns="22860" rIns="0" bIns="0" anchor="t" upright="1"/>
        <a:lstStyle/>
        <a:p>
          <a:pPr algn="l" rtl="0">
            <a:defRPr sz="1000"/>
          </a:pPr>
          <a:r>
            <a:rPr lang="en-US" sz="900" b="0" i="1" u="none" strike="noStrike" baseline="0">
              <a:solidFill>
                <a:srgbClr val="0000FF"/>
              </a:solidFill>
              <a:latin typeface="Arial"/>
              <a:cs typeface="Arial"/>
            </a:rPr>
            <a:t>Wind</a:t>
          </a:r>
          <a:endParaRPr lang="en-US"/>
        </a:p>
      </xdr:txBody>
    </xdr:sp>
    <xdr:clientData/>
  </xdr:twoCellAnchor>
  <xdr:twoCellAnchor>
    <xdr:from>
      <xdr:col>6</xdr:col>
      <xdr:colOff>200025</xdr:colOff>
      <xdr:row>15</xdr:row>
      <xdr:rowOff>76200</xdr:rowOff>
    </xdr:from>
    <xdr:to>
      <xdr:col>6</xdr:col>
      <xdr:colOff>581025</xdr:colOff>
      <xdr:row>16</xdr:row>
      <xdr:rowOff>104775</xdr:rowOff>
    </xdr:to>
    <xdr:sp macro="" textlink="">
      <xdr:nvSpPr>
        <xdr:cNvPr id="199795" name="Text Box 115">
          <a:extLst>
            <a:ext uri="{FF2B5EF4-FFF2-40B4-BE49-F238E27FC236}">
              <a16:creationId xmlns:a16="http://schemas.microsoft.com/office/drawing/2014/main" id="{00000000-0008-0000-0100-0000730C0300}"/>
            </a:ext>
          </a:extLst>
        </xdr:cNvPr>
        <xdr:cNvSpPr txBox="1">
          <a:spLocks noChangeArrowheads="1"/>
        </xdr:cNvSpPr>
      </xdr:nvSpPr>
      <xdr:spPr bwMode="auto">
        <a:xfrm>
          <a:off x="4610100" y="2543175"/>
          <a:ext cx="381000" cy="19050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Plan</a:t>
          </a:r>
          <a:endParaRPr lang="en-US"/>
        </a:p>
      </xdr:txBody>
    </xdr:sp>
    <xdr:clientData/>
  </xdr:twoCellAnchor>
  <xdr:twoCellAnchor>
    <xdr:from>
      <xdr:col>6</xdr:col>
      <xdr:colOff>57150</xdr:colOff>
      <xdr:row>24</xdr:row>
      <xdr:rowOff>9525</xdr:rowOff>
    </xdr:from>
    <xdr:to>
      <xdr:col>6</xdr:col>
      <xdr:colOff>695325</xdr:colOff>
      <xdr:row>25</xdr:row>
      <xdr:rowOff>57150</xdr:rowOff>
    </xdr:to>
    <xdr:sp macro="" textlink="">
      <xdr:nvSpPr>
        <xdr:cNvPr id="199796" name="Text Box 116">
          <a:extLst>
            <a:ext uri="{FF2B5EF4-FFF2-40B4-BE49-F238E27FC236}">
              <a16:creationId xmlns:a16="http://schemas.microsoft.com/office/drawing/2014/main" id="{00000000-0008-0000-0100-0000740C0300}"/>
            </a:ext>
          </a:extLst>
        </xdr:cNvPr>
        <xdr:cNvSpPr txBox="1">
          <a:spLocks noChangeArrowheads="1"/>
        </xdr:cNvSpPr>
      </xdr:nvSpPr>
      <xdr:spPr bwMode="auto">
        <a:xfrm>
          <a:off x="4467225" y="3933825"/>
          <a:ext cx="638175" cy="20955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Elevation</a:t>
          </a:r>
          <a:endParaRPr lang="en-US"/>
        </a:p>
      </xdr:txBody>
    </xdr:sp>
    <xdr:clientData/>
  </xdr:twoCellAnchor>
  <xdr:twoCellAnchor>
    <xdr:from>
      <xdr:col>6</xdr:col>
      <xdr:colOff>285750</xdr:colOff>
      <xdr:row>22</xdr:row>
      <xdr:rowOff>123825</xdr:rowOff>
    </xdr:from>
    <xdr:to>
      <xdr:col>6</xdr:col>
      <xdr:colOff>438150</xdr:colOff>
      <xdr:row>23</xdr:row>
      <xdr:rowOff>123825</xdr:rowOff>
    </xdr:to>
    <xdr:sp macro="" textlink="">
      <xdr:nvSpPr>
        <xdr:cNvPr id="199797" name="Text Box 117">
          <a:extLst>
            <a:ext uri="{FF2B5EF4-FFF2-40B4-BE49-F238E27FC236}">
              <a16:creationId xmlns:a16="http://schemas.microsoft.com/office/drawing/2014/main" id="{00000000-0008-0000-0100-0000750C0300}"/>
            </a:ext>
          </a:extLst>
        </xdr:cNvPr>
        <xdr:cNvSpPr txBox="1">
          <a:spLocks noChangeArrowheads="1"/>
        </xdr:cNvSpPr>
      </xdr:nvSpPr>
      <xdr:spPr bwMode="auto">
        <a:xfrm>
          <a:off x="4695825" y="37242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editAs="oneCell">
    <xdr:from>
      <xdr:col>0</xdr:col>
      <xdr:colOff>561975</xdr:colOff>
      <xdr:row>141</xdr:row>
      <xdr:rowOff>9525</xdr:rowOff>
    </xdr:from>
    <xdr:to>
      <xdr:col>7</xdr:col>
      <xdr:colOff>85725</xdr:colOff>
      <xdr:row>155</xdr:row>
      <xdr:rowOff>142875</xdr:rowOff>
    </xdr:to>
    <xdr:pic>
      <xdr:nvPicPr>
        <xdr:cNvPr id="259999" name="Picture 2">
          <a:extLst>
            <a:ext uri="{FF2B5EF4-FFF2-40B4-BE49-F238E27FC236}">
              <a16:creationId xmlns:a16="http://schemas.microsoft.com/office/drawing/2014/main" id="{00000000-0008-0000-0100-00009FF70300}"/>
            </a:ext>
          </a:extLst>
        </xdr:cNvPr>
        <xdr:cNvPicPr>
          <a:picLocks noChangeAspect="1"/>
        </xdr:cNvPicPr>
      </xdr:nvPicPr>
      <xdr:blipFill>
        <a:blip xmlns:r="http://schemas.openxmlformats.org/officeDocument/2006/relationships" r:embed="rId1" cstate="print"/>
        <a:srcRect/>
        <a:stretch>
          <a:fillRect/>
        </a:stretch>
      </xdr:blipFill>
      <xdr:spPr bwMode="auto">
        <a:xfrm>
          <a:off x="561975" y="22879050"/>
          <a:ext cx="4752975" cy="2400300"/>
        </a:xfrm>
        <a:prstGeom prst="rect">
          <a:avLst/>
        </a:prstGeom>
        <a:noFill/>
        <a:ln w="9525">
          <a:noFill/>
          <a:miter lim="800000"/>
          <a:headEnd/>
          <a:tailEnd/>
        </a:ln>
      </xdr:spPr>
    </xdr:pic>
    <xdr:clientData/>
  </xdr:twoCellAnchor>
  <xdr:twoCellAnchor editAs="oneCell">
    <xdr:from>
      <xdr:col>0</xdr:col>
      <xdr:colOff>704850</xdr:colOff>
      <xdr:row>104</xdr:row>
      <xdr:rowOff>19050</xdr:rowOff>
    </xdr:from>
    <xdr:to>
      <xdr:col>7</xdr:col>
      <xdr:colOff>190500</xdr:colOff>
      <xdr:row>143</xdr:row>
      <xdr:rowOff>85725</xdr:rowOff>
    </xdr:to>
    <xdr:pic>
      <xdr:nvPicPr>
        <xdr:cNvPr id="260000" name="Picture 1">
          <a:extLst>
            <a:ext uri="{FF2B5EF4-FFF2-40B4-BE49-F238E27FC236}">
              <a16:creationId xmlns:a16="http://schemas.microsoft.com/office/drawing/2014/main" id="{00000000-0008-0000-0100-0000A0F70300}"/>
            </a:ext>
          </a:extLst>
        </xdr:cNvPr>
        <xdr:cNvPicPr>
          <a:picLocks noChangeAspect="1"/>
        </xdr:cNvPicPr>
      </xdr:nvPicPr>
      <xdr:blipFill>
        <a:blip xmlns:r="http://schemas.openxmlformats.org/officeDocument/2006/relationships" r:embed="rId2" cstate="print"/>
        <a:srcRect/>
        <a:stretch>
          <a:fillRect/>
        </a:stretch>
      </xdr:blipFill>
      <xdr:spPr bwMode="auto">
        <a:xfrm>
          <a:off x="704850" y="16897350"/>
          <a:ext cx="4714875" cy="63817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742950</xdr:colOff>
      <xdr:row>6</xdr:row>
      <xdr:rowOff>104775</xdr:rowOff>
    </xdr:from>
    <xdr:to>
      <xdr:col>6</xdr:col>
      <xdr:colOff>304800</xdr:colOff>
      <xdr:row>13</xdr:row>
      <xdr:rowOff>114300</xdr:rowOff>
    </xdr:to>
    <xdr:sp macro="" textlink="">
      <xdr:nvSpPr>
        <xdr:cNvPr id="260858" name="Rectangle 41">
          <a:extLst>
            <a:ext uri="{FF2B5EF4-FFF2-40B4-BE49-F238E27FC236}">
              <a16:creationId xmlns:a16="http://schemas.microsoft.com/office/drawing/2014/main" id="{00000000-0008-0000-0200-0000FAFA0300}"/>
            </a:ext>
          </a:extLst>
        </xdr:cNvPr>
        <xdr:cNvSpPr>
          <a:spLocks noChangeArrowheads="1"/>
        </xdr:cNvSpPr>
      </xdr:nvSpPr>
      <xdr:spPr bwMode="auto">
        <a:xfrm>
          <a:off x="4419600" y="1114425"/>
          <a:ext cx="1162050" cy="1143000"/>
        </a:xfrm>
        <a:prstGeom prst="rect">
          <a:avLst/>
        </a:prstGeom>
        <a:solidFill>
          <a:srgbClr val="FFFFFF"/>
        </a:solidFill>
        <a:ln w="9525">
          <a:solidFill>
            <a:srgbClr val="000000"/>
          </a:solidFill>
          <a:miter lim="800000"/>
          <a:headEnd/>
          <a:tailEnd/>
        </a:ln>
      </xdr:spPr>
    </xdr:sp>
    <xdr:clientData/>
  </xdr:twoCellAnchor>
  <xdr:twoCellAnchor>
    <xdr:from>
      <xdr:col>5</xdr:col>
      <xdr:colOff>523875</xdr:colOff>
      <xdr:row>6</xdr:row>
      <xdr:rowOff>104775</xdr:rowOff>
    </xdr:from>
    <xdr:to>
      <xdr:col>5</xdr:col>
      <xdr:colOff>523875</xdr:colOff>
      <xdr:row>13</xdr:row>
      <xdr:rowOff>114300</xdr:rowOff>
    </xdr:to>
    <xdr:sp macro="" textlink="">
      <xdr:nvSpPr>
        <xdr:cNvPr id="260859" name="Line 42">
          <a:extLst>
            <a:ext uri="{FF2B5EF4-FFF2-40B4-BE49-F238E27FC236}">
              <a16:creationId xmlns:a16="http://schemas.microsoft.com/office/drawing/2014/main" id="{00000000-0008-0000-0200-0000FBFA0300}"/>
            </a:ext>
          </a:extLst>
        </xdr:cNvPr>
        <xdr:cNvSpPr>
          <a:spLocks noChangeShapeType="1"/>
        </xdr:cNvSpPr>
      </xdr:nvSpPr>
      <xdr:spPr bwMode="auto">
        <a:xfrm>
          <a:off x="5000625" y="1114425"/>
          <a:ext cx="0" cy="1143000"/>
        </a:xfrm>
        <a:prstGeom prst="line">
          <a:avLst/>
        </a:prstGeom>
        <a:noFill/>
        <a:ln w="9525">
          <a:solidFill>
            <a:srgbClr val="000000"/>
          </a:solidFill>
          <a:round/>
          <a:headEnd/>
          <a:tailEnd/>
        </a:ln>
      </xdr:spPr>
    </xdr:sp>
    <xdr:clientData/>
  </xdr:twoCellAnchor>
  <xdr:twoCellAnchor>
    <xdr:from>
      <xdr:col>4</xdr:col>
      <xdr:colOff>742950</xdr:colOff>
      <xdr:row>20</xdr:row>
      <xdr:rowOff>9525</xdr:rowOff>
    </xdr:from>
    <xdr:to>
      <xdr:col>4</xdr:col>
      <xdr:colOff>742950</xdr:colOff>
      <xdr:row>25</xdr:row>
      <xdr:rowOff>9525</xdr:rowOff>
    </xdr:to>
    <xdr:sp macro="" textlink="">
      <xdr:nvSpPr>
        <xdr:cNvPr id="260860" name="Line 43">
          <a:extLst>
            <a:ext uri="{FF2B5EF4-FFF2-40B4-BE49-F238E27FC236}">
              <a16:creationId xmlns:a16="http://schemas.microsoft.com/office/drawing/2014/main" id="{00000000-0008-0000-0200-0000FCFA0300}"/>
            </a:ext>
          </a:extLst>
        </xdr:cNvPr>
        <xdr:cNvSpPr>
          <a:spLocks noChangeShapeType="1"/>
        </xdr:cNvSpPr>
      </xdr:nvSpPr>
      <xdr:spPr bwMode="auto">
        <a:xfrm flipV="1">
          <a:off x="4419600" y="3286125"/>
          <a:ext cx="0" cy="809625"/>
        </a:xfrm>
        <a:prstGeom prst="line">
          <a:avLst/>
        </a:prstGeom>
        <a:noFill/>
        <a:ln w="9525">
          <a:solidFill>
            <a:srgbClr val="000000"/>
          </a:solidFill>
          <a:round/>
          <a:headEnd/>
          <a:tailEnd/>
        </a:ln>
      </xdr:spPr>
    </xdr:sp>
    <xdr:clientData/>
  </xdr:twoCellAnchor>
  <xdr:twoCellAnchor>
    <xdr:from>
      <xdr:col>6</xdr:col>
      <xdr:colOff>304800</xdr:colOff>
      <xdr:row>20</xdr:row>
      <xdr:rowOff>9525</xdr:rowOff>
    </xdr:from>
    <xdr:to>
      <xdr:col>6</xdr:col>
      <xdr:colOff>304800</xdr:colOff>
      <xdr:row>25</xdr:row>
      <xdr:rowOff>9525</xdr:rowOff>
    </xdr:to>
    <xdr:sp macro="" textlink="">
      <xdr:nvSpPr>
        <xdr:cNvPr id="260861" name="Line 44">
          <a:extLst>
            <a:ext uri="{FF2B5EF4-FFF2-40B4-BE49-F238E27FC236}">
              <a16:creationId xmlns:a16="http://schemas.microsoft.com/office/drawing/2014/main" id="{00000000-0008-0000-0200-0000FDFA0300}"/>
            </a:ext>
          </a:extLst>
        </xdr:cNvPr>
        <xdr:cNvSpPr>
          <a:spLocks noChangeShapeType="1"/>
        </xdr:cNvSpPr>
      </xdr:nvSpPr>
      <xdr:spPr bwMode="auto">
        <a:xfrm flipV="1">
          <a:off x="5581650" y="3286125"/>
          <a:ext cx="0" cy="809625"/>
        </a:xfrm>
        <a:prstGeom prst="line">
          <a:avLst/>
        </a:prstGeom>
        <a:noFill/>
        <a:ln w="9525">
          <a:solidFill>
            <a:srgbClr val="000000"/>
          </a:solidFill>
          <a:round/>
          <a:headEnd/>
          <a:tailEnd/>
        </a:ln>
      </xdr:spPr>
    </xdr:sp>
    <xdr:clientData/>
  </xdr:twoCellAnchor>
  <xdr:twoCellAnchor>
    <xdr:from>
      <xdr:col>4</xdr:col>
      <xdr:colOff>742950</xdr:colOff>
      <xdr:row>17</xdr:row>
      <xdr:rowOff>152400</xdr:rowOff>
    </xdr:from>
    <xdr:to>
      <xdr:col>5</xdr:col>
      <xdr:colOff>523875</xdr:colOff>
      <xdr:row>20</xdr:row>
      <xdr:rowOff>9525</xdr:rowOff>
    </xdr:to>
    <xdr:sp macro="" textlink="">
      <xdr:nvSpPr>
        <xdr:cNvPr id="260862" name="Line 45">
          <a:extLst>
            <a:ext uri="{FF2B5EF4-FFF2-40B4-BE49-F238E27FC236}">
              <a16:creationId xmlns:a16="http://schemas.microsoft.com/office/drawing/2014/main" id="{00000000-0008-0000-0200-0000FEFA0300}"/>
            </a:ext>
          </a:extLst>
        </xdr:cNvPr>
        <xdr:cNvSpPr>
          <a:spLocks noChangeShapeType="1"/>
        </xdr:cNvSpPr>
      </xdr:nvSpPr>
      <xdr:spPr bwMode="auto">
        <a:xfrm flipV="1">
          <a:off x="4419600" y="2943225"/>
          <a:ext cx="581025" cy="342900"/>
        </a:xfrm>
        <a:prstGeom prst="line">
          <a:avLst/>
        </a:prstGeom>
        <a:noFill/>
        <a:ln w="9525">
          <a:solidFill>
            <a:srgbClr val="000000"/>
          </a:solidFill>
          <a:round/>
          <a:headEnd/>
          <a:tailEnd/>
        </a:ln>
      </xdr:spPr>
    </xdr:sp>
    <xdr:clientData/>
  </xdr:twoCellAnchor>
  <xdr:twoCellAnchor>
    <xdr:from>
      <xdr:col>5</xdr:col>
      <xdr:colOff>523875</xdr:colOff>
      <xdr:row>17</xdr:row>
      <xdr:rowOff>152400</xdr:rowOff>
    </xdr:from>
    <xdr:to>
      <xdr:col>6</xdr:col>
      <xdr:colOff>304800</xdr:colOff>
      <xdr:row>20</xdr:row>
      <xdr:rowOff>9525</xdr:rowOff>
    </xdr:to>
    <xdr:sp macro="" textlink="">
      <xdr:nvSpPr>
        <xdr:cNvPr id="260863" name="Line 46">
          <a:extLst>
            <a:ext uri="{FF2B5EF4-FFF2-40B4-BE49-F238E27FC236}">
              <a16:creationId xmlns:a16="http://schemas.microsoft.com/office/drawing/2014/main" id="{00000000-0008-0000-0200-0000FFFA0300}"/>
            </a:ext>
          </a:extLst>
        </xdr:cNvPr>
        <xdr:cNvSpPr>
          <a:spLocks noChangeShapeType="1"/>
        </xdr:cNvSpPr>
      </xdr:nvSpPr>
      <xdr:spPr bwMode="auto">
        <a:xfrm>
          <a:off x="5000625" y="2943225"/>
          <a:ext cx="581025" cy="342900"/>
        </a:xfrm>
        <a:prstGeom prst="line">
          <a:avLst/>
        </a:prstGeom>
        <a:noFill/>
        <a:ln w="9525">
          <a:solidFill>
            <a:srgbClr val="000000"/>
          </a:solidFill>
          <a:round/>
          <a:headEnd/>
          <a:tailEnd/>
        </a:ln>
      </xdr:spPr>
    </xdr:sp>
    <xdr:clientData/>
  </xdr:twoCellAnchor>
  <xdr:twoCellAnchor>
    <xdr:from>
      <xdr:col>4</xdr:col>
      <xdr:colOff>742950</xdr:colOff>
      <xdr:row>25</xdr:row>
      <xdr:rowOff>9525</xdr:rowOff>
    </xdr:from>
    <xdr:to>
      <xdr:col>6</xdr:col>
      <xdr:colOff>304800</xdr:colOff>
      <xdr:row>25</xdr:row>
      <xdr:rowOff>9525</xdr:rowOff>
    </xdr:to>
    <xdr:sp macro="" textlink="">
      <xdr:nvSpPr>
        <xdr:cNvPr id="260864" name="Line 47">
          <a:extLst>
            <a:ext uri="{FF2B5EF4-FFF2-40B4-BE49-F238E27FC236}">
              <a16:creationId xmlns:a16="http://schemas.microsoft.com/office/drawing/2014/main" id="{00000000-0008-0000-0200-000000FB0300}"/>
            </a:ext>
          </a:extLst>
        </xdr:cNvPr>
        <xdr:cNvSpPr>
          <a:spLocks noChangeShapeType="1"/>
        </xdr:cNvSpPr>
      </xdr:nvSpPr>
      <xdr:spPr bwMode="auto">
        <a:xfrm>
          <a:off x="4419600" y="4095750"/>
          <a:ext cx="1162050" cy="0"/>
        </a:xfrm>
        <a:prstGeom prst="line">
          <a:avLst/>
        </a:prstGeom>
        <a:noFill/>
        <a:ln w="9525">
          <a:solidFill>
            <a:srgbClr val="000000"/>
          </a:solidFill>
          <a:round/>
          <a:headEnd/>
          <a:tailEnd/>
        </a:ln>
      </xdr:spPr>
    </xdr:sp>
    <xdr:clientData/>
  </xdr:twoCellAnchor>
  <xdr:twoCellAnchor>
    <xdr:from>
      <xdr:col>4</xdr:col>
      <xdr:colOff>742950</xdr:colOff>
      <xdr:row>15</xdr:row>
      <xdr:rowOff>38100</xdr:rowOff>
    </xdr:from>
    <xdr:to>
      <xdr:col>6</xdr:col>
      <xdr:colOff>304800</xdr:colOff>
      <xdr:row>15</xdr:row>
      <xdr:rowOff>38100</xdr:rowOff>
    </xdr:to>
    <xdr:sp macro="" textlink="">
      <xdr:nvSpPr>
        <xdr:cNvPr id="260865" name="Line 48">
          <a:extLst>
            <a:ext uri="{FF2B5EF4-FFF2-40B4-BE49-F238E27FC236}">
              <a16:creationId xmlns:a16="http://schemas.microsoft.com/office/drawing/2014/main" id="{00000000-0008-0000-0200-000001FB0300}"/>
            </a:ext>
          </a:extLst>
        </xdr:cNvPr>
        <xdr:cNvSpPr>
          <a:spLocks noChangeShapeType="1"/>
        </xdr:cNvSpPr>
      </xdr:nvSpPr>
      <xdr:spPr bwMode="auto">
        <a:xfrm>
          <a:off x="4419600" y="2505075"/>
          <a:ext cx="1162050" cy="0"/>
        </a:xfrm>
        <a:prstGeom prst="line">
          <a:avLst/>
        </a:prstGeom>
        <a:noFill/>
        <a:ln w="9525">
          <a:solidFill>
            <a:srgbClr val="000000"/>
          </a:solidFill>
          <a:round/>
          <a:headEnd type="stealth" w="sm" len="sm"/>
          <a:tailEnd type="stealth" w="sm" len="sm"/>
        </a:ln>
      </xdr:spPr>
    </xdr:sp>
    <xdr:clientData/>
  </xdr:twoCellAnchor>
  <xdr:twoCellAnchor>
    <xdr:from>
      <xdr:col>4</xdr:col>
      <xdr:colOff>742950</xdr:colOff>
      <xdr:row>14</xdr:row>
      <xdr:rowOff>66675</xdr:rowOff>
    </xdr:from>
    <xdr:to>
      <xdr:col>4</xdr:col>
      <xdr:colOff>742950</xdr:colOff>
      <xdr:row>16</xdr:row>
      <xdr:rowOff>9525</xdr:rowOff>
    </xdr:to>
    <xdr:sp macro="" textlink="">
      <xdr:nvSpPr>
        <xdr:cNvPr id="260866" name="Line 49">
          <a:extLst>
            <a:ext uri="{FF2B5EF4-FFF2-40B4-BE49-F238E27FC236}">
              <a16:creationId xmlns:a16="http://schemas.microsoft.com/office/drawing/2014/main" id="{00000000-0008-0000-0200-000002FB0300}"/>
            </a:ext>
          </a:extLst>
        </xdr:cNvPr>
        <xdr:cNvSpPr>
          <a:spLocks noChangeShapeType="1"/>
        </xdr:cNvSpPr>
      </xdr:nvSpPr>
      <xdr:spPr bwMode="auto">
        <a:xfrm>
          <a:off x="4419600" y="2371725"/>
          <a:ext cx="0" cy="266700"/>
        </a:xfrm>
        <a:prstGeom prst="line">
          <a:avLst/>
        </a:prstGeom>
        <a:noFill/>
        <a:ln w="9525">
          <a:solidFill>
            <a:srgbClr val="000000"/>
          </a:solidFill>
          <a:round/>
          <a:headEnd/>
          <a:tailEnd/>
        </a:ln>
      </xdr:spPr>
    </xdr:sp>
    <xdr:clientData/>
  </xdr:twoCellAnchor>
  <xdr:twoCellAnchor>
    <xdr:from>
      <xdr:col>6</xdr:col>
      <xdr:colOff>304800</xdr:colOff>
      <xdr:row>14</xdr:row>
      <xdr:rowOff>66675</xdr:rowOff>
    </xdr:from>
    <xdr:to>
      <xdr:col>6</xdr:col>
      <xdr:colOff>304800</xdr:colOff>
      <xdr:row>16</xdr:row>
      <xdr:rowOff>9525</xdr:rowOff>
    </xdr:to>
    <xdr:sp macro="" textlink="">
      <xdr:nvSpPr>
        <xdr:cNvPr id="260867" name="Line 50">
          <a:extLst>
            <a:ext uri="{FF2B5EF4-FFF2-40B4-BE49-F238E27FC236}">
              <a16:creationId xmlns:a16="http://schemas.microsoft.com/office/drawing/2014/main" id="{00000000-0008-0000-0200-000003FB0300}"/>
            </a:ext>
          </a:extLst>
        </xdr:cNvPr>
        <xdr:cNvSpPr>
          <a:spLocks noChangeShapeType="1"/>
        </xdr:cNvSpPr>
      </xdr:nvSpPr>
      <xdr:spPr bwMode="auto">
        <a:xfrm>
          <a:off x="5581650" y="2371725"/>
          <a:ext cx="0" cy="266700"/>
        </a:xfrm>
        <a:prstGeom prst="line">
          <a:avLst/>
        </a:prstGeom>
        <a:noFill/>
        <a:ln w="9525">
          <a:solidFill>
            <a:srgbClr val="000000"/>
          </a:solidFill>
          <a:round/>
          <a:headEnd/>
          <a:tailEnd/>
        </a:ln>
      </xdr:spPr>
    </xdr:sp>
    <xdr:clientData/>
  </xdr:twoCellAnchor>
  <xdr:twoCellAnchor>
    <xdr:from>
      <xdr:col>4</xdr:col>
      <xdr:colOff>742950</xdr:colOff>
      <xdr:row>25</xdr:row>
      <xdr:rowOff>47625</xdr:rowOff>
    </xdr:from>
    <xdr:to>
      <xdr:col>4</xdr:col>
      <xdr:colOff>742950</xdr:colOff>
      <xdr:row>26</xdr:row>
      <xdr:rowOff>152400</xdr:rowOff>
    </xdr:to>
    <xdr:sp macro="" textlink="">
      <xdr:nvSpPr>
        <xdr:cNvPr id="260868" name="Line 51">
          <a:extLst>
            <a:ext uri="{FF2B5EF4-FFF2-40B4-BE49-F238E27FC236}">
              <a16:creationId xmlns:a16="http://schemas.microsoft.com/office/drawing/2014/main" id="{00000000-0008-0000-0200-000004FB0300}"/>
            </a:ext>
          </a:extLst>
        </xdr:cNvPr>
        <xdr:cNvSpPr>
          <a:spLocks noChangeShapeType="1"/>
        </xdr:cNvSpPr>
      </xdr:nvSpPr>
      <xdr:spPr bwMode="auto">
        <a:xfrm>
          <a:off x="4419600" y="4133850"/>
          <a:ext cx="0" cy="266700"/>
        </a:xfrm>
        <a:prstGeom prst="line">
          <a:avLst/>
        </a:prstGeom>
        <a:noFill/>
        <a:ln w="9525">
          <a:solidFill>
            <a:srgbClr val="000000"/>
          </a:solidFill>
          <a:round/>
          <a:headEnd/>
          <a:tailEnd/>
        </a:ln>
      </xdr:spPr>
    </xdr:sp>
    <xdr:clientData/>
  </xdr:twoCellAnchor>
  <xdr:twoCellAnchor>
    <xdr:from>
      <xdr:col>6</xdr:col>
      <xdr:colOff>304800</xdr:colOff>
      <xdr:row>25</xdr:row>
      <xdr:rowOff>47625</xdr:rowOff>
    </xdr:from>
    <xdr:to>
      <xdr:col>6</xdr:col>
      <xdr:colOff>304800</xdr:colOff>
      <xdr:row>26</xdr:row>
      <xdr:rowOff>152400</xdr:rowOff>
    </xdr:to>
    <xdr:sp macro="" textlink="">
      <xdr:nvSpPr>
        <xdr:cNvPr id="260869" name="Line 52">
          <a:extLst>
            <a:ext uri="{FF2B5EF4-FFF2-40B4-BE49-F238E27FC236}">
              <a16:creationId xmlns:a16="http://schemas.microsoft.com/office/drawing/2014/main" id="{00000000-0008-0000-0200-000005FB0300}"/>
            </a:ext>
          </a:extLst>
        </xdr:cNvPr>
        <xdr:cNvSpPr>
          <a:spLocks noChangeShapeType="1"/>
        </xdr:cNvSpPr>
      </xdr:nvSpPr>
      <xdr:spPr bwMode="auto">
        <a:xfrm>
          <a:off x="5581650" y="4133850"/>
          <a:ext cx="0" cy="266700"/>
        </a:xfrm>
        <a:prstGeom prst="line">
          <a:avLst/>
        </a:prstGeom>
        <a:noFill/>
        <a:ln w="9525">
          <a:solidFill>
            <a:srgbClr val="000000"/>
          </a:solidFill>
          <a:round/>
          <a:headEnd/>
          <a:tailEnd/>
        </a:ln>
      </xdr:spPr>
    </xdr:sp>
    <xdr:clientData/>
  </xdr:twoCellAnchor>
  <xdr:twoCellAnchor>
    <xdr:from>
      <xdr:col>4</xdr:col>
      <xdr:colOff>742950</xdr:colOff>
      <xdr:row>26</xdr:row>
      <xdr:rowOff>38100</xdr:rowOff>
    </xdr:from>
    <xdr:to>
      <xdr:col>6</xdr:col>
      <xdr:colOff>304800</xdr:colOff>
      <xdr:row>26</xdr:row>
      <xdr:rowOff>38100</xdr:rowOff>
    </xdr:to>
    <xdr:sp macro="" textlink="">
      <xdr:nvSpPr>
        <xdr:cNvPr id="260870" name="Line 53">
          <a:extLst>
            <a:ext uri="{FF2B5EF4-FFF2-40B4-BE49-F238E27FC236}">
              <a16:creationId xmlns:a16="http://schemas.microsoft.com/office/drawing/2014/main" id="{00000000-0008-0000-0200-000006FB0300}"/>
            </a:ext>
          </a:extLst>
        </xdr:cNvPr>
        <xdr:cNvSpPr>
          <a:spLocks noChangeShapeType="1"/>
        </xdr:cNvSpPr>
      </xdr:nvSpPr>
      <xdr:spPr bwMode="auto">
        <a:xfrm>
          <a:off x="4419600" y="4286250"/>
          <a:ext cx="1162050" cy="0"/>
        </a:xfrm>
        <a:prstGeom prst="line">
          <a:avLst/>
        </a:prstGeom>
        <a:noFill/>
        <a:ln w="9525">
          <a:solidFill>
            <a:srgbClr val="000000"/>
          </a:solidFill>
          <a:round/>
          <a:headEnd type="stealth" w="sm" len="sm"/>
          <a:tailEnd type="stealth" w="sm" len="sm"/>
        </a:ln>
      </xdr:spPr>
    </xdr:sp>
    <xdr:clientData/>
  </xdr:twoCellAnchor>
  <xdr:twoCellAnchor>
    <xdr:from>
      <xdr:col>6</xdr:col>
      <xdr:colOff>447675</xdr:colOff>
      <xdr:row>25</xdr:row>
      <xdr:rowOff>9525</xdr:rowOff>
    </xdr:from>
    <xdr:to>
      <xdr:col>6</xdr:col>
      <xdr:colOff>704850</xdr:colOff>
      <xdr:row>25</xdr:row>
      <xdr:rowOff>9525</xdr:rowOff>
    </xdr:to>
    <xdr:sp macro="" textlink="">
      <xdr:nvSpPr>
        <xdr:cNvPr id="260871" name="Line 54">
          <a:extLst>
            <a:ext uri="{FF2B5EF4-FFF2-40B4-BE49-F238E27FC236}">
              <a16:creationId xmlns:a16="http://schemas.microsoft.com/office/drawing/2014/main" id="{00000000-0008-0000-0200-000007FB0300}"/>
            </a:ext>
          </a:extLst>
        </xdr:cNvPr>
        <xdr:cNvSpPr>
          <a:spLocks noChangeShapeType="1"/>
        </xdr:cNvSpPr>
      </xdr:nvSpPr>
      <xdr:spPr bwMode="auto">
        <a:xfrm>
          <a:off x="5724525" y="4095750"/>
          <a:ext cx="257175" cy="0"/>
        </a:xfrm>
        <a:prstGeom prst="line">
          <a:avLst/>
        </a:prstGeom>
        <a:noFill/>
        <a:ln w="9525">
          <a:solidFill>
            <a:srgbClr val="000000"/>
          </a:solidFill>
          <a:round/>
          <a:headEnd/>
          <a:tailEnd/>
        </a:ln>
      </xdr:spPr>
    </xdr:sp>
    <xdr:clientData/>
  </xdr:twoCellAnchor>
  <xdr:twoCellAnchor>
    <xdr:from>
      <xdr:col>6</xdr:col>
      <xdr:colOff>447675</xdr:colOff>
      <xdr:row>20</xdr:row>
      <xdr:rowOff>9525</xdr:rowOff>
    </xdr:from>
    <xdr:to>
      <xdr:col>6</xdr:col>
      <xdr:colOff>704850</xdr:colOff>
      <xdr:row>20</xdr:row>
      <xdr:rowOff>9525</xdr:rowOff>
    </xdr:to>
    <xdr:sp macro="" textlink="">
      <xdr:nvSpPr>
        <xdr:cNvPr id="260872" name="Line 55">
          <a:extLst>
            <a:ext uri="{FF2B5EF4-FFF2-40B4-BE49-F238E27FC236}">
              <a16:creationId xmlns:a16="http://schemas.microsoft.com/office/drawing/2014/main" id="{00000000-0008-0000-0200-000008FB0300}"/>
            </a:ext>
          </a:extLst>
        </xdr:cNvPr>
        <xdr:cNvSpPr>
          <a:spLocks noChangeShapeType="1"/>
        </xdr:cNvSpPr>
      </xdr:nvSpPr>
      <xdr:spPr bwMode="auto">
        <a:xfrm>
          <a:off x="5724525" y="3286125"/>
          <a:ext cx="257175" cy="0"/>
        </a:xfrm>
        <a:prstGeom prst="line">
          <a:avLst/>
        </a:prstGeom>
        <a:noFill/>
        <a:ln w="9525">
          <a:solidFill>
            <a:srgbClr val="000000"/>
          </a:solidFill>
          <a:round/>
          <a:headEnd/>
          <a:tailEnd/>
        </a:ln>
      </xdr:spPr>
    </xdr:sp>
    <xdr:clientData/>
  </xdr:twoCellAnchor>
  <xdr:twoCellAnchor>
    <xdr:from>
      <xdr:col>4</xdr:col>
      <xdr:colOff>342900</xdr:colOff>
      <xdr:row>17</xdr:row>
      <xdr:rowOff>142875</xdr:rowOff>
    </xdr:from>
    <xdr:to>
      <xdr:col>5</xdr:col>
      <xdr:colOff>466725</xdr:colOff>
      <xdr:row>17</xdr:row>
      <xdr:rowOff>142875</xdr:rowOff>
    </xdr:to>
    <xdr:sp macro="" textlink="">
      <xdr:nvSpPr>
        <xdr:cNvPr id="260873" name="Line 56">
          <a:extLst>
            <a:ext uri="{FF2B5EF4-FFF2-40B4-BE49-F238E27FC236}">
              <a16:creationId xmlns:a16="http://schemas.microsoft.com/office/drawing/2014/main" id="{00000000-0008-0000-0200-000009FB0300}"/>
            </a:ext>
          </a:extLst>
        </xdr:cNvPr>
        <xdr:cNvSpPr>
          <a:spLocks noChangeShapeType="1"/>
        </xdr:cNvSpPr>
      </xdr:nvSpPr>
      <xdr:spPr bwMode="auto">
        <a:xfrm>
          <a:off x="4019550" y="2933700"/>
          <a:ext cx="923925" cy="0"/>
        </a:xfrm>
        <a:prstGeom prst="line">
          <a:avLst/>
        </a:prstGeom>
        <a:noFill/>
        <a:ln w="9525">
          <a:solidFill>
            <a:srgbClr val="000000"/>
          </a:solidFill>
          <a:round/>
          <a:headEnd/>
          <a:tailEnd/>
        </a:ln>
      </xdr:spPr>
    </xdr:sp>
    <xdr:clientData/>
  </xdr:twoCellAnchor>
  <xdr:twoCellAnchor>
    <xdr:from>
      <xdr:col>4</xdr:col>
      <xdr:colOff>352425</xdr:colOff>
      <xdr:row>25</xdr:row>
      <xdr:rowOff>9525</xdr:rowOff>
    </xdr:from>
    <xdr:to>
      <xdr:col>4</xdr:col>
      <xdr:colOff>619125</xdr:colOff>
      <xdr:row>25</xdr:row>
      <xdr:rowOff>9525</xdr:rowOff>
    </xdr:to>
    <xdr:sp macro="" textlink="">
      <xdr:nvSpPr>
        <xdr:cNvPr id="260874" name="Line 57">
          <a:extLst>
            <a:ext uri="{FF2B5EF4-FFF2-40B4-BE49-F238E27FC236}">
              <a16:creationId xmlns:a16="http://schemas.microsoft.com/office/drawing/2014/main" id="{00000000-0008-0000-0200-00000AFB0300}"/>
            </a:ext>
          </a:extLst>
        </xdr:cNvPr>
        <xdr:cNvSpPr>
          <a:spLocks noChangeShapeType="1"/>
        </xdr:cNvSpPr>
      </xdr:nvSpPr>
      <xdr:spPr bwMode="auto">
        <a:xfrm flipH="1">
          <a:off x="4029075" y="4095750"/>
          <a:ext cx="266700" cy="0"/>
        </a:xfrm>
        <a:prstGeom prst="line">
          <a:avLst/>
        </a:prstGeom>
        <a:noFill/>
        <a:ln w="9525">
          <a:solidFill>
            <a:srgbClr val="000000"/>
          </a:solidFill>
          <a:round/>
          <a:headEnd/>
          <a:tailEnd/>
        </a:ln>
      </xdr:spPr>
    </xdr:sp>
    <xdr:clientData/>
  </xdr:twoCellAnchor>
  <xdr:twoCellAnchor>
    <xdr:from>
      <xdr:col>6</xdr:col>
      <xdr:colOff>542925</xdr:colOff>
      <xdr:row>20</xdr:row>
      <xdr:rowOff>9525</xdr:rowOff>
    </xdr:from>
    <xdr:to>
      <xdr:col>6</xdr:col>
      <xdr:colOff>542925</xdr:colOff>
      <xdr:row>25</xdr:row>
      <xdr:rowOff>9525</xdr:rowOff>
    </xdr:to>
    <xdr:sp macro="" textlink="">
      <xdr:nvSpPr>
        <xdr:cNvPr id="260875" name="Line 58">
          <a:extLst>
            <a:ext uri="{FF2B5EF4-FFF2-40B4-BE49-F238E27FC236}">
              <a16:creationId xmlns:a16="http://schemas.microsoft.com/office/drawing/2014/main" id="{00000000-0008-0000-0200-00000BFB0300}"/>
            </a:ext>
          </a:extLst>
        </xdr:cNvPr>
        <xdr:cNvSpPr>
          <a:spLocks noChangeShapeType="1"/>
        </xdr:cNvSpPr>
      </xdr:nvSpPr>
      <xdr:spPr bwMode="auto">
        <a:xfrm>
          <a:off x="5819775" y="3286125"/>
          <a:ext cx="0" cy="809625"/>
        </a:xfrm>
        <a:prstGeom prst="line">
          <a:avLst/>
        </a:prstGeom>
        <a:noFill/>
        <a:ln w="9525">
          <a:solidFill>
            <a:srgbClr val="000000"/>
          </a:solidFill>
          <a:round/>
          <a:headEnd type="stealth" w="sm" len="sm"/>
          <a:tailEnd type="stealth" w="sm" len="sm"/>
        </a:ln>
      </xdr:spPr>
    </xdr:sp>
    <xdr:clientData/>
  </xdr:twoCellAnchor>
  <xdr:twoCellAnchor>
    <xdr:from>
      <xdr:col>4</xdr:col>
      <xdr:colOff>466725</xdr:colOff>
      <xdr:row>17</xdr:row>
      <xdr:rowOff>142875</xdr:rowOff>
    </xdr:from>
    <xdr:to>
      <xdr:col>4</xdr:col>
      <xdr:colOff>466725</xdr:colOff>
      <xdr:row>25</xdr:row>
      <xdr:rowOff>9525</xdr:rowOff>
    </xdr:to>
    <xdr:sp macro="" textlink="">
      <xdr:nvSpPr>
        <xdr:cNvPr id="260876" name="Line 59">
          <a:extLst>
            <a:ext uri="{FF2B5EF4-FFF2-40B4-BE49-F238E27FC236}">
              <a16:creationId xmlns:a16="http://schemas.microsoft.com/office/drawing/2014/main" id="{00000000-0008-0000-0200-00000CFB0300}"/>
            </a:ext>
          </a:extLst>
        </xdr:cNvPr>
        <xdr:cNvSpPr>
          <a:spLocks noChangeShapeType="1"/>
        </xdr:cNvSpPr>
      </xdr:nvSpPr>
      <xdr:spPr bwMode="auto">
        <a:xfrm>
          <a:off x="4143375" y="2933700"/>
          <a:ext cx="0" cy="1162050"/>
        </a:xfrm>
        <a:prstGeom prst="line">
          <a:avLst/>
        </a:prstGeom>
        <a:noFill/>
        <a:ln w="9525">
          <a:solidFill>
            <a:srgbClr val="000000"/>
          </a:solidFill>
          <a:round/>
          <a:headEnd type="stealth" w="sm" len="sm"/>
          <a:tailEnd type="stealth" w="sm" len="sm"/>
        </a:ln>
      </xdr:spPr>
    </xdr:sp>
    <xdr:clientData/>
  </xdr:twoCellAnchor>
  <xdr:twoCellAnchor>
    <xdr:from>
      <xdr:col>6</xdr:col>
      <xdr:colOff>428625</xdr:colOff>
      <xdr:row>13</xdr:row>
      <xdr:rowOff>114300</xdr:rowOff>
    </xdr:from>
    <xdr:to>
      <xdr:col>6</xdr:col>
      <xdr:colOff>685800</xdr:colOff>
      <xdr:row>13</xdr:row>
      <xdr:rowOff>114300</xdr:rowOff>
    </xdr:to>
    <xdr:sp macro="" textlink="">
      <xdr:nvSpPr>
        <xdr:cNvPr id="260877" name="Line 60">
          <a:extLst>
            <a:ext uri="{FF2B5EF4-FFF2-40B4-BE49-F238E27FC236}">
              <a16:creationId xmlns:a16="http://schemas.microsoft.com/office/drawing/2014/main" id="{00000000-0008-0000-0200-00000DFB0300}"/>
            </a:ext>
          </a:extLst>
        </xdr:cNvPr>
        <xdr:cNvSpPr>
          <a:spLocks noChangeShapeType="1"/>
        </xdr:cNvSpPr>
      </xdr:nvSpPr>
      <xdr:spPr bwMode="auto">
        <a:xfrm>
          <a:off x="5705475" y="2257425"/>
          <a:ext cx="257175" cy="0"/>
        </a:xfrm>
        <a:prstGeom prst="line">
          <a:avLst/>
        </a:prstGeom>
        <a:noFill/>
        <a:ln w="9525">
          <a:solidFill>
            <a:srgbClr val="000000"/>
          </a:solidFill>
          <a:round/>
          <a:headEnd/>
          <a:tailEnd/>
        </a:ln>
      </xdr:spPr>
    </xdr:sp>
    <xdr:clientData/>
  </xdr:twoCellAnchor>
  <xdr:twoCellAnchor>
    <xdr:from>
      <xdr:col>6</xdr:col>
      <xdr:colOff>428625</xdr:colOff>
      <xdr:row>6</xdr:row>
      <xdr:rowOff>104775</xdr:rowOff>
    </xdr:from>
    <xdr:to>
      <xdr:col>6</xdr:col>
      <xdr:colOff>685800</xdr:colOff>
      <xdr:row>6</xdr:row>
      <xdr:rowOff>104775</xdr:rowOff>
    </xdr:to>
    <xdr:sp macro="" textlink="">
      <xdr:nvSpPr>
        <xdr:cNvPr id="260878" name="Line 61">
          <a:extLst>
            <a:ext uri="{FF2B5EF4-FFF2-40B4-BE49-F238E27FC236}">
              <a16:creationId xmlns:a16="http://schemas.microsoft.com/office/drawing/2014/main" id="{00000000-0008-0000-0200-00000EFB0300}"/>
            </a:ext>
          </a:extLst>
        </xdr:cNvPr>
        <xdr:cNvSpPr>
          <a:spLocks noChangeShapeType="1"/>
        </xdr:cNvSpPr>
      </xdr:nvSpPr>
      <xdr:spPr bwMode="auto">
        <a:xfrm>
          <a:off x="5705475" y="1114425"/>
          <a:ext cx="257175" cy="0"/>
        </a:xfrm>
        <a:prstGeom prst="line">
          <a:avLst/>
        </a:prstGeom>
        <a:noFill/>
        <a:ln w="9525">
          <a:solidFill>
            <a:srgbClr val="000000"/>
          </a:solidFill>
          <a:round/>
          <a:headEnd/>
          <a:tailEnd/>
        </a:ln>
      </xdr:spPr>
    </xdr:sp>
    <xdr:clientData/>
  </xdr:twoCellAnchor>
  <xdr:twoCellAnchor>
    <xdr:from>
      <xdr:col>6</xdr:col>
      <xdr:colOff>542925</xdr:colOff>
      <xdr:row>6</xdr:row>
      <xdr:rowOff>104775</xdr:rowOff>
    </xdr:from>
    <xdr:to>
      <xdr:col>6</xdr:col>
      <xdr:colOff>542925</xdr:colOff>
      <xdr:row>13</xdr:row>
      <xdr:rowOff>114300</xdr:rowOff>
    </xdr:to>
    <xdr:sp macro="" textlink="">
      <xdr:nvSpPr>
        <xdr:cNvPr id="260879" name="Line 62">
          <a:extLst>
            <a:ext uri="{FF2B5EF4-FFF2-40B4-BE49-F238E27FC236}">
              <a16:creationId xmlns:a16="http://schemas.microsoft.com/office/drawing/2014/main" id="{00000000-0008-0000-0200-00000FFB0300}"/>
            </a:ext>
          </a:extLst>
        </xdr:cNvPr>
        <xdr:cNvSpPr>
          <a:spLocks noChangeShapeType="1"/>
        </xdr:cNvSpPr>
      </xdr:nvSpPr>
      <xdr:spPr bwMode="auto">
        <a:xfrm>
          <a:off x="5819775" y="1114425"/>
          <a:ext cx="0" cy="1143000"/>
        </a:xfrm>
        <a:prstGeom prst="line">
          <a:avLst/>
        </a:prstGeom>
        <a:noFill/>
        <a:ln w="9525">
          <a:solidFill>
            <a:srgbClr val="000000"/>
          </a:solidFill>
          <a:round/>
          <a:headEnd type="stealth" w="sm" len="sm"/>
          <a:tailEnd type="stealth" w="sm" len="sm"/>
        </a:ln>
      </xdr:spPr>
    </xdr:sp>
    <xdr:clientData/>
  </xdr:twoCellAnchor>
  <xdr:twoCellAnchor>
    <xdr:from>
      <xdr:col>5</xdr:col>
      <xdr:colOff>0</xdr:colOff>
      <xdr:row>20</xdr:row>
      <xdr:rowOff>9525</xdr:rowOff>
    </xdr:from>
    <xdr:to>
      <xdr:col>5</xdr:col>
      <xdr:colOff>381000</xdr:colOff>
      <xdr:row>20</xdr:row>
      <xdr:rowOff>9525</xdr:rowOff>
    </xdr:to>
    <xdr:sp macro="" textlink="">
      <xdr:nvSpPr>
        <xdr:cNvPr id="260880" name="Line 63">
          <a:extLst>
            <a:ext uri="{FF2B5EF4-FFF2-40B4-BE49-F238E27FC236}">
              <a16:creationId xmlns:a16="http://schemas.microsoft.com/office/drawing/2014/main" id="{00000000-0008-0000-0200-000010FB0300}"/>
            </a:ext>
          </a:extLst>
        </xdr:cNvPr>
        <xdr:cNvSpPr>
          <a:spLocks noChangeShapeType="1"/>
        </xdr:cNvSpPr>
      </xdr:nvSpPr>
      <xdr:spPr bwMode="auto">
        <a:xfrm>
          <a:off x="4476750" y="3286125"/>
          <a:ext cx="381000" cy="0"/>
        </a:xfrm>
        <a:prstGeom prst="line">
          <a:avLst/>
        </a:prstGeom>
        <a:noFill/>
        <a:ln w="9525">
          <a:solidFill>
            <a:srgbClr val="000000"/>
          </a:solidFill>
          <a:round/>
          <a:headEnd/>
          <a:tailEnd/>
        </a:ln>
      </xdr:spPr>
    </xdr:sp>
    <xdr:clientData/>
  </xdr:twoCellAnchor>
  <xdr:twoCellAnchor>
    <xdr:from>
      <xdr:col>5</xdr:col>
      <xdr:colOff>180975</xdr:colOff>
      <xdr:row>19</xdr:row>
      <xdr:rowOff>19050</xdr:rowOff>
    </xdr:from>
    <xdr:to>
      <xdr:col>5</xdr:col>
      <xdr:colOff>266700</xdr:colOff>
      <xdr:row>20</xdr:row>
      <xdr:rowOff>123825</xdr:rowOff>
    </xdr:to>
    <xdr:sp macro="" textlink="">
      <xdr:nvSpPr>
        <xdr:cNvPr id="260881" name="Arc 64">
          <a:extLst>
            <a:ext uri="{FF2B5EF4-FFF2-40B4-BE49-F238E27FC236}">
              <a16:creationId xmlns:a16="http://schemas.microsoft.com/office/drawing/2014/main" id="{00000000-0008-0000-0200-000011FB0300}"/>
            </a:ext>
          </a:extLst>
        </xdr:cNvPr>
        <xdr:cNvSpPr>
          <a:spLocks/>
        </xdr:cNvSpPr>
      </xdr:nvSpPr>
      <xdr:spPr bwMode="auto">
        <a:xfrm>
          <a:off x="4657725" y="3133725"/>
          <a:ext cx="85725" cy="266700"/>
        </a:xfrm>
        <a:custGeom>
          <a:avLst/>
          <a:gdLst>
            <a:gd name="T0" fmla="*/ 2147483647 w 19129"/>
            <a:gd name="T1" fmla="*/ 0 h 21502"/>
            <a:gd name="T2" fmla="*/ 2147483647 w 19129"/>
            <a:gd name="T3" fmla="*/ 2147483647 h 21502"/>
            <a:gd name="T4" fmla="*/ 0 w 19129"/>
            <a:gd name="T5" fmla="*/ 2147483647 h 21502"/>
            <a:gd name="T6" fmla="*/ 0 60000 65536"/>
            <a:gd name="T7" fmla="*/ 0 60000 65536"/>
            <a:gd name="T8" fmla="*/ 0 60000 65536"/>
            <a:gd name="T9" fmla="*/ 0 w 19129"/>
            <a:gd name="T10" fmla="*/ 0 h 21502"/>
            <a:gd name="T11" fmla="*/ 19129 w 19129"/>
            <a:gd name="T12" fmla="*/ 21502 h 21502"/>
          </a:gdLst>
          <a:ahLst/>
          <a:cxnLst>
            <a:cxn ang="T6">
              <a:pos x="T0" y="T1"/>
            </a:cxn>
            <a:cxn ang="T7">
              <a:pos x="T2" y="T3"/>
            </a:cxn>
            <a:cxn ang="T8">
              <a:pos x="T4" y="T5"/>
            </a:cxn>
          </a:cxnLst>
          <a:rect l="T9" t="T10" r="T11" b="T12"/>
          <a:pathLst>
            <a:path w="19129" h="21502" fill="none" extrusionOk="0">
              <a:moveTo>
                <a:pt x="2052" y="-1"/>
              </a:moveTo>
              <a:cubicBezTo>
                <a:pt x="9316" y="692"/>
                <a:pt x="15739" y="5007"/>
                <a:pt x="19129" y="11469"/>
              </a:cubicBezTo>
            </a:path>
            <a:path w="19129" h="21502" stroke="0" extrusionOk="0">
              <a:moveTo>
                <a:pt x="2052" y="-1"/>
              </a:moveTo>
              <a:cubicBezTo>
                <a:pt x="9316" y="692"/>
                <a:pt x="15739" y="5007"/>
                <a:pt x="19129" y="11469"/>
              </a:cubicBezTo>
              <a:lnTo>
                <a:pt x="0" y="21502"/>
              </a:lnTo>
              <a:lnTo>
                <a:pt x="2052" y="-1"/>
              </a:lnTo>
              <a:close/>
            </a:path>
          </a:pathLst>
        </a:custGeom>
        <a:noFill/>
        <a:ln w="9525">
          <a:solidFill>
            <a:srgbClr val="000000"/>
          </a:solidFill>
          <a:round/>
          <a:headEnd/>
          <a:tailEnd/>
        </a:ln>
      </xdr:spPr>
    </xdr:sp>
    <xdr:clientData/>
  </xdr:twoCellAnchor>
  <xdr:twoCellAnchor editAs="oneCell">
    <xdr:from>
      <xdr:col>5</xdr:col>
      <xdr:colOff>247650</xdr:colOff>
      <xdr:row>18</xdr:row>
      <xdr:rowOff>133350</xdr:rowOff>
    </xdr:from>
    <xdr:to>
      <xdr:col>5</xdr:col>
      <xdr:colOff>476250</xdr:colOff>
      <xdr:row>19</xdr:row>
      <xdr:rowOff>152400</xdr:rowOff>
    </xdr:to>
    <xdr:sp macro="" textlink="">
      <xdr:nvSpPr>
        <xdr:cNvPr id="215105" name="Text Box 65">
          <a:extLst>
            <a:ext uri="{FF2B5EF4-FFF2-40B4-BE49-F238E27FC236}">
              <a16:creationId xmlns:a16="http://schemas.microsoft.com/office/drawing/2014/main" id="{00000000-0008-0000-0200-000041480300}"/>
            </a:ext>
          </a:extLst>
        </xdr:cNvPr>
        <xdr:cNvSpPr txBox="1">
          <a:spLocks noChangeArrowheads="1"/>
        </xdr:cNvSpPr>
      </xdr:nvSpPr>
      <xdr:spPr bwMode="auto">
        <a:xfrm>
          <a:off x="4724400" y="3086100"/>
          <a:ext cx="228600" cy="18097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FF"/>
              </a:solidFill>
              <a:latin typeface="Symbol"/>
            </a:rPr>
            <a:t>q </a:t>
          </a:r>
          <a:r>
            <a:rPr lang="en-US" sz="800" b="0" i="0" u="none" strike="noStrike" baseline="30000">
              <a:solidFill>
                <a:srgbClr val="0000FF"/>
              </a:solidFill>
              <a:latin typeface="Arial"/>
              <a:cs typeface="Arial"/>
            </a:rPr>
            <a:t>o</a:t>
          </a:r>
          <a:endParaRPr lang="en-US"/>
        </a:p>
      </xdr:txBody>
    </xdr:sp>
    <xdr:clientData/>
  </xdr:twoCellAnchor>
  <xdr:twoCellAnchor>
    <xdr:from>
      <xdr:col>5</xdr:col>
      <xdr:colOff>600075</xdr:colOff>
      <xdr:row>18</xdr:row>
      <xdr:rowOff>152400</xdr:rowOff>
    </xdr:from>
    <xdr:to>
      <xdr:col>6</xdr:col>
      <xdr:colOff>171450</xdr:colOff>
      <xdr:row>18</xdr:row>
      <xdr:rowOff>152400</xdr:rowOff>
    </xdr:to>
    <xdr:sp macro="" textlink="">
      <xdr:nvSpPr>
        <xdr:cNvPr id="260883" name="Line 66">
          <a:extLst>
            <a:ext uri="{FF2B5EF4-FFF2-40B4-BE49-F238E27FC236}">
              <a16:creationId xmlns:a16="http://schemas.microsoft.com/office/drawing/2014/main" id="{00000000-0008-0000-0200-000013FB0300}"/>
            </a:ext>
          </a:extLst>
        </xdr:cNvPr>
        <xdr:cNvSpPr>
          <a:spLocks noChangeShapeType="1"/>
        </xdr:cNvSpPr>
      </xdr:nvSpPr>
      <xdr:spPr bwMode="auto">
        <a:xfrm>
          <a:off x="5076825" y="3105150"/>
          <a:ext cx="371475" cy="0"/>
        </a:xfrm>
        <a:prstGeom prst="line">
          <a:avLst/>
        </a:prstGeom>
        <a:noFill/>
        <a:ln w="9525">
          <a:solidFill>
            <a:srgbClr val="000000"/>
          </a:solidFill>
          <a:round/>
          <a:headEnd/>
          <a:tailEnd/>
        </a:ln>
      </xdr:spPr>
    </xdr:sp>
    <xdr:clientData/>
  </xdr:twoCellAnchor>
  <xdr:twoCellAnchor>
    <xdr:from>
      <xdr:col>5</xdr:col>
      <xdr:colOff>695325</xdr:colOff>
      <xdr:row>18</xdr:row>
      <xdr:rowOff>152400</xdr:rowOff>
    </xdr:from>
    <xdr:to>
      <xdr:col>5</xdr:col>
      <xdr:colOff>695325</xdr:colOff>
      <xdr:row>25</xdr:row>
      <xdr:rowOff>9525</xdr:rowOff>
    </xdr:to>
    <xdr:sp macro="" textlink="">
      <xdr:nvSpPr>
        <xdr:cNvPr id="260884" name="Line 67">
          <a:extLst>
            <a:ext uri="{FF2B5EF4-FFF2-40B4-BE49-F238E27FC236}">
              <a16:creationId xmlns:a16="http://schemas.microsoft.com/office/drawing/2014/main" id="{00000000-0008-0000-0200-000014FB0300}"/>
            </a:ext>
          </a:extLst>
        </xdr:cNvPr>
        <xdr:cNvSpPr>
          <a:spLocks noChangeShapeType="1"/>
        </xdr:cNvSpPr>
      </xdr:nvSpPr>
      <xdr:spPr bwMode="auto">
        <a:xfrm>
          <a:off x="5172075" y="3105150"/>
          <a:ext cx="0" cy="990600"/>
        </a:xfrm>
        <a:prstGeom prst="line">
          <a:avLst/>
        </a:prstGeom>
        <a:noFill/>
        <a:ln w="9525">
          <a:solidFill>
            <a:srgbClr val="000000"/>
          </a:solidFill>
          <a:round/>
          <a:headEnd type="stealth" w="sm" len="sm"/>
          <a:tailEnd type="stealth" w="sm" len="sm"/>
        </a:ln>
      </xdr:spPr>
    </xdr:sp>
    <xdr:clientData/>
  </xdr:twoCellAnchor>
  <xdr:twoCellAnchor>
    <xdr:from>
      <xdr:col>5</xdr:col>
      <xdr:colOff>466725</xdr:colOff>
      <xdr:row>14</xdr:row>
      <xdr:rowOff>47625</xdr:rowOff>
    </xdr:from>
    <xdr:to>
      <xdr:col>5</xdr:col>
      <xdr:colOff>619125</xdr:colOff>
      <xdr:row>15</xdr:row>
      <xdr:rowOff>47625</xdr:rowOff>
    </xdr:to>
    <xdr:sp macro="" textlink="">
      <xdr:nvSpPr>
        <xdr:cNvPr id="215108" name="Text Box 68">
          <a:extLst>
            <a:ext uri="{FF2B5EF4-FFF2-40B4-BE49-F238E27FC236}">
              <a16:creationId xmlns:a16="http://schemas.microsoft.com/office/drawing/2014/main" id="{00000000-0008-0000-0200-000044480300}"/>
            </a:ext>
          </a:extLst>
        </xdr:cNvPr>
        <xdr:cNvSpPr txBox="1">
          <a:spLocks noChangeArrowheads="1"/>
        </xdr:cNvSpPr>
      </xdr:nvSpPr>
      <xdr:spPr bwMode="auto">
        <a:xfrm>
          <a:off x="4943475" y="23526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xdr:from>
      <xdr:col>6</xdr:col>
      <xdr:colOff>542925</xdr:colOff>
      <xdr:row>9</xdr:row>
      <xdr:rowOff>114300</xdr:rowOff>
    </xdr:from>
    <xdr:to>
      <xdr:col>6</xdr:col>
      <xdr:colOff>723900</xdr:colOff>
      <xdr:row>10</xdr:row>
      <xdr:rowOff>123825</xdr:rowOff>
    </xdr:to>
    <xdr:sp macro="" textlink="">
      <xdr:nvSpPr>
        <xdr:cNvPr id="215109" name="Text Box 69">
          <a:extLst>
            <a:ext uri="{FF2B5EF4-FFF2-40B4-BE49-F238E27FC236}">
              <a16:creationId xmlns:a16="http://schemas.microsoft.com/office/drawing/2014/main" id="{00000000-0008-0000-0200-000045480300}"/>
            </a:ext>
          </a:extLst>
        </xdr:cNvPr>
        <xdr:cNvSpPr txBox="1">
          <a:spLocks noChangeArrowheads="1"/>
        </xdr:cNvSpPr>
      </xdr:nvSpPr>
      <xdr:spPr bwMode="auto">
        <a:xfrm>
          <a:off x="5819775" y="1609725"/>
          <a:ext cx="180975" cy="17145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B</a:t>
          </a:r>
          <a:endParaRPr lang="en-US"/>
        </a:p>
      </xdr:txBody>
    </xdr:sp>
    <xdr:clientData/>
  </xdr:twoCellAnchor>
  <xdr:twoCellAnchor>
    <xdr:from>
      <xdr:col>4</xdr:col>
      <xdr:colOff>314325</xdr:colOff>
      <xdr:row>20</xdr:row>
      <xdr:rowOff>123825</xdr:rowOff>
    </xdr:from>
    <xdr:to>
      <xdr:col>4</xdr:col>
      <xdr:colOff>504825</xdr:colOff>
      <xdr:row>21</xdr:row>
      <xdr:rowOff>123825</xdr:rowOff>
    </xdr:to>
    <xdr:sp macro="" textlink="">
      <xdr:nvSpPr>
        <xdr:cNvPr id="215110" name="Text Box 70">
          <a:extLst>
            <a:ext uri="{FF2B5EF4-FFF2-40B4-BE49-F238E27FC236}">
              <a16:creationId xmlns:a16="http://schemas.microsoft.com/office/drawing/2014/main" id="{00000000-0008-0000-0200-000046480300}"/>
            </a:ext>
          </a:extLst>
        </xdr:cNvPr>
        <xdr:cNvSpPr txBox="1">
          <a:spLocks noChangeArrowheads="1"/>
        </xdr:cNvSpPr>
      </xdr:nvSpPr>
      <xdr:spPr bwMode="auto">
        <a:xfrm>
          <a:off x="3990975" y="3400425"/>
          <a:ext cx="1905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r</a:t>
          </a:r>
          <a:endParaRPr lang="en-US"/>
        </a:p>
      </xdr:txBody>
    </xdr:sp>
    <xdr:clientData/>
  </xdr:twoCellAnchor>
  <xdr:twoCellAnchor>
    <xdr:from>
      <xdr:col>6</xdr:col>
      <xdr:colOff>542925</xdr:colOff>
      <xdr:row>22</xdr:row>
      <xdr:rowOff>9525</xdr:rowOff>
    </xdr:from>
    <xdr:to>
      <xdr:col>6</xdr:col>
      <xdr:colOff>723900</xdr:colOff>
      <xdr:row>23</xdr:row>
      <xdr:rowOff>0</xdr:rowOff>
    </xdr:to>
    <xdr:sp macro="" textlink="">
      <xdr:nvSpPr>
        <xdr:cNvPr id="215111" name="Text Box 71">
          <a:extLst>
            <a:ext uri="{FF2B5EF4-FFF2-40B4-BE49-F238E27FC236}">
              <a16:creationId xmlns:a16="http://schemas.microsoft.com/office/drawing/2014/main" id="{00000000-0008-0000-0200-000047480300}"/>
            </a:ext>
          </a:extLst>
        </xdr:cNvPr>
        <xdr:cNvSpPr txBox="1">
          <a:spLocks noChangeArrowheads="1"/>
        </xdr:cNvSpPr>
      </xdr:nvSpPr>
      <xdr:spPr bwMode="auto">
        <a:xfrm>
          <a:off x="5819775" y="3609975"/>
          <a:ext cx="180975"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e</a:t>
          </a:r>
          <a:endParaRPr lang="en-US"/>
        </a:p>
      </xdr:txBody>
    </xdr:sp>
    <xdr:clientData/>
  </xdr:twoCellAnchor>
  <xdr:twoCellAnchor>
    <xdr:from>
      <xdr:col>5</xdr:col>
      <xdr:colOff>695325</xdr:colOff>
      <xdr:row>21</xdr:row>
      <xdr:rowOff>57150</xdr:rowOff>
    </xdr:from>
    <xdr:to>
      <xdr:col>6</xdr:col>
      <xdr:colOff>76200</xdr:colOff>
      <xdr:row>22</xdr:row>
      <xdr:rowOff>66675</xdr:rowOff>
    </xdr:to>
    <xdr:sp macro="" textlink="">
      <xdr:nvSpPr>
        <xdr:cNvPr id="215112" name="Text Box 72">
          <a:extLst>
            <a:ext uri="{FF2B5EF4-FFF2-40B4-BE49-F238E27FC236}">
              <a16:creationId xmlns:a16="http://schemas.microsoft.com/office/drawing/2014/main" id="{00000000-0008-0000-0200-000048480300}"/>
            </a:ext>
          </a:extLst>
        </xdr:cNvPr>
        <xdr:cNvSpPr txBox="1">
          <a:spLocks noChangeArrowheads="1"/>
        </xdr:cNvSpPr>
      </xdr:nvSpPr>
      <xdr:spPr bwMode="auto">
        <a:xfrm>
          <a:off x="5172075" y="3495675"/>
          <a:ext cx="180975" cy="17145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endParaRPr lang="en-US"/>
        </a:p>
      </xdr:txBody>
    </xdr:sp>
    <xdr:clientData/>
  </xdr:twoCellAnchor>
  <xdr:twoCellAnchor>
    <xdr:from>
      <xdr:col>5</xdr:col>
      <xdr:colOff>523875</xdr:colOff>
      <xdr:row>17</xdr:row>
      <xdr:rowOff>9525</xdr:rowOff>
    </xdr:from>
    <xdr:to>
      <xdr:col>5</xdr:col>
      <xdr:colOff>619125</xdr:colOff>
      <xdr:row>17</xdr:row>
      <xdr:rowOff>152400</xdr:rowOff>
    </xdr:to>
    <xdr:sp macro="" textlink="">
      <xdr:nvSpPr>
        <xdr:cNvPr id="260890" name="Line 73">
          <a:extLst>
            <a:ext uri="{FF2B5EF4-FFF2-40B4-BE49-F238E27FC236}">
              <a16:creationId xmlns:a16="http://schemas.microsoft.com/office/drawing/2014/main" id="{00000000-0008-0000-0200-00001AFB0300}"/>
            </a:ext>
          </a:extLst>
        </xdr:cNvPr>
        <xdr:cNvSpPr>
          <a:spLocks noChangeShapeType="1"/>
        </xdr:cNvSpPr>
      </xdr:nvSpPr>
      <xdr:spPr bwMode="auto">
        <a:xfrm flipV="1">
          <a:off x="5000625" y="2800350"/>
          <a:ext cx="95250" cy="142875"/>
        </a:xfrm>
        <a:prstGeom prst="line">
          <a:avLst/>
        </a:prstGeom>
        <a:noFill/>
        <a:ln w="9525">
          <a:solidFill>
            <a:srgbClr val="000000"/>
          </a:solidFill>
          <a:round/>
          <a:headEnd/>
          <a:tailEnd type="stealth" w="sm" len="sm"/>
        </a:ln>
      </xdr:spPr>
    </xdr:sp>
    <xdr:clientData/>
  </xdr:twoCellAnchor>
  <xdr:twoCellAnchor>
    <xdr:from>
      <xdr:col>5</xdr:col>
      <xdr:colOff>638175</xdr:colOff>
      <xdr:row>17</xdr:row>
      <xdr:rowOff>76200</xdr:rowOff>
    </xdr:from>
    <xdr:to>
      <xdr:col>5</xdr:col>
      <xdr:colOff>733425</xdr:colOff>
      <xdr:row>18</xdr:row>
      <xdr:rowOff>57150</xdr:rowOff>
    </xdr:to>
    <xdr:sp macro="" textlink="">
      <xdr:nvSpPr>
        <xdr:cNvPr id="260891" name="Line 74">
          <a:extLst>
            <a:ext uri="{FF2B5EF4-FFF2-40B4-BE49-F238E27FC236}">
              <a16:creationId xmlns:a16="http://schemas.microsoft.com/office/drawing/2014/main" id="{00000000-0008-0000-0200-00001BFB0300}"/>
            </a:ext>
          </a:extLst>
        </xdr:cNvPr>
        <xdr:cNvSpPr>
          <a:spLocks noChangeShapeType="1"/>
        </xdr:cNvSpPr>
      </xdr:nvSpPr>
      <xdr:spPr bwMode="auto">
        <a:xfrm flipV="1">
          <a:off x="5114925" y="2867025"/>
          <a:ext cx="95250" cy="142875"/>
        </a:xfrm>
        <a:prstGeom prst="line">
          <a:avLst/>
        </a:prstGeom>
        <a:noFill/>
        <a:ln w="9525">
          <a:solidFill>
            <a:srgbClr val="000000"/>
          </a:solidFill>
          <a:round/>
          <a:headEnd/>
          <a:tailEnd type="stealth" w="sm" len="sm"/>
        </a:ln>
      </xdr:spPr>
    </xdr:sp>
    <xdr:clientData/>
  </xdr:twoCellAnchor>
  <xdr:twoCellAnchor>
    <xdr:from>
      <xdr:col>6</xdr:col>
      <xdr:colOff>180975</xdr:colOff>
      <xdr:row>18</xdr:row>
      <xdr:rowOff>114300</xdr:rowOff>
    </xdr:from>
    <xdr:to>
      <xdr:col>6</xdr:col>
      <xdr:colOff>257175</xdr:colOff>
      <xdr:row>19</xdr:row>
      <xdr:rowOff>95250</xdr:rowOff>
    </xdr:to>
    <xdr:sp macro="" textlink="">
      <xdr:nvSpPr>
        <xdr:cNvPr id="260892" name="Line 75">
          <a:extLst>
            <a:ext uri="{FF2B5EF4-FFF2-40B4-BE49-F238E27FC236}">
              <a16:creationId xmlns:a16="http://schemas.microsoft.com/office/drawing/2014/main" id="{00000000-0008-0000-0200-00001CFB0300}"/>
            </a:ext>
          </a:extLst>
        </xdr:cNvPr>
        <xdr:cNvSpPr>
          <a:spLocks noChangeShapeType="1"/>
        </xdr:cNvSpPr>
      </xdr:nvSpPr>
      <xdr:spPr bwMode="auto">
        <a:xfrm flipV="1">
          <a:off x="5457825" y="3067050"/>
          <a:ext cx="76200" cy="142875"/>
        </a:xfrm>
        <a:prstGeom prst="line">
          <a:avLst/>
        </a:prstGeom>
        <a:noFill/>
        <a:ln w="9525">
          <a:solidFill>
            <a:srgbClr val="000000"/>
          </a:solidFill>
          <a:round/>
          <a:headEnd/>
          <a:tailEnd type="stealth" w="sm" len="sm"/>
        </a:ln>
      </xdr:spPr>
    </xdr:sp>
    <xdr:clientData/>
  </xdr:twoCellAnchor>
  <xdr:twoCellAnchor>
    <xdr:from>
      <xdr:col>6</xdr:col>
      <xdr:colOff>304800</xdr:colOff>
      <xdr:row>19</xdr:row>
      <xdr:rowOff>28575</xdr:rowOff>
    </xdr:from>
    <xdr:to>
      <xdr:col>6</xdr:col>
      <xdr:colOff>400050</xdr:colOff>
      <xdr:row>20</xdr:row>
      <xdr:rowOff>9525</xdr:rowOff>
    </xdr:to>
    <xdr:sp macro="" textlink="">
      <xdr:nvSpPr>
        <xdr:cNvPr id="260893" name="Line 76">
          <a:extLst>
            <a:ext uri="{FF2B5EF4-FFF2-40B4-BE49-F238E27FC236}">
              <a16:creationId xmlns:a16="http://schemas.microsoft.com/office/drawing/2014/main" id="{00000000-0008-0000-0200-00001DFB0300}"/>
            </a:ext>
          </a:extLst>
        </xdr:cNvPr>
        <xdr:cNvSpPr>
          <a:spLocks noChangeShapeType="1"/>
        </xdr:cNvSpPr>
      </xdr:nvSpPr>
      <xdr:spPr bwMode="auto">
        <a:xfrm flipV="1">
          <a:off x="5581650" y="3143250"/>
          <a:ext cx="95250" cy="142875"/>
        </a:xfrm>
        <a:prstGeom prst="line">
          <a:avLst/>
        </a:prstGeom>
        <a:noFill/>
        <a:ln w="9525">
          <a:solidFill>
            <a:srgbClr val="000000"/>
          </a:solidFill>
          <a:round/>
          <a:headEnd/>
          <a:tailEnd type="stealth" w="sm" len="sm"/>
        </a:ln>
      </xdr:spPr>
    </xdr:sp>
    <xdr:clientData/>
  </xdr:twoCellAnchor>
  <xdr:twoCellAnchor>
    <xdr:from>
      <xdr:col>5</xdr:col>
      <xdr:colOff>752475</xdr:colOff>
      <xdr:row>17</xdr:row>
      <xdr:rowOff>142875</xdr:rowOff>
    </xdr:from>
    <xdr:to>
      <xdr:col>6</xdr:col>
      <xdr:colOff>47625</xdr:colOff>
      <xdr:row>18</xdr:row>
      <xdr:rowOff>123825</xdr:rowOff>
    </xdr:to>
    <xdr:sp macro="" textlink="">
      <xdr:nvSpPr>
        <xdr:cNvPr id="260894" name="Line 77">
          <a:extLst>
            <a:ext uri="{FF2B5EF4-FFF2-40B4-BE49-F238E27FC236}">
              <a16:creationId xmlns:a16="http://schemas.microsoft.com/office/drawing/2014/main" id="{00000000-0008-0000-0200-00001EFB0300}"/>
            </a:ext>
          </a:extLst>
        </xdr:cNvPr>
        <xdr:cNvSpPr>
          <a:spLocks noChangeShapeType="1"/>
        </xdr:cNvSpPr>
      </xdr:nvSpPr>
      <xdr:spPr bwMode="auto">
        <a:xfrm flipV="1">
          <a:off x="5229225" y="2933700"/>
          <a:ext cx="95250" cy="142875"/>
        </a:xfrm>
        <a:prstGeom prst="line">
          <a:avLst/>
        </a:prstGeom>
        <a:noFill/>
        <a:ln w="9525">
          <a:solidFill>
            <a:srgbClr val="000000"/>
          </a:solidFill>
          <a:round/>
          <a:headEnd/>
          <a:tailEnd type="stealth" w="sm" len="sm"/>
        </a:ln>
      </xdr:spPr>
    </xdr:sp>
    <xdr:clientData/>
  </xdr:twoCellAnchor>
  <xdr:twoCellAnchor>
    <xdr:from>
      <xdr:col>5</xdr:col>
      <xdr:colOff>85725</xdr:colOff>
      <xdr:row>18</xdr:row>
      <xdr:rowOff>47625</xdr:rowOff>
    </xdr:from>
    <xdr:to>
      <xdr:col>5</xdr:col>
      <xdr:colOff>180975</xdr:colOff>
      <xdr:row>19</xdr:row>
      <xdr:rowOff>28575</xdr:rowOff>
    </xdr:to>
    <xdr:sp macro="" textlink="">
      <xdr:nvSpPr>
        <xdr:cNvPr id="260895" name="Line 78">
          <a:extLst>
            <a:ext uri="{FF2B5EF4-FFF2-40B4-BE49-F238E27FC236}">
              <a16:creationId xmlns:a16="http://schemas.microsoft.com/office/drawing/2014/main" id="{00000000-0008-0000-0200-00001FFB0300}"/>
            </a:ext>
          </a:extLst>
        </xdr:cNvPr>
        <xdr:cNvSpPr>
          <a:spLocks noChangeShapeType="1"/>
        </xdr:cNvSpPr>
      </xdr:nvSpPr>
      <xdr:spPr bwMode="auto">
        <a:xfrm flipH="1" flipV="1">
          <a:off x="4562475" y="3000375"/>
          <a:ext cx="95250" cy="142875"/>
        </a:xfrm>
        <a:prstGeom prst="line">
          <a:avLst/>
        </a:prstGeom>
        <a:noFill/>
        <a:ln w="9525">
          <a:solidFill>
            <a:srgbClr val="000000"/>
          </a:solidFill>
          <a:round/>
          <a:headEnd/>
          <a:tailEnd type="stealth" w="sm" len="sm"/>
        </a:ln>
      </xdr:spPr>
    </xdr:sp>
    <xdr:clientData/>
  </xdr:twoCellAnchor>
  <xdr:twoCellAnchor>
    <xdr:from>
      <xdr:col>4</xdr:col>
      <xdr:colOff>752475</xdr:colOff>
      <xdr:row>18</xdr:row>
      <xdr:rowOff>123825</xdr:rowOff>
    </xdr:from>
    <xdr:to>
      <xdr:col>5</xdr:col>
      <xdr:colOff>47625</xdr:colOff>
      <xdr:row>19</xdr:row>
      <xdr:rowOff>104775</xdr:rowOff>
    </xdr:to>
    <xdr:sp macro="" textlink="">
      <xdr:nvSpPr>
        <xdr:cNvPr id="260896" name="Line 79">
          <a:extLst>
            <a:ext uri="{FF2B5EF4-FFF2-40B4-BE49-F238E27FC236}">
              <a16:creationId xmlns:a16="http://schemas.microsoft.com/office/drawing/2014/main" id="{00000000-0008-0000-0200-000020FB0300}"/>
            </a:ext>
          </a:extLst>
        </xdr:cNvPr>
        <xdr:cNvSpPr>
          <a:spLocks noChangeShapeType="1"/>
        </xdr:cNvSpPr>
      </xdr:nvSpPr>
      <xdr:spPr bwMode="auto">
        <a:xfrm flipH="1" flipV="1">
          <a:off x="4429125" y="3076575"/>
          <a:ext cx="95250" cy="142875"/>
        </a:xfrm>
        <a:prstGeom prst="line">
          <a:avLst/>
        </a:prstGeom>
        <a:noFill/>
        <a:ln w="9525">
          <a:solidFill>
            <a:srgbClr val="000000"/>
          </a:solidFill>
          <a:round/>
          <a:headEnd/>
          <a:tailEnd type="stealth" w="sm" len="sm"/>
        </a:ln>
      </xdr:spPr>
    </xdr:sp>
    <xdr:clientData/>
  </xdr:twoCellAnchor>
  <xdr:twoCellAnchor>
    <xdr:from>
      <xdr:col>4</xdr:col>
      <xdr:colOff>647700</xdr:colOff>
      <xdr:row>19</xdr:row>
      <xdr:rowOff>28575</xdr:rowOff>
    </xdr:from>
    <xdr:to>
      <xdr:col>4</xdr:col>
      <xdr:colOff>742950</xdr:colOff>
      <xdr:row>20</xdr:row>
      <xdr:rowOff>9525</xdr:rowOff>
    </xdr:to>
    <xdr:sp macro="" textlink="">
      <xdr:nvSpPr>
        <xdr:cNvPr id="260897" name="Line 80">
          <a:extLst>
            <a:ext uri="{FF2B5EF4-FFF2-40B4-BE49-F238E27FC236}">
              <a16:creationId xmlns:a16="http://schemas.microsoft.com/office/drawing/2014/main" id="{00000000-0008-0000-0200-000021FB0300}"/>
            </a:ext>
          </a:extLst>
        </xdr:cNvPr>
        <xdr:cNvSpPr>
          <a:spLocks noChangeShapeType="1"/>
        </xdr:cNvSpPr>
      </xdr:nvSpPr>
      <xdr:spPr bwMode="auto">
        <a:xfrm flipH="1" flipV="1">
          <a:off x="4324350" y="3143250"/>
          <a:ext cx="95250" cy="142875"/>
        </a:xfrm>
        <a:prstGeom prst="line">
          <a:avLst/>
        </a:prstGeom>
        <a:noFill/>
        <a:ln w="9525">
          <a:solidFill>
            <a:srgbClr val="000000"/>
          </a:solidFill>
          <a:round/>
          <a:headEnd/>
          <a:tailEnd type="stealth" w="sm" len="sm"/>
        </a:ln>
      </xdr:spPr>
    </xdr:sp>
    <xdr:clientData/>
  </xdr:twoCellAnchor>
  <xdr:twoCellAnchor>
    <xdr:from>
      <xdr:col>5</xdr:col>
      <xdr:colOff>428625</xdr:colOff>
      <xdr:row>17</xdr:row>
      <xdr:rowOff>9525</xdr:rowOff>
    </xdr:from>
    <xdr:to>
      <xdr:col>5</xdr:col>
      <xdr:colOff>523875</xdr:colOff>
      <xdr:row>17</xdr:row>
      <xdr:rowOff>152400</xdr:rowOff>
    </xdr:to>
    <xdr:sp macro="" textlink="">
      <xdr:nvSpPr>
        <xdr:cNvPr id="260898" name="Line 81">
          <a:extLst>
            <a:ext uri="{FF2B5EF4-FFF2-40B4-BE49-F238E27FC236}">
              <a16:creationId xmlns:a16="http://schemas.microsoft.com/office/drawing/2014/main" id="{00000000-0008-0000-0200-000022FB0300}"/>
            </a:ext>
          </a:extLst>
        </xdr:cNvPr>
        <xdr:cNvSpPr>
          <a:spLocks noChangeShapeType="1"/>
        </xdr:cNvSpPr>
      </xdr:nvSpPr>
      <xdr:spPr bwMode="auto">
        <a:xfrm flipH="1" flipV="1">
          <a:off x="4905375" y="2800350"/>
          <a:ext cx="95250" cy="142875"/>
        </a:xfrm>
        <a:prstGeom prst="line">
          <a:avLst/>
        </a:prstGeom>
        <a:noFill/>
        <a:ln w="9525">
          <a:solidFill>
            <a:srgbClr val="000000"/>
          </a:solidFill>
          <a:round/>
          <a:headEnd/>
          <a:tailEnd type="stealth" w="sm" len="sm"/>
        </a:ln>
      </xdr:spPr>
    </xdr:sp>
    <xdr:clientData/>
  </xdr:twoCellAnchor>
  <xdr:twoCellAnchor>
    <xdr:from>
      <xdr:col>5</xdr:col>
      <xdr:colOff>314325</xdr:colOff>
      <xdr:row>17</xdr:row>
      <xdr:rowOff>76200</xdr:rowOff>
    </xdr:from>
    <xdr:to>
      <xdr:col>5</xdr:col>
      <xdr:colOff>409575</xdr:colOff>
      <xdr:row>18</xdr:row>
      <xdr:rowOff>57150</xdr:rowOff>
    </xdr:to>
    <xdr:sp macro="" textlink="">
      <xdr:nvSpPr>
        <xdr:cNvPr id="260899" name="Line 82">
          <a:extLst>
            <a:ext uri="{FF2B5EF4-FFF2-40B4-BE49-F238E27FC236}">
              <a16:creationId xmlns:a16="http://schemas.microsoft.com/office/drawing/2014/main" id="{00000000-0008-0000-0200-000023FB0300}"/>
            </a:ext>
          </a:extLst>
        </xdr:cNvPr>
        <xdr:cNvSpPr>
          <a:spLocks noChangeShapeType="1"/>
        </xdr:cNvSpPr>
      </xdr:nvSpPr>
      <xdr:spPr bwMode="auto">
        <a:xfrm flipH="1" flipV="1">
          <a:off x="4791075" y="2867025"/>
          <a:ext cx="95250" cy="142875"/>
        </a:xfrm>
        <a:prstGeom prst="line">
          <a:avLst/>
        </a:prstGeom>
        <a:noFill/>
        <a:ln w="9525">
          <a:solidFill>
            <a:srgbClr val="000000"/>
          </a:solidFill>
          <a:round/>
          <a:headEnd/>
          <a:tailEnd type="stealth" w="sm" len="sm"/>
        </a:ln>
      </xdr:spPr>
    </xdr:sp>
    <xdr:clientData/>
  </xdr:twoCellAnchor>
  <xdr:twoCellAnchor>
    <xdr:from>
      <xdr:col>5</xdr:col>
      <xdr:colOff>200025</xdr:colOff>
      <xdr:row>17</xdr:row>
      <xdr:rowOff>142875</xdr:rowOff>
    </xdr:from>
    <xdr:to>
      <xdr:col>5</xdr:col>
      <xdr:colOff>295275</xdr:colOff>
      <xdr:row>18</xdr:row>
      <xdr:rowOff>123825</xdr:rowOff>
    </xdr:to>
    <xdr:sp macro="" textlink="">
      <xdr:nvSpPr>
        <xdr:cNvPr id="260900" name="Line 83">
          <a:extLst>
            <a:ext uri="{FF2B5EF4-FFF2-40B4-BE49-F238E27FC236}">
              <a16:creationId xmlns:a16="http://schemas.microsoft.com/office/drawing/2014/main" id="{00000000-0008-0000-0200-000024FB0300}"/>
            </a:ext>
          </a:extLst>
        </xdr:cNvPr>
        <xdr:cNvSpPr>
          <a:spLocks noChangeShapeType="1"/>
        </xdr:cNvSpPr>
      </xdr:nvSpPr>
      <xdr:spPr bwMode="auto">
        <a:xfrm flipH="1" flipV="1">
          <a:off x="4676775" y="2933700"/>
          <a:ext cx="95250" cy="142875"/>
        </a:xfrm>
        <a:prstGeom prst="line">
          <a:avLst/>
        </a:prstGeom>
        <a:noFill/>
        <a:ln w="9525">
          <a:solidFill>
            <a:srgbClr val="000000"/>
          </a:solidFill>
          <a:round/>
          <a:headEnd/>
          <a:tailEnd type="stealth" w="sm" len="sm"/>
        </a:ln>
      </xdr:spPr>
    </xdr:sp>
    <xdr:clientData/>
  </xdr:twoCellAnchor>
  <xdr:twoCellAnchor>
    <xdr:from>
      <xdr:col>4</xdr:col>
      <xdr:colOff>542925</xdr:colOff>
      <xdr:row>21</xdr:row>
      <xdr:rowOff>123825</xdr:rowOff>
    </xdr:from>
    <xdr:to>
      <xdr:col>4</xdr:col>
      <xdr:colOff>742950</xdr:colOff>
      <xdr:row>21</xdr:row>
      <xdr:rowOff>123825</xdr:rowOff>
    </xdr:to>
    <xdr:sp macro="" textlink="">
      <xdr:nvSpPr>
        <xdr:cNvPr id="260901" name="Line 84">
          <a:extLst>
            <a:ext uri="{FF2B5EF4-FFF2-40B4-BE49-F238E27FC236}">
              <a16:creationId xmlns:a16="http://schemas.microsoft.com/office/drawing/2014/main" id="{00000000-0008-0000-0200-000025FB0300}"/>
            </a:ext>
          </a:extLst>
        </xdr:cNvPr>
        <xdr:cNvSpPr>
          <a:spLocks noChangeShapeType="1"/>
        </xdr:cNvSpPr>
      </xdr:nvSpPr>
      <xdr:spPr bwMode="auto">
        <a:xfrm>
          <a:off x="4219575" y="3562350"/>
          <a:ext cx="200025" cy="0"/>
        </a:xfrm>
        <a:prstGeom prst="line">
          <a:avLst/>
        </a:prstGeom>
        <a:noFill/>
        <a:ln w="9525">
          <a:solidFill>
            <a:srgbClr val="000000"/>
          </a:solidFill>
          <a:round/>
          <a:headEnd/>
          <a:tailEnd type="stealth" w="sm" len="sm"/>
        </a:ln>
      </xdr:spPr>
    </xdr:sp>
    <xdr:clientData/>
  </xdr:twoCellAnchor>
  <xdr:twoCellAnchor>
    <xdr:from>
      <xdr:col>4</xdr:col>
      <xdr:colOff>600075</xdr:colOff>
      <xdr:row>22</xdr:row>
      <xdr:rowOff>95250</xdr:rowOff>
    </xdr:from>
    <xdr:to>
      <xdr:col>4</xdr:col>
      <xdr:colOff>742950</xdr:colOff>
      <xdr:row>22</xdr:row>
      <xdr:rowOff>95250</xdr:rowOff>
    </xdr:to>
    <xdr:sp macro="" textlink="">
      <xdr:nvSpPr>
        <xdr:cNvPr id="260902" name="Line 85">
          <a:extLst>
            <a:ext uri="{FF2B5EF4-FFF2-40B4-BE49-F238E27FC236}">
              <a16:creationId xmlns:a16="http://schemas.microsoft.com/office/drawing/2014/main" id="{00000000-0008-0000-0200-000026FB0300}"/>
            </a:ext>
          </a:extLst>
        </xdr:cNvPr>
        <xdr:cNvSpPr>
          <a:spLocks noChangeShapeType="1"/>
        </xdr:cNvSpPr>
      </xdr:nvSpPr>
      <xdr:spPr bwMode="auto">
        <a:xfrm>
          <a:off x="4276725" y="3695700"/>
          <a:ext cx="142875" cy="0"/>
        </a:xfrm>
        <a:prstGeom prst="line">
          <a:avLst/>
        </a:prstGeom>
        <a:noFill/>
        <a:ln w="9525">
          <a:solidFill>
            <a:srgbClr val="000000"/>
          </a:solidFill>
          <a:round/>
          <a:headEnd/>
          <a:tailEnd type="stealth" w="sm" len="sm"/>
        </a:ln>
      </xdr:spPr>
    </xdr:sp>
    <xdr:clientData/>
  </xdr:twoCellAnchor>
  <xdr:twoCellAnchor>
    <xdr:from>
      <xdr:col>4</xdr:col>
      <xdr:colOff>542925</xdr:colOff>
      <xdr:row>20</xdr:row>
      <xdr:rowOff>142875</xdr:rowOff>
    </xdr:from>
    <xdr:to>
      <xdr:col>4</xdr:col>
      <xdr:colOff>742950</xdr:colOff>
      <xdr:row>20</xdr:row>
      <xdr:rowOff>142875</xdr:rowOff>
    </xdr:to>
    <xdr:sp macro="" textlink="">
      <xdr:nvSpPr>
        <xdr:cNvPr id="260903" name="Line 86">
          <a:extLst>
            <a:ext uri="{FF2B5EF4-FFF2-40B4-BE49-F238E27FC236}">
              <a16:creationId xmlns:a16="http://schemas.microsoft.com/office/drawing/2014/main" id="{00000000-0008-0000-0200-000027FB0300}"/>
            </a:ext>
          </a:extLst>
        </xdr:cNvPr>
        <xdr:cNvSpPr>
          <a:spLocks noChangeShapeType="1"/>
        </xdr:cNvSpPr>
      </xdr:nvSpPr>
      <xdr:spPr bwMode="auto">
        <a:xfrm>
          <a:off x="4219575" y="3419475"/>
          <a:ext cx="200025" cy="0"/>
        </a:xfrm>
        <a:prstGeom prst="line">
          <a:avLst/>
        </a:prstGeom>
        <a:noFill/>
        <a:ln w="9525">
          <a:solidFill>
            <a:srgbClr val="000000"/>
          </a:solidFill>
          <a:round/>
          <a:headEnd/>
          <a:tailEnd type="stealth" w="sm" len="sm"/>
        </a:ln>
      </xdr:spPr>
    </xdr:sp>
    <xdr:clientData/>
  </xdr:twoCellAnchor>
  <xdr:twoCellAnchor>
    <xdr:from>
      <xdr:col>4</xdr:col>
      <xdr:colOff>542925</xdr:colOff>
      <xdr:row>20</xdr:row>
      <xdr:rowOff>9525</xdr:rowOff>
    </xdr:from>
    <xdr:to>
      <xdr:col>4</xdr:col>
      <xdr:colOff>742950</xdr:colOff>
      <xdr:row>20</xdr:row>
      <xdr:rowOff>9525</xdr:rowOff>
    </xdr:to>
    <xdr:sp macro="" textlink="">
      <xdr:nvSpPr>
        <xdr:cNvPr id="260904" name="Line 87">
          <a:extLst>
            <a:ext uri="{FF2B5EF4-FFF2-40B4-BE49-F238E27FC236}">
              <a16:creationId xmlns:a16="http://schemas.microsoft.com/office/drawing/2014/main" id="{00000000-0008-0000-0200-000028FB0300}"/>
            </a:ext>
          </a:extLst>
        </xdr:cNvPr>
        <xdr:cNvSpPr>
          <a:spLocks noChangeShapeType="1"/>
        </xdr:cNvSpPr>
      </xdr:nvSpPr>
      <xdr:spPr bwMode="auto">
        <a:xfrm>
          <a:off x="4219575" y="3286125"/>
          <a:ext cx="200025" cy="0"/>
        </a:xfrm>
        <a:prstGeom prst="line">
          <a:avLst/>
        </a:prstGeom>
        <a:noFill/>
        <a:ln w="9525">
          <a:solidFill>
            <a:srgbClr val="000000"/>
          </a:solidFill>
          <a:round/>
          <a:headEnd/>
          <a:tailEnd type="stealth" w="sm" len="sm"/>
        </a:ln>
      </xdr:spPr>
    </xdr:sp>
    <xdr:clientData/>
  </xdr:twoCellAnchor>
  <xdr:twoCellAnchor>
    <xdr:from>
      <xdr:col>6</xdr:col>
      <xdr:colOff>304800</xdr:colOff>
      <xdr:row>22</xdr:row>
      <xdr:rowOff>95250</xdr:rowOff>
    </xdr:from>
    <xdr:to>
      <xdr:col>6</xdr:col>
      <xdr:colOff>400050</xdr:colOff>
      <xdr:row>22</xdr:row>
      <xdr:rowOff>95250</xdr:rowOff>
    </xdr:to>
    <xdr:sp macro="" textlink="">
      <xdr:nvSpPr>
        <xdr:cNvPr id="260905" name="Line 88">
          <a:extLst>
            <a:ext uri="{FF2B5EF4-FFF2-40B4-BE49-F238E27FC236}">
              <a16:creationId xmlns:a16="http://schemas.microsoft.com/office/drawing/2014/main" id="{00000000-0008-0000-0200-000029FB0300}"/>
            </a:ext>
          </a:extLst>
        </xdr:cNvPr>
        <xdr:cNvSpPr>
          <a:spLocks noChangeShapeType="1"/>
        </xdr:cNvSpPr>
      </xdr:nvSpPr>
      <xdr:spPr bwMode="auto">
        <a:xfrm>
          <a:off x="5581650" y="369570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21</xdr:row>
      <xdr:rowOff>123825</xdr:rowOff>
    </xdr:from>
    <xdr:to>
      <xdr:col>6</xdr:col>
      <xdr:colOff>400050</xdr:colOff>
      <xdr:row>21</xdr:row>
      <xdr:rowOff>123825</xdr:rowOff>
    </xdr:to>
    <xdr:sp macro="" textlink="">
      <xdr:nvSpPr>
        <xdr:cNvPr id="260906" name="Line 89">
          <a:extLst>
            <a:ext uri="{FF2B5EF4-FFF2-40B4-BE49-F238E27FC236}">
              <a16:creationId xmlns:a16="http://schemas.microsoft.com/office/drawing/2014/main" id="{00000000-0008-0000-0200-00002AFB0300}"/>
            </a:ext>
          </a:extLst>
        </xdr:cNvPr>
        <xdr:cNvSpPr>
          <a:spLocks noChangeShapeType="1"/>
        </xdr:cNvSpPr>
      </xdr:nvSpPr>
      <xdr:spPr bwMode="auto">
        <a:xfrm>
          <a:off x="5581650" y="356235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20</xdr:row>
      <xdr:rowOff>142875</xdr:rowOff>
    </xdr:from>
    <xdr:to>
      <xdr:col>6</xdr:col>
      <xdr:colOff>400050</xdr:colOff>
      <xdr:row>20</xdr:row>
      <xdr:rowOff>142875</xdr:rowOff>
    </xdr:to>
    <xdr:sp macro="" textlink="">
      <xdr:nvSpPr>
        <xdr:cNvPr id="260907" name="Line 90">
          <a:extLst>
            <a:ext uri="{FF2B5EF4-FFF2-40B4-BE49-F238E27FC236}">
              <a16:creationId xmlns:a16="http://schemas.microsoft.com/office/drawing/2014/main" id="{00000000-0008-0000-0200-00002BFB0300}"/>
            </a:ext>
          </a:extLst>
        </xdr:cNvPr>
        <xdr:cNvSpPr>
          <a:spLocks noChangeShapeType="1"/>
        </xdr:cNvSpPr>
      </xdr:nvSpPr>
      <xdr:spPr bwMode="auto">
        <a:xfrm>
          <a:off x="5581650" y="3419475"/>
          <a:ext cx="95250" cy="0"/>
        </a:xfrm>
        <a:prstGeom prst="line">
          <a:avLst/>
        </a:prstGeom>
        <a:noFill/>
        <a:ln w="9525">
          <a:solidFill>
            <a:srgbClr val="000000"/>
          </a:solidFill>
          <a:round/>
          <a:headEnd/>
          <a:tailEnd type="stealth" w="med" len="sm"/>
        </a:ln>
      </xdr:spPr>
    </xdr:sp>
    <xdr:clientData/>
  </xdr:twoCellAnchor>
  <xdr:twoCellAnchor>
    <xdr:from>
      <xdr:col>6</xdr:col>
      <xdr:colOff>304800</xdr:colOff>
      <xdr:row>20</xdr:row>
      <xdr:rowOff>9525</xdr:rowOff>
    </xdr:from>
    <xdr:to>
      <xdr:col>6</xdr:col>
      <xdr:colOff>400050</xdr:colOff>
      <xdr:row>20</xdr:row>
      <xdr:rowOff>9525</xdr:rowOff>
    </xdr:to>
    <xdr:sp macro="" textlink="">
      <xdr:nvSpPr>
        <xdr:cNvPr id="260908" name="Line 91">
          <a:extLst>
            <a:ext uri="{FF2B5EF4-FFF2-40B4-BE49-F238E27FC236}">
              <a16:creationId xmlns:a16="http://schemas.microsoft.com/office/drawing/2014/main" id="{00000000-0008-0000-0200-00002CFB0300}"/>
            </a:ext>
          </a:extLst>
        </xdr:cNvPr>
        <xdr:cNvSpPr>
          <a:spLocks noChangeShapeType="1"/>
        </xdr:cNvSpPr>
      </xdr:nvSpPr>
      <xdr:spPr bwMode="auto">
        <a:xfrm>
          <a:off x="5581650" y="3286125"/>
          <a:ext cx="95250" cy="0"/>
        </a:xfrm>
        <a:prstGeom prst="line">
          <a:avLst/>
        </a:prstGeom>
        <a:noFill/>
        <a:ln w="9525">
          <a:solidFill>
            <a:srgbClr val="000000"/>
          </a:solidFill>
          <a:round/>
          <a:headEnd/>
          <a:tailEnd type="stealth" w="sm" len="sm"/>
        </a:ln>
      </xdr:spPr>
    </xdr:sp>
    <xdr:clientData/>
  </xdr:twoCellAnchor>
  <xdr:twoCellAnchor>
    <xdr:from>
      <xdr:col>6</xdr:col>
      <xdr:colOff>57150</xdr:colOff>
      <xdr:row>18</xdr:row>
      <xdr:rowOff>47625</xdr:rowOff>
    </xdr:from>
    <xdr:to>
      <xdr:col>6</xdr:col>
      <xdr:colOff>152400</xdr:colOff>
      <xdr:row>19</xdr:row>
      <xdr:rowOff>28575</xdr:rowOff>
    </xdr:to>
    <xdr:sp macro="" textlink="">
      <xdr:nvSpPr>
        <xdr:cNvPr id="260909" name="Line 92">
          <a:extLst>
            <a:ext uri="{FF2B5EF4-FFF2-40B4-BE49-F238E27FC236}">
              <a16:creationId xmlns:a16="http://schemas.microsoft.com/office/drawing/2014/main" id="{00000000-0008-0000-0200-00002DFB0300}"/>
            </a:ext>
          </a:extLst>
        </xdr:cNvPr>
        <xdr:cNvSpPr>
          <a:spLocks noChangeShapeType="1"/>
        </xdr:cNvSpPr>
      </xdr:nvSpPr>
      <xdr:spPr bwMode="auto">
        <a:xfrm flipV="1">
          <a:off x="5334000" y="3000375"/>
          <a:ext cx="95250" cy="142875"/>
        </a:xfrm>
        <a:prstGeom prst="line">
          <a:avLst/>
        </a:prstGeom>
        <a:noFill/>
        <a:ln w="9525">
          <a:solidFill>
            <a:srgbClr val="000000"/>
          </a:solidFill>
          <a:round/>
          <a:headEnd/>
          <a:tailEnd type="stealth" w="sm" len="sm"/>
        </a:ln>
      </xdr:spPr>
    </xdr:sp>
    <xdr:clientData/>
  </xdr:twoCellAnchor>
  <xdr:twoCellAnchor>
    <xdr:from>
      <xdr:col>4</xdr:col>
      <xdr:colOff>533400</xdr:colOff>
      <xdr:row>20</xdr:row>
      <xdr:rowOff>9525</xdr:rowOff>
    </xdr:from>
    <xdr:to>
      <xdr:col>4</xdr:col>
      <xdr:colOff>533400</xdr:colOff>
      <xdr:row>21</xdr:row>
      <xdr:rowOff>123825</xdr:rowOff>
    </xdr:to>
    <xdr:sp macro="" textlink="">
      <xdr:nvSpPr>
        <xdr:cNvPr id="260910" name="Line 93">
          <a:extLst>
            <a:ext uri="{FF2B5EF4-FFF2-40B4-BE49-F238E27FC236}">
              <a16:creationId xmlns:a16="http://schemas.microsoft.com/office/drawing/2014/main" id="{00000000-0008-0000-0200-00002EFB0300}"/>
            </a:ext>
          </a:extLst>
        </xdr:cNvPr>
        <xdr:cNvSpPr>
          <a:spLocks noChangeShapeType="1"/>
        </xdr:cNvSpPr>
      </xdr:nvSpPr>
      <xdr:spPr bwMode="auto">
        <a:xfrm flipH="1">
          <a:off x="4210050" y="3286125"/>
          <a:ext cx="0" cy="276225"/>
        </a:xfrm>
        <a:prstGeom prst="line">
          <a:avLst/>
        </a:prstGeom>
        <a:noFill/>
        <a:ln w="9525">
          <a:solidFill>
            <a:srgbClr val="000000"/>
          </a:solidFill>
          <a:round/>
          <a:headEnd/>
          <a:tailEnd/>
        </a:ln>
      </xdr:spPr>
    </xdr:sp>
    <xdr:clientData/>
  </xdr:twoCellAnchor>
  <xdr:twoCellAnchor>
    <xdr:from>
      <xdr:col>6</xdr:col>
      <xdr:colOff>400050</xdr:colOff>
      <xdr:row>20</xdr:row>
      <xdr:rowOff>9525</xdr:rowOff>
    </xdr:from>
    <xdr:to>
      <xdr:col>6</xdr:col>
      <xdr:colOff>400050</xdr:colOff>
      <xdr:row>25</xdr:row>
      <xdr:rowOff>9525</xdr:rowOff>
    </xdr:to>
    <xdr:sp macro="" textlink="">
      <xdr:nvSpPr>
        <xdr:cNvPr id="260911" name="Line 94">
          <a:extLst>
            <a:ext uri="{FF2B5EF4-FFF2-40B4-BE49-F238E27FC236}">
              <a16:creationId xmlns:a16="http://schemas.microsoft.com/office/drawing/2014/main" id="{00000000-0008-0000-0200-00002FFB0300}"/>
            </a:ext>
          </a:extLst>
        </xdr:cNvPr>
        <xdr:cNvSpPr>
          <a:spLocks noChangeShapeType="1"/>
        </xdr:cNvSpPr>
      </xdr:nvSpPr>
      <xdr:spPr bwMode="auto">
        <a:xfrm>
          <a:off x="5676900" y="3286125"/>
          <a:ext cx="0" cy="809625"/>
        </a:xfrm>
        <a:prstGeom prst="line">
          <a:avLst/>
        </a:prstGeom>
        <a:noFill/>
        <a:ln w="9525">
          <a:solidFill>
            <a:srgbClr val="000000"/>
          </a:solidFill>
          <a:round/>
          <a:headEnd/>
          <a:tailEnd/>
        </a:ln>
      </xdr:spPr>
    </xdr:sp>
    <xdr:clientData/>
  </xdr:twoCellAnchor>
  <xdr:twoCellAnchor>
    <xdr:from>
      <xdr:col>4</xdr:col>
      <xdr:colOff>647700</xdr:colOff>
      <xdr:row>17</xdr:row>
      <xdr:rowOff>9525</xdr:rowOff>
    </xdr:from>
    <xdr:to>
      <xdr:col>5</xdr:col>
      <xdr:colOff>428625</xdr:colOff>
      <xdr:row>19</xdr:row>
      <xdr:rowOff>28575</xdr:rowOff>
    </xdr:to>
    <xdr:sp macro="" textlink="">
      <xdr:nvSpPr>
        <xdr:cNvPr id="260912" name="Line 95">
          <a:extLst>
            <a:ext uri="{FF2B5EF4-FFF2-40B4-BE49-F238E27FC236}">
              <a16:creationId xmlns:a16="http://schemas.microsoft.com/office/drawing/2014/main" id="{00000000-0008-0000-0200-000030FB0300}"/>
            </a:ext>
          </a:extLst>
        </xdr:cNvPr>
        <xdr:cNvSpPr>
          <a:spLocks noChangeShapeType="1"/>
        </xdr:cNvSpPr>
      </xdr:nvSpPr>
      <xdr:spPr bwMode="auto">
        <a:xfrm flipV="1">
          <a:off x="4324350" y="2800350"/>
          <a:ext cx="581025" cy="342900"/>
        </a:xfrm>
        <a:prstGeom prst="line">
          <a:avLst/>
        </a:prstGeom>
        <a:noFill/>
        <a:ln w="9525">
          <a:solidFill>
            <a:srgbClr val="000000"/>
          </a:solidFill>
          <a:round/>
          <a:headEnd/>
          <a:tailEnd/>
        </a:ln>
      </xdr:spPr>
    </xdr:sp>
    <xdr:clientData/>
  </xdr:twoCellAnchor>
  <xdr:twoCellAnchor>
    <xdr:from>
      <xdr:col>5</xdr:col>
      <xdr:colOff>619125</xdr:colOff>
      <xdr:row>17</xdr:row>
      <xdr:rowOff>19050</xdr:rowOff>
    </xdr:from>
    <xdr:to>
      <xdr:col>6</xdr:col>
      <xdr:colOff>400050</xdr:colOff>
      <xdr:row>19</xdr:row>
      <xdr:rowOff>38100</xdr:rowOff>
    </xdr:to>
    <xdr:sp macro="" textlink="">
      <xdr:nvSpPr>
        <xdr:cNvPr id="260913" name="Line 96">
          <a:extLst>
            <a:ext uri="{FF2B5EF4-FFF2-40B4-BE49-F238E27FC236}">
              <a16:creationId xmlns:a16="http://schemas.microsoft.com/office/drawing/2014/main" id="{00000000-0008-0000-0200-000031FB0300}"/>
            </a:ext>
          </a:extLst>
        </xdr:cNvPr>
        <xdr:cNvSpPr>
          <a:spLocks noChangeShapeType="1"/>
        </xdr:cNvSpPr>
      </xdr:nvSpPr>
      <xdr:spPr bwMode="auto">
        <a:xfrm>
          <a:off x="5095875" y="2809875"/>
          <a:ext cx="581025" cy="342900"/>
        </a:xfrm>
        <a:prstGeom prst="line">
          <a:avLst/>
        </a:prstGeom>
        <a:noFill/>
        <a:ln w="9525">
          <a:solidFill>
            <a:srgbClr val="000000"/>
          </a:solidFill>
          <a:round/>
          <a:headEnd/>
          <a:tailEnd/>
        </a:ln>
      </xdr:spPr>
    </xdr:sp>
    <xdr:clientData/>
  </xdr:twoCellAnchor>
  <xdr:twoCellAnchor>
    <xdr:from>
      <xdr:col>4</xdr:col>
      <xdr:colOff>742950</xdr:colOff>
      <xdr:row>6</xdr:row>
      <xdr:rowOff>9525</xdr:rowOff>
    </xdr:from>
    <xdr:to>
      <xdr:col>4</xdr:col>
      <xdr:colOff>742950</xdr:colOff>
      <xdr:row>6</xdr:row>
      <xdr:rowOff>104775</xdr:rowOff>
    </xdr:to>
    <xdr:sp macro="" textlink="">
      <xdr:nvSpPr>
        <xdr:cNvPr id="260914" name="Line 97">
          <a:extLst>
            <a:ext uri="{FF2B5EF4-FFF2-40B4-BE49-F238E27FC236}">
              <a16:creationId xmlns:a16="http://schemas.microsoft.com/office/drawing/2014/main" id="{00000000-0008-0000-0200-000032FB0300}"/>
            </a:ext>
          </a:extLst>
        </xdr:cNvPr>
        <xdr:cNvSpPr>
          <a:spLocks noChangeShapeType="1"/>
        </xdr:cNvSpPr>
      </xdr:nvSpPr>
      <xdr:spPr bwMode="auto">
        <a:xfrm flipV="1">
          <a:off x="4419600" y="1019175"/>
          <a:ext cx="0" cy="95250"/>
        </a:xfrm>
        <a:prstGeom prst="line">
          <a:avLst/>
        </a:prstGeom>
        <a:noFill/>
        <a:ln w="9525">
          <a:solidFill>
            <a:srgbClr val="000000"/>
          </a:solidFill>
          <a:round/>
          <a:headEnd/>
          <a:tailEnd type="stealth" w="sm" len="sm"/>
        </a:ln>
      </xdr:spPr>
    </xdr:sp>
    <xdr:clientData/>
  </xdr:twoCellAnchor>
  <xdr:twoCellAnchor>
    <xdr:from>
      <xdr:col>5</xdr:col>
      <xdr:colOff>104775</xdr:colOff>
      <xdr:row>6</xdr:row>
      <xdr:rowOff>9525</xdr:rowOff>
    </xdr:from>
    <xdr:to>
      <xdr:col>5</xdr:col>
      <xdr:colOff>104775</xdr:colOff>
      <xdr:row>6</xdr:row>
      <xdr:rowOff>104775</xdr:rowOff>
    </xdr:to>
    <xdr:sp macro="" textlink="">
      <xdr:nvSpPr>
        <xdr:cNvPr id="260915" name="Line 98">
          <a:extLst>
            <a:ext uri="{FF2B5EF4-FFF2-40B4-BE49-F238E27FC236}">
              <a16:creationId xmlns:a16="http://schemas.microsoft.com/office/drawing/2014/main" id="{00000000-0008-0000-0200-000033FB0300}"/>
            </a:ext>
          </a:extLst>
        </xdr:cNvPr>
        <xdr:cNvSpPr>
          <a:spLocks noChangeShapeType="1"/>
        </xdr:cNvSpPr>
      </xdr:nvSpPr>
      <xdr:spPr bwMode="auto">
        <a:xfrm flipV="1">
          <a:off x="4581525" y="1019175"/>
          <a:ext cx="0" cy="95250"/>
        </a:xfrm>
        <a:prstGeom prst="line">
          <a:avLst/>
        </a:prstGeom>
        <a:noFill/>
        <a:ln w="9525">
          <a:solidFill>
            <a:srgbClr val="000000"/>
          </a:solidFill>
          <a:round/>
          <a:headEnd/>
          <a:tailEnd type="stealth" w="sm" len="sm"/>
        </a:ln>
      </xdr:spPr>
    </xdr:sp>
    <xdr:clientData/>
  </xdr:twoCellAnchor>
  <xdr:twoCellAnchor>
    <xdr:from>
      <xdr:col>5</xdr:col>
      <xdr:colOff>276225</xdr:colOff>
      <xdr:row>6</xdr:row>
      <xdr:rowOff>9525</xdr:rowOff>
    </xdr:from>
    <xdr:to>
      <xdr:col>5</xdr:col>
      <xdr:colOff>276225</xdr:colOff>
      <xdr:row>6</xdr:row>
      <xdr:rowOff>104775</xdr:rowOff>
    </xdr:to>
    <xdr:sp macro="" textlink="">
      <xdr:nvSpPr>
        <xdr:cNvPr id="260916" name="Line 99">
          <a:extLst>
            <a:ext uri="{FF2B5EF4-FFF2-40B4-BE49-F238E27FC236}">
              <a16:creationId xmlns:a16="http://schemas.microsoft.com/office/drawing/2014/main" id="{00000000-0008-0000-0200-000034FB0300}"/>
            </a:ext>
          </a:extLst>
        </xdr:cNvPr>
        <xdr:cNvSpPr>
          <a:spLocks noChangeShapeType="1"/>
        </xdr:cNvSpPr>
      </xdr:nvSpPr>
      <xdr:spPr bwMode="auto">
        <a:xfrm flipV="1">
          <a:off x="4752975" y="1019175"/>
          <a:ext cx="0" cy="95250"/>
        </a:xfrm>
        <a:prstGeom prst="line">
          <a:avLst/>
        </a:prstGeom>
        <a:noFill/>
        <a:ln w="9525">
          <a:solidFill>
            <a:srgbClr val="000000"/>
          </a:solidFill>
          <a:round/>
          <a:headEnd/>
          <a:tailEnd type="stealth" w="sm" len="sm"/>
        </a:ln>
      </xdr:spPr>
    </xdr:sp>
    <xdr:clientData/>
  </xdr:twoCellAnchor>
  <xdr:twoCellAnchor>
    <xdr:from>
      <xdr:col>6</xdr:col>
      <xdr:colOff>133350</xdr:colOff>
      <xdr:row>6</xdr:row>
      <xdr:rowOff>9525</xdr:rowOff>
    </xdr:from>
    <xdr:to>
      <xdr:col>6</xdr:col>
      <xdr:colOff>133350</xdr:colOff>
      <xdr:row>6</xdr:row>
      <xdr:rowOff>104775</xdr:rowOff>
    </xdr:to>
    <xdr:sp macro="" textlink="">
      <xdr:nvSpPr>
        <xdr:cNvPr id="260917" name="Line 100">
          <a:extLst>
            <a:ext uri="{FF2B5EF4-FFF2-40B4-BE49-F238E27FC236}">
              <a16:creationId xmlns:a16="http://schemas.microsoft.com/office/drawing/2014/main" id="{00000000-0008-0000-0200-000035FB0300}"/>
            </a:ext>
          </a:extLst>
        </xdr:cNvPr>
        <xdr:cNvSpPr>
          <a:spLocks noChangeShapeType="1"/>
        </xdr:cNvSpPr>
      </xdr:nvSpPr>
      <xdr:spPr bwMode="auto">
        <a:xfrm flipV="1">
          <a:off x="5410200" y="1019175"/>
          <a:ext cx="0" cy="95250"/>
        </a:xfrm>
        <a:prstGeom prst="line">
          <a:avLst/>
        </a:prstGeom>
        <a:noFill/>
        <a:ln w="9525">
          <a:solidFill>
            <a:srgbClr val="000000"/>
          </a:solidFill>
          <a:round/>
          <a:headEnd/>
          <a:tailEnd type="stealth" w="sm" len="sm"/>
        </a:ln>
      </xdr:spPr>
    </xdr:sp>
    <xdr:clientData/>
  </xdr:twoCellAnchor>
  <xdr:twoCellAnchor>
    <xdr:from>
      <xdr:col>5</xdr:col>
      <xdr:colOff>428625</xdr:colOff>
      <xdr:row>6</xdr:row>
      <xdr:rowOff>9525</xdr:rowOff>
    </xdr:from>
    <xdr:to>
      <xdr:col>5</xdr:col>
      <xdr:colOff>428625</xdr:colOff>
      <xdr:row>6</xdr:row>
      <xdr:rowOff>104775</xdr:rowOff>
    </xdr:to>
    <xdr:sp macro="" textlink="">
      <xdr:nvSpPr>
        <xdr:cNvPr id="260918" name="Line 101">
          <a:extLst>
            <a:ext uri="{FF2B5EF4-FFF2-40B4-BE49-F238E27FC236}">
              <a16:creationId xmlns:a16="http://schemas.microsoft.com/office/drawing/2014/main" id="{00000000-0008-0000-0200-000036FB0300}"/>
            </a:ext>
          </a:extLst>
        </xdr:cNvPr>
        <xdr:cNvSpPr>
          <a:spLocks noChangeShapeType="1"/>
        </xdr:cNvSpPr>
      </xdr:nvSpPr>
      <xdr:spPr bwMode="auto">
        <a:xfrm flipV="1">
          <a:off x="4905375" y="1019175"/>
          <a:ext cx="0" cy="95250"/>
        </a:xfrm>
        <a:prstGeom prst="line">
          <a:avLst/>
        </a:prstGeom>
        <a:noFill/>
        <a:ln w="9525">
          <a:solidFill>
            <a:srgbClr val="000000"/>
          </a:solidFill>
          <a:round/>
          <a:headEnd/>
          <a:tailEnd type="stealth" w="sm" len="sm"/>
        </a:ln>
      </xdr:spPr>
    </xdr:sp>
    <xdr:clientData/>
  </xdr:twoCellAnchor>
  <xdr:twoCellAnchor>
    <xdr:from>
      <xdr:col>5</xdr:col>
      <xdr:colOff>609600</xdr:colOff>
      <xdr:row>6</xdr:row>
      <xdr:rowOff>9525</xdr:rowOff>
    </xdr:from>
    <xdr:to>
      <xdr:col>5</xdr:col>
      <xdr:colOff>609600</xdr:colOff>
      <xdr:row>6</xdr:row>
      <xdr:rowOff>104775</xdr:rowOff>
    </xdr:to>
    <xdr:sp macro="" textlink="">
      <xdr:nvSpPr>
        <xdr:cNvPr id="260919" name="Line 102">
          <a:extLst>
            <a:ext uri="{FF2B5EF4-FFF2-40B4-BE49-F238E27FC236}">
              <a16:creationId xmlns:a16="http://schemas.microsoft.com/office/drawing/2014/main" id="{00000000-0008-0000-0200-000037FB0300}"/>
            </a:ext>
          </a:extLst>
        </xdr:cNvPr>
        <xdr:cNvSpPr>
          <a:spLocks noChangeShapeType="1"/>
        </xdr:cNvSpPr>
      </xdr:nvSpPr>
      <xdr:spPr bwMode="auto">
        <a:xfrm flipV="1">
          <a:off x="5086350" y="1019175"/>
          <a:ext cx="0" cy="95250"/>
        </a:xfrm>
        <a:prstGeom prst="line">
          <a:avLst/>
        </a:prstGeom>
        <a:noFill/>
        <a:ln w="9525">
          <a:solidFill>
            <a:srgbClr val="000000"/>
          </a:solidFill>
          <a:round/>
          <a:headEnd/>
          <a:tailEnd type="stealth" w="sm" len="sm"/>
        </a:ln>
      </xdr:spPr>
    </xdr:sp>
    <xdr:clientData/>
  </xdr:twoCellAnchor>
  <xdr:twoCellAnchor>
    <xdr:from>
      <xdr:col>5</xdr:col>
      <xdr:colOff>771525</xdr:colOff>
      <xdr:row>6</xdr:row>
      <xdr:rowOff>9525</xdr:rowOff>
    </xdr:from>
    <xdr:to>
      <xdr:col>5</xdr:col>
      <xdr:colOff>771525</xdr:colOff>
      <xdr:row>6</xdr:row>
      <xdr:rowOff>104775</xdr:rowOff>
    </xdr:to>
    <xdr:sp macro="" textlink="">
      <xdr:nvSpPr>
        <xdr:cNvPr id="260920" name="Line 103">
          <a:extLst>
            <a:ext uri="{FF2B5EF4-FFF2-40B4-BE49-F238E27FC236}">
              <a16:creationId xmlns:a16="http://schemas.microsoft.com/office/drawing/2014/main" id="{00000000-0008-0000-0200-000038FB0300}"/>
            </a:ext>
          </a:extLst>
        </xdr:cNvPr>
        <xdr:cNvSpPr>
          <a:spLocks noChangeShapeType="1"/>
        </xdr:cNvSpPr>
      </xdr:nvSpPr>
      <xdr:spPr bwMode="auto">
        <a:xfrm flipV="1">
          <a:off x="5248275" y="1019175"/>
          <a:ext cx="0" cy="95250"/>
        </a:xfrm>
        <a:prstGeom prst="line">
          <a:avLst/>
        </a:prstGeom>
        <a:noFill/>
        <a:ln w="9525">
          <a:solidFill>
            <a:srgbClr val="000000"/>
          </a:solidFill>
          <a:round/>
          <a:headEnd/>
          <a:tailEnd type="stealth" w="sm" len="sm"/>
        </a:ln>
      </xdr:spPr>
    </xdr:sp>
    <xdr:clientData/>
  </xdr:twoCellAnchor>
  <xdr:twoCellAnchor>
    <xdr:from>
      <xdr:col>6</xdr:col>
      <xdr:colOff>304800</xdr:colOff>
      <xdr:row>6</xdr:row>
      <xdr:rowOff>9525</xdr:rowOff>
    </xdr:from>
    <xdr:to>
      <xdr:col>6</xdr:col>
      <xdr:colOff>304800</xdr:colOff>
      <xdr:row>6</xdr:row>
      <xdr:rowOff>104775</xdr:rowOff>
    </xdr:to>
    <xdr:sp macro="" textlink="">
      <xdr:nvSpPr>
        <xdr:cNvPr id="260921" name="Line 104">
          <a:extLst>
            <a:ext uri="{FF2B5EF4-FFF2-40B4-BE49-F238E27FC236}">
              <a16:creationId xmlns:a16="http://schemas.microsoft.com/office/drawing/2014/main" id="{00000000-0008-0000-0200-000039FB0300}"/>
            </a:ext>
          </a:extLst>
        </xdr:cNvPr>
        <xdr:cNvSpPr>
          <a:spLocks noChangeShapeType="1"/>
        </xdr:cNvSpPr>
      </xdr:nvSpPr>
      <xdr:spPr bwMode="auto">
        <a:xfrm flipV="1">
          <a:off x="5581650" y="1019175"/>
          <a:ext cx="0" cy="95250"/>
        </a:xfrm>
        <a:prstGeom prst="line">
          <a:avLst/>
        </a:prstGeom>
        <a:noFill/>
        <a:ln w="9525">
          <a:solidFill>
            <a:srgbClr val="000000"/>
          </a:solidFill>
          <a:round/>
          <a:headEnd/>
          <a:tailEnd type="stealth" w="sm" len="sm"/>
        </a:ln>
      </xdr:spPr>
    </xdr:sp>
    <xdr:clientData/>
  </xdr:twoCellAnchor>
  <xdr:twoCellAnchor>
    <xdr:from>
      <xdr:col>4</xdr:col>
      <xdr:colOff>742950</xdr:colOff>
      <xdr:row>6</xdr:row>
      <xdr:rowOff>9525</xdr:rowOff>
    </xdr:from>
    <xdr:to>
      <xdr:col>6</xdr:col>
      <xdr:colOff>304800</xdr:colOff>
      <xdr:row>6</xdr:row>
      <xdr:rowOff>9525</xdr:rowOff>
    </xdr:to>
    <xdr:sp macro="" textlink="">
      <xdr:nvSpPr>
        <xdr:cNvPr id="260922" name="Line 105">
          <a:extLst>
            <a:ext uri="{FF2B5EF4-FFF2-40B4-BE49-F238E27FC236}">
              <a16:creationId xmlns:a16="http://schemas.microsoft.com/office/drawing/2014/main" id="{00000000-0008-0000-0200-00003AFB0300}"/>
            </a:ext>
          </a:extLst>
        </xdr:cNvPr>
        <xdr:cNvSpPr>
          <a:spLocks noChangeShapeType="1"/>
        </xdr:cNvSpPr>
      </xdr:nvSpPr>
      <xdr:spPr bwMode="auto">
        <a:xfrm>
          <a:off x="4419600" y="1019175"/>
          <a:ext cx="1162050" cy="0"/>
        </a:xfrm>
        <a:prstGeom prst="line">
          <a:avLst/>
        </a:prstGeom>
        <a:noFill/>
        <a:ln w="9525">
          <a:solidFill>
            <a:srgbClr val="000000"/>
          </a:solidFill>
          <a:round/>
          <a:headEnd/>
          <a:tailEnd/>
        </a:ln>
      </xdr:spPr>
    </xdr:sp>
    <xdr:clientData/>
  </xdr:twoCellAnchor>
  <xdr:twoCellAnchor>
    <xdr:from>
      <xdr:col>4</xdr:col>
      <xdr:colOff>742950</xdr:colOff>
      <xdr:row>13</xdr:row>
      <xdr:rowOff>114300</xdr:rowOff>
    </xdr:from>
    <xdr:to>
      <xdr:col>4</xdr:col>
      <xdr:colOff>742950</xdr:colOff>
      <xdr:row>14</xdr:row>
      <xdr:rowOff>47625</xdr:rowOff>
    </xdr:to>
    <xdr:sp macro="" textlink="">
      <xdr:nvSpPr>
        <xdr:cNvPr id="260923" name="Line 106">
          <a:extLst>
            <a:ext uri="{FF2B5EF4-FFF2-40B4-BE49-F238E27FC236}">
              <a16:creationId xmlns:a16="http://schemas.microsoft.com/office/drawing/2014/main" id="{00000000-0008-0000-0200-00003BFB0300}"/>
            </a:ext>
          </a:extLst>
        </xdr:cNvPr>
        <xdr:cNvSpPr>
          <a:spLocks noChangeShapeType="1"/>
        </xdr:cNvSpPr>
      </xdr:nvSpPr>
      <xdr:spPr bwMode="auto">
        <a:xfrm flipV="1">
          <a:off x="4419600"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276225</xdr:colOff>
      <xdr:row>13</xdr:row>
      <xdr:rowOff>114300</xdr:rowOff>
    </xdr:from>
    <xdr:to>
      <xdr:col>5</xdr:col>
      <xdr:colOff>276225</xdr:colOff>
      <xdr:row>14</xdr:row>
      <xdr:rowOff>47625</xdr:rowOff>
    </xdr:to>
    <xdr:sp macro="" textlink="">
      <xdr:nvSpPr>
        <xdr:cNvPr id="260924" name="Line 107">
          <a:extLst>
            <a:ext uri="{FF2B5EF4-FFF2-40B4-BE49-F238E27FC236}">
              <a16:creationId xmlns:a16="http://schemas.microsoft.com/office/drawing/2014/main" id="{00000000-0008-0000-0200-00003CFB0300}"/>
            </a:ext>
          </a:extLst>
        </xdr:cNvPr>
        <xdr:cNvSpPr>
          <a:spLocks noChangeShapeType="1"/>
        </xdr:cNvSpPr>
      </xdr:nvSpPr>
      <xdr:spPr bwMode="auto">
        <a:xfrm flipV="1">
          <a:off x="4752975"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428625</xdr:colOff>
      <xdr:row>13</xdr:row>
      <xdr:rowOff>114300</xdr:rowOff>
    </xdr:from>
    <xdr:to>
      <xdr:col>5</xdr:col>
      <xdr:colOff>428625</xdr:colOff>
      <xdr:row>14</xdr:row>
      <xdr:rowOff>47625</xdr:rowOff>
    </xdr:to>
    <xdr:sp macro="" textlink="">
      <xdr:nvSpPr>
        <xdr:cNvPr id="260925" name="Line 108">
          <a:extLst>
            <a:ext uri="{FF2B5EF4-FFF2-40B4-BE49-F238E27FC236}">
              <a16:creationId xmlns:a16="http://schemas.microsoft.com/office/drawing/2014/main" id="{00000000-0008-0000-0200-00003DFB0300}"/>
            </a:ext>
          </a:extLst>
        </xdr:cNvPr>
        <xdr:cNvSpPr>
          <a:spLocks noChangeShapeType="1"/>
        </xdr:cNvSpPr>
      </xdr:nvSpPr>
      <xdr:spPr bwMode="auto">
        <a:xfrm flipV="1">
          <a:off x="4905375"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104775</xdr:colOff>
      <xdr:row>13</xdr:row>
      <xdr:rowOff>114300</xdr:rowOff>
    </xdr:from>
    <xdr:to>
      <xdr:col>5</xdr:col>
      <xdr:colOff>104775</xdr:colOff>
      <xdr:row>14</xdr:row>
      <xdr:rowOff>47625</xdr:rowOff>
    </xdr:to>
    <xdr:sp macro="" textlink="">
      <xdr:nvSpPr>
        <xdr:cNvPr id="260926" name="Line 109">
          <a:extLst>
            <a:ext uri="{FF2B5EF4-FFF2-40B4-BE49-F238E27FC236}">
              <a16:creationId xmlns:a16="http://schemas.microsoft.com/office/drawing/2014/main" id="{00000000-0008-0000-0200-00003EFB0300}"/>
            </a:ext>
          </a:extLst>
        </xdr:cNvPr>
        <xdr:cNvSpPr>
          <a:spLocks noChangeShapeType="1"/>
        </xdr:cNvSpPr>
      </xdr:nvSpPr>
      <xdr:spPr bwMode="auto">
        <a:xfrm flipV="1">
          <a:off x="4581525"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609600</xdr:colOff>
      <xdr:row>13</xdr:row>
      <xdr:rowOff>114300</xdr:rowOff>
    </xdr:from>
    <xdr:to>
      <xdr:col>5</xdr:col>
      <xdr:colOff>609600</xdr:colOff>
      <xdr:row>14</xdr:row>
      <xdr:rowOff>47625</xdr:rowOff>
    </xdr:to>
    <xdr:sp macro="" textlink="">
      <xdr:nvSpPr>
        <xdr:cNvPr id="260927" name="Line 110">
          <a:extLst>
            <a:ext uri="{FF2B5EF4-FFF2-40B4-BE49-F238E27FC236}">
              <a16:creationId xmlns:a16="http://schemas.microsoft.com/office/drawing/2014/main" id="{00000000-0008-0000-0200-00003FFB0300}"/>
            </a:ext>
          </a:extLst>
        </xdr:cNvPr>
        <xdr:cNvSpPr>
          <a:spLocks noChangeShapeType="1"/>
        </xdr:cNvSpPr>
      </xdr:nvSpPr>
      <xdr:spPr bwMode="auto">
        <a:xfrm flipV="1">
          <a:off x="5086350" y="2257425"/>
          <a:ext cx="0" cy="95250"/>
        </a:xfrm>
        <a:prstGeom prst="line">
          <a:avLst/>
        </a:prstGeom>
        <a:noFill/>
        <a:ln w="9525">
          <a:solidFill>
            <a:srgbClr val="000000"/>
          </a:solidFill>
          <a:round/>
          <a:headEnd type="stealth" w="sm" len="sm"/>
          <a:tailEnd type="none" w="sm" len="sm"/>
        </a:ln>
      </xdr:spPr>
    </xdr:sp>
    <xdr:clientData/>
  </xdr:twoCellAnchor>
  <xdr:twoCellAnchor>
    <xdr:from>
      <xdr:col>5</xdr:col>
      <xdr:colOff>771525</xdr:colOff>
      <xdr:row>13</xdr:row>
      <xdr:rowOff>114300</xdr:rowOff>
    </xdr:from>
    <xdr:to>
      <xdr:col>5</xdr:col>
      <xdr:colOff>771525</xdr:colOff>
      <xdr:row>14</xdr:row>
      <xdr:rowOff>47625</xdr:rowOff>
    </xdr:to>
    <xdr:sp macro="" textlink="">
      <xdr:nvSpPr>
        <xdr:cNvPr id="260928" name="Line 111">
          <a:extLst>
            <a:ext uri="{FF2B5EF4-FFF2-40B4-BE49-F238E27FC236}">
              <a16:creationId xmlns:a16="http://schemas.microsoft.com/office/drawing/2014/main" id="{00000000-0008-0000-0200-000040FB0300}"/>
            </a:ext>
          </a:extLst>
        </xdr:cNvPr>
        <xdr:cNvSpPr>
          <a:spLocks noChangeShapeType="1"/>
        </xdr:cNvSpPr>
      </xdr:nvSpPr>
      <xdr:spPr bwMode="auto">
        <a:xfrm flipV="1">
          <a:off x="5248275"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133350</xdr:colOff>
      <xdr:row>13</xdr:row>
      <xdr:rowOff>114300</xdr:rowOff>
    </xdr:from>
    <xdr:to>
      <xdr:col>6</xdr:col>
      <xdr:colOff>133350</xdr:colOff>
      <xdr:row>14</xdr:row>
      <xdr:rowOff>47625</xdr:rowOff>
    </xdr:to>
    <xdr:sp macro="" textlink="">
      <xdr:nvSpPr>
        <xdr:cNvPr id="260929" name="Line 112">
          <a:extLst>
            <a:ext uri="{FF2B5EF4-FFF2-40B4-BE49-F238E27FC236}">
              <a16:creationId xmlns:a16="http://schemas.microsoft.com/office/drawing/2014/main" id="{00000000-0008-0000-0200-000041FB0300}"/>
            </a:ext>
          </a:extLst>
        </xdr:cNvPr>
        <xdr:cNvSpPr>
          <a:spLocks noChangeShapeType="1"/>
        </xdr:cNvSpPr>
      </xdr:nvSpPr>
      <xdr:spPr bwMode="auto">
        <a:xfrm flipV="1">
          <a:off x="5410200" y="2257425"/>
          <a:ext cx="0" cy="95250"/>
        </a:xfrm>
        <a:prstGeom prst="line">
          <a:avLst/>
        </a:prstGeom>
        <a:noFill/>
        <a:ln w="9525">
          <a:solidFill>
            <a:srgbClr val="000000"/>
          </a:solidFill>
          <a:round/>
          <a:headEnd type="stealth" w="sm" len="sm"/>
          <a:tailEnd type="none" w="sm" len="sm"/>
        </a:ln>
      </xdr:spPr>
    </xdr:sp>
    <xdr:clientData/>
  </xdr:twoCellAnchor>
  <xdr:twoCellAnchor>
    <xdr:from>
      <xdr:col>6</xdr:col>
      <xdr:colOff>304800</xdr:colOff>
      <xdr:row>13</xdr:row>
      <xdr:rowOff>114300</xdr:rowOff>
    </xdr:from>
    <xdr:to>
      <xdr:col>6</xdr:col>
      <xdr:colOff>304800</xdr:colOff>
      <xdr:row>14</xdr:row>
      <xdr:rowOff>47625</xdr:rowOff>
    </xdr:to>
    <xdr:sp macro="" textlink="">
      <xdr:nvSpPr>
        <xdr:cNvPr id="260930" name="Line 113">
          <a:extLst>
            <a:ext uri="{FF2B5EF4-FFF2-40B4-BE49-F238E27FC236}">
              <a16:creationId xmlns:a16="http://schemas.microsoft.com/office/drawing/2014/main" id="{00000000-0008-0000-0200-000042FB0300}"/>
            </a:ext>
          </a:extLst>
        </xdr:cNvPr>
        <xdr:cNvSpPr>
          <a:spLocks noChangeShapeType="1"/>
        </xdr:cNvSpPr>
      </xdr:nvSpPr>
      <xdr:spPr bwMode="auto">
        <a:xfrm flipV="1">
          <a:off x="5581650" y="2257425"/>
          <a:ext cx="0" cy="95250"/>
        </a:xfrm>
        <a:prstGeom prst="line">
          <a:avLst/>
        </a:prstGeom>
        <a:noFill/>
        <a:ln w="9525">
          <a:solidFill>
            <a:srgbClr val="000000"/>
          </a:solidFill>
          <a:round/>
          <a:headEnd type="stealth" w="sm" len="sm"/>
          <a:tailEnd type="none" w="sm" len="sm"/>
        </a:ln>
      </xdr:spPr>
    </xdr:sp>
    <xdr:clientData/>
  </xdr:twoCellAnchor>
  <xdr:twoCellAnchor>
    <xdr:from>
      <xdr:col>4</xdr:col>
      <xdr:colOff>742950</xdr:colOff>
      <xdr:row>14</xdr:row>
      <xdr:rowOff>47625</xdr:rowOff>
    </xdr:from>
    <xdr:to>
      <xdr:col>6</xdr:col>
      <xdr:colOff>304800</xdr:colOff>
      <xdr:row>14</xdr:row>
      <xdr:rowOff>47625</xdr:rowOff>
    </xdr:to>
    <xdr:sp macro="" textlink="">
      <xdr:nvSpPr>
        <xdr:cNvPr id="260931" name="Line 114">
          <a:extLst>
            <a:ext uri="{FF2B5EF4-FFF2-40B4-BE49-F238E27FC236}">
              <a16:creationId xmlns:a16="http://schemas.microsoft.com/office/drawing/2014/main" id="{00000000-0008-0000-0200-000043FB0300}"/>
            </a:ext>
          </a:extLst>
        </xdr:cNvPr>
        <xdr:cNvSpPr>
          <a:spLocks noChangeShapeType="1"/>
        </xdr:cNvSpPr>
      </xdr:nvSpPr>
      <xdr:spPr bwMode="auto">
        <a:xfrm>
          <a:off x="4419600" y="2352675"/>
          <a:ext cx="1162050" cy="0"/>
        </a:xfrm>
        <a:prstGeom prst="line">
          <a:avLst/>
        </a:prstGeom>
        <a:noFill/>
        <a:ln w="9525">
          <a:solidFill>
            <a:srgbClr val="000000"/>
          </a:solidFill>
          <a:round/>
          <a:headEnd/>
          <a:tailEnd/>
        </a:ln>
      </xdr:spPr>
    </xdr:sp>
    <xdr:clientData/>
  </xdr:twoCellAnchor>
  <xdr:twoCellAnchor>
    <xdr:from>
      <xdr:col>4</xdr:col>
      <xdr:colOff>581025</xdr:colOff>
      <xdr:row>13</xdr:row>
      <xdr:rowOff>114300</xdr:rowOff>
    </xdr:from>
    <xdr:to>
      <xdr:col>4</xdr:col>
      <xdr:colOff>742950</xdr:colOff>
      <xdr:row>13</xdr:row>
      <xdr:rowOff>114300</xdr:rowOff>
    </xdr:to>
    <xdr:sp macro="" textlink="">
      <xdr:nvSpPr>
        <xdr:cNvPr id="260932" name="Line 115">
          <a:extLst>
            <a:ext uri="{FF2B5EF4-FFF2-40B4-BE49-F238E27FC236}">
              <a16:creationId xmlns:a16="http://schemas.microsoft.com/office/drawing/2014/main" id="{00000000-0008-0000-0200-000044FB0300}"/>
            </a:ext>
          </a:extLst>
        </xdr:cNvPr>
        <xdr:cNvSpPr>
          <a:spLocks noChangeShapeType="1"/>
        </xdr:cNvSpPr>
      </xdr:nvSpPr>
      <xdr:spPr bwMode="auto">
        <a:xfrm>
          <a:off x="4257675" y="2257425"/>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12</xdr:row>
      <xdr:rowOff>114300</xdr:rowOff>
    </xdr:from>
    <xdr:to>
      <xdr:col>4</xdr:col>
      <xdr:colOff>742950</xdr:colOff>
      <xdr:row>12</xdr:row>
      <xdr:rowOff>114300</xdr:rowOff>
    </xdr:to>
    <xdr:sp macro="" textlink="">
      <xdr:nvSpPr>
        <xdr:cNvPr id="260933" name="Line 116">
          <a:extLst>
            <a:ext uri="{FF2B5EF4-FFF2-40B4-BE49-F238E27FC236}">
              <a16:creationId xmlns:a16="http://schemas.microsoft.com/office/drawing/2014/main" id="{00000000-0008-0000-0200-000045FB0300}"/>
            </a:ext>
          </a:extLst>
        </xdr:cNvPr>
        <xdr:cNvSpPr>
          <a:spLocks noChangeShapeType="1"/>
        </xdr:cNvSpPr>
      </xdr:nvSpPr>
      <xdr:spPr bwMode="auto">
        <a:xfrm>
          <a:off x="4257675" y="2095500"/>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11</xdr:row>
      <xdr:rowOff>114300</xdr:rowOff>
    </xdr:from>
    <xdr:to>
      <xdr:col>4</xdr:col>
      <xdr:colOff>742950</xdr:colOff>
      <xdr:row>11</xdr:row>
      <xdr:rowOff>114300</xdr:rowOff>
    </xdr:to>
    <xdr:sp macro="" textlink="">
      <xdr:nvSpPr>
        <xdr:cNvPr id="260934" name="Line 117">
          <a:extLst>
            <a:ext uri="{FF2B5EF4-FFF2-40B4-BE49-F238E27FC236}">
              <a16:creationId xmlns:a16="http://schemas.microsoft.com/office/drawing/2014/main" id="{00000000-0008-0000-0200-000046FB0300}"/>
            </a:ext>
          </a:extLst>
        </xdr:cNvPr>
        <xdr:cNvSpPr>
          <a:spLocks noChangeShapeType="1"/>
        </xdr:cNvSpPr>
      </xdr:nvSpPr>
      <xdr:spPr bwMode="auto">
        <a:xfrm>
          <a:off x="4257675" y="1933575"/>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6</xdr:row>
      <xdr:rowOff>104775</xdr:rowOff>
    </xdr:from>
    <xdr:to>
      <xdr:col>4</xdr:col>
      <xdr:colOff>742950</xdr:colOff>
      <xdr:row>6</xdr:row>
      <xdr:rowOff>104775</xdr:rowOff>
    </xdr:to>
    <xdr:sp macro="" textlink="">
      <xdr:nvSpPr>
        <xdr:cNvPr id="260935" name="Line 118">
          <a:extLst>
            <a:ext uri="{FF2B5EF4-FFF2-40B4-BE49-F238E27FC236}">
              <a16:creationId xmlns:a16="http://schemas.microsoft.com/office/drawing/2014/main" id="{00000000-0008-0000-0200-000047FB0300}"/>
            </a:ext>
          </a:extLst>
        </xdr:cNvPr>
        <xdr:cNvSpPr>
          <a:spLocks noChangeShapeType="1"/>
        </xdr:cNvSpPr>
      </xdr:nvSpPr>
      <xdr:spPr bwMode="auto">
        <a:xfrm>
          <a:off x="4257675" y="1114425"/>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7</xdr:row>
      <xdr:rowOff>104775</xdr:rowOff>
    </xdr:from>
    <xdr:to>
      <xdr:col>4</xdr:col>
      <xdr:colOff>742950</xdr:colOff>
      <xdr:row>7</xdr:row>
      <xdr:rowOff>104775</xdr:rowOff>
    </xdr:to>
    <xdr:sp macro="" textlink="">
      <xdr:nvSpPr>
        <xdr:cNvPr id="260936" name="Line 119">
          <a:extLst>
            <a:ext uri="{FF2B5EF4-FFF2-40B4-BE49-F238E27FC236}">
              <a16:creationId xmlns:a16="http://schemas.microsoft.com/office/drawing/2014/main" id="{00000000-0008-0000-0200-000048FB0300}"/>
            </a:ext>
          </a:extLst>
        </xdr:cNvPr>
        <xdr:cNvSpPr>
          <a:spLocks noChangeShapeType="1"/>
        </xdr:cNvSpPr>
      </xdr:nvSpPr>
      <xdr:spPr bwMode="auto">
        <a:xfrm>
          <a:off x="4257675" y="1276350"/>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8</xdr:row>
      <xdr:rowOff>104775</xdr:rowOff>
    </xdr:from>
    <xdr:to>
      <xdr:col>4</xdr:col>
      <xdr:colOff>742950</xdr:colOff>
      <xdr:row>8</xdr:row>
      <xdr:rowOff>104775</xdr:rowOff>
    </xdr:to>
    <xdr:sp macro="" textlink="">
      <xdr:nvSpPr>
        <xdr:cNvPr id="260937" name="Line 120">
          <a:extLst>
            <a:ext uri="{FF2B5EF4-FFF2-40B4-BE49-F238E27FC236}">
              <a16:creationId xmlns:a16="http://schemas.microsoft.com/office/drawing/2014/main" id="{00000000-0008-0000-0200-000049FB0300}"/>
            </a:ext>
          </a:extLst>
        </xdr:cNvPr>
        <xdr:cNvSpPr>
          <a:spLocks noChangeShapeType="1"/>
        </xdr:cNvSpPr>
      </xdr:nvSpPr>
      <xdr:spPr bwMode="auto">
        <a:xfrm>
          <a:off x="4257675" y="1438275"/>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9</xdr:row>
      <xdr:rowOff>104775</xdr:rowOff>
    </xdr:from>
    <xdr:to>
      <xdr:col>4</xdr:col>
      <xdr:colOff>742950</xdr:colOff>
      <xdr:row>9</xdr:row>
      <xdr:rowOff>104775</xdr:rowOff>
    </xdr:to>
    <xdr:sp macro="" textlink="">
      <xdr:nvSpPr>
        <xdr:cNvPr id="260938" name="Line 121">
          <a:extLst>
            <a:ext uri="{FF2B5EF4-FFF2-40B4-BE49-F238E27FC236}">
              <a16:creationId xmlns:a16="http://schemas.microsoft.com/office/drawing/2014/main" id="{00000000-0008-0000-0200-00004AFB0300}"/>
            </a:ext>
          </a:extLst>
        </xdr:cNvPr>
        <xdr:cNvSpPr>
          <a:spLocks noChangeShapeType="1"/>
        </xdr:cNvSpPr>
      </xdr:nvSpPr>
      <xdr:spPr bwMode="auto">
        <a:xfrm>
          <a:off x="4257675" y="1600200"/>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10</xdr:row>
      <xdr:rowOff>104775</xdr:rowOff>
    </xdr:from>
    <xdr:to>
      <xdr:col>4</xdr:col>
      <xdr:colOff>742950</xdr:colOff>
      <xdr:row>10</xdr:row>
      <xdr:rowOff>104775</xdr:rowOff>
    </xdr:to>
    <xdr:sp macro="" textlink="">
      <xdr:nvSpPr>
        <xdr:cNvPr id="260939" name="Line 122">
          <a:extLst>
            <a:ext uri="{FF2B5EF4-FFF2-40B4-BE49-F238E27FC236}">
              <a16:creationId xmlns:a16="http://schemas.microsoft.com/office/drawing/2014/main" id="{00000000-0008-0000-0200-00004BFB0300}"/>
            </a:ext>
          </a:extLst>
        </xdr:cNvPr>
        <xdr:cNvSpPr>
          <a:spLocks noChangeShapeType="1"/>
        </xdr:cNvSpPr>
      </xdr:nvSpPr>
      <xdr:spPr bwMode="auto">
        <a:xfrm>
          <a:off x="4257675" y="1762125"/>
          <a:ext cx="161925" cy="0"/>
        </a:xfrm>
        <a:prstGeom prst="line">
          <a:avLst/>
        </a:prstGeom>
        <a:noFill/>
        <a:ln w="9525">
          <a:solidFill>
            <a:srgbClr val="000000"/>
          </a:solidFill>
          <a:round/>
          <a:headEnd/>
          <a:tailEnd type="stealth" w="sm" len="sm"/>
        </a:ln>
      </xdr:spPr>
    </xdr:sp>
    <xdr:clientData/>
  </xdr:twoCellAnchor>
  <xdr:twoCellAnchor>
    <xdr:from>
      <xdr:col>4</xdr:col>
      <xdr:colOff>581025</xdr:colOff>
      <xdr:row>6</xdr:row>
      <xdr:rowOff>104775</xdr:rowOff>
    </xdr:from>
    <xdr:to>
      <xdr:col>4</xdr:col>
      <xdr:colOff>581025</xdr:colOff>
      <xdr:row>13</xdr:row>
      <xdr:rowOff>114300</xdr:rowOff>
    </xdr:to>
    <xdr:sp macro="" textlink="">
      <xdr:nvSpPr>
        <xdr:cNvPr id="260940" name="Line 123">
          <a:extLst>
            <a:ext uri="{FF2B5EF4-FFF2-40B4-BE49-F238E27FC236}">
              <a16:creationId xmlns:a16="http://schemas.microsoft.com/office/drawing/2014/main" id="{00000000-0008-0000-0200-00004CFB0300}"/>
            </a:ext>
          </a:extLst>
        </xdr:cNvPr>
        <xdr:cNvSpPr>
          <a:spLocks noChangeShapeType="1"/>
        </xdr:cNvSpPr>
      </xdr:nvSpPr>
      <xdr:spPr bwMode="auto">
        <a:xfrm>
          <a:off x="4257675" y="1114425"/>
          <a:ext cx="0" cy="1143000"/>
        </a:xfrm>
        <a:prstGeom prst="line">
          <a:avLst/>
        </a:prstGeom>
        <a:noFill/>
        <a:ln w="9525">
          <a:solidFill>
            <a:srgbClr val="000000"/>
          </a:solidFill>
          <a:round/>
          <a:headEnd/>
          <a:tailEnd/>
        </a:ln>
      </xdr:spPr>
    </xdr:sp>
    <xdr:clientData/>
  </xdr:twoCellAnchor>
  <xdr:twoCellAnchor>
    <xdr:from>
      <xdr:col>6</xdr:col>
      <xdr:colOff>304800</xdr:colOff>
      <xdr:row>6</xdr:row>
      <xdr:rowOff>104775</xdr:rowOff>
    </xdr:from>
    <xdr:to>
      <xdr:col>6</xdr:col>
      <xdr:colOff>400050</xdr:colOff>
      <xdr:row>6</xdr:row>
      <xdr:rowOff>104775</xdr:rowOff>
    </xdr:to>
    <xdr:sp macro="" textlink="">
      <xdr:nvSpPr>
        <xdr:cNvPr id="260941" name="Line 124">
          <a:extLst>
            <a:ext uri="{FF2B5EF4-FFF2-40B4-BE49-F238E27FC236}">
              <a16:creationId xmlns:a16="http://schemas.microsoft.com/office/drawing/2014/main" id="{00000000-0008-0000-0200-00004DFB0300}"/>
            </a:ext>
          </a:extLst>
        </xdr:cNvPr>
        <xdr:cNvSpPr>
          <a:spLocks noChangeShapeType="1"/>
        </xdr:cNvSpPr>
      </xdr:nvSpPr>
      <xdr:spPr bwMode="auto">
        <a:xfrm>
          <a:off x="5581650" y="1114425"/>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7</xdr:row>
      <xdr:rowOff>104775</xdr:rowOff>
    </xdr:from>
    <xdr:to>
      <xdr:col>6</xdr:col>
      <xdr:colOff>400050</xdr:colOff>
      <xdr:row>7</xdr:row>
      <xdr:rowOff>104775</xdr:rowOff>
    </xdr:to>
    <xdr:sp macro="" textlink="">
      <xdr:nvSpPr>
        <xdr:cNvPr id="260942" name="Line 125">
          <a:extLst>
            <a:ext uri="{FF2B5EF4-FFF2-40B4-BE49-F238E27FC236}">
              <a16:creationId xmlns:a16="http://schemas.microsoft.com/office/drawing/2014/main" id="{00000000-0008-0000-0200-00004EFB0300}"/>
            </a:ext>
          </a:extLst>
        </xdr:cNvPr>
        <xdr:cNvSpPr>
          <a:spLocks noChangeShapeType="1"/>
        </xdr:cNvSpPr>
      </xdr:nvSpPr>
      <xdr:spPr bwMode="auto">
        <a:xfrm>
          <a:off x="5581650" y="127635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8</xdr:row>
      <xdr:rowOff>104775</xdr:rowOff>
    </xdr:from>
    <xdr:to>
      <xdr:col>6</xdr:col>
      <xdr:colOff>400050</xdr:colOff>
      <xdr:row>8</xdr:row>
      <xdr:rowOff>104775</xdr:rowOff>
    </xdr:to>
    <xdr:sp macro="" textlink="">
      <xdr:nvSpPr>
        <xdr:cNvPr id="260943" name="Line 126">
          <a:extLst>
            <a:ext uri="{FF2B5EF4-FFF2-40B4-BE49-F238E27FC236}">
              <a16:creationId xmlns:a16="http://schemas.microsoft.com/office/drawing/2014/main" id="{00000000-0008-0000-0200-00004FFB0300}"/>
            </a:ext>
          </a:extLst>
        </xdr:cNvPr>
        <xdr:cNvSpPr>
          <a:spLocks noChangeShapeType="1"/>
        </xdr:cNvSpPr>
      </xdr:nvSpPr>
      <xdr:spPr bwMode="auto">
        <a:xfrm>
          <a:off x="5581650" y="1438275"/>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9</xdr:row>
      <xdr:rowOff>104775</xdr:rowOff>
    </xdr:from>
    <xdr:to>
      <xdr:col>6</xdr:col>
      <xdr:colOff>400050</xdr:colOff>
      <xdr:row>9</xdr:row>
      <xdr:rowOff>104775</xdr:rowOff>
    </xdr:to>
    <xdr:sp macro="" textlink="">
      <xdr:nvSpPr>
        <xdr:cNvPr id="260944" name="Line 127">
          <a:extLst>
            <a:ext uri="{FF2B5EF4-FFF2-40B4-BE49-F238E27FC236}">
              <a16:creationId xmlns:a16="http://schemas.microsoft.com/office/drawing/2014/main" id="{00000000-0008-0000-0200-000050FB0300}"/>
            </a:ext>
          </a:extLst>
        </xdr:cNvPr>
        <xdr:cNvSpPr>
          <a:spLocks noChangeShapeType="1"/>
        </xdr:cNvSpPr>
      </xdr:nvSpPr>
      <xdr:spPr bwMode="auto">
        <a:xfrm>
          <a:off x="5581650" y="160020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10</xdr:row>
      <xdr:rowOff>104775</xdr:rowOff>
    </xdr:from>
    <xdr:to>
      <xdr:col>6</xdr:col>
      <xdr:colOff>400050</xdr:colOff>
      <xdr:row>10</xdr:row>
      <xdr:rowOff>104775</xdr:rowOff>
    </xdr:to>
    <xdr:sp macro="" textlink="">
      <xdr:nvSpPr>
        <xdr:cNvPr id="260945" name="Line 128">
          <a:extLst>
            <a:ext uri="{FF2B5EF4-FFF2-40B4-BE49-F238E27FC236}">
              <a16:creationId xmlns:a16="http://schemas.microsoft.com/office/drawing/2014/main" id="{00000000-0008-0000-0200-000051FB0300}"/>
            </a:ext>
          </a:extLst>
        </xdr:cNvPr>
        <xdr:cNvSpPr>
          <a:spLocks noChangeShapeType="1"/>
        </xdr:cNvSpPr>
      </xdr:nvSpPr>
      <xdr:spPr bwMode="auto">
        <a:xfrm>
          <a:off x="5581650" y="1762125"/>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11</xdr:row>
      <xdr:rowOff>114300</xdr:rowOff>
    </xdr:from>
    <xdr:to>
      <xdr:col>6</xdr:col>
      <xdr:colOff>400050</xdr:colOff>
      <xdr:row>11</xdr:row>
      <xdr:rowOff>114300</xdr:rowOff>
    </xdr:to>
    <xdr:sp macro="" textlink="">
      <xdr:nvSpPr>
        <xdr:cNvPr id="260946" name="Line 129">
          <a:extLst>
            <a:ext uri="{FF2B5EF4-FFF2-40B4-BE49-F238E27FC236}">
              <a16:creationId xmlns:a16="http://schemas.microsoft.com/office/drawing/2014/main" id="{00000000-0008-0000-0200-000052FB0300}"/>
            </a:ext>
          </a:extLst>
        </xdr:cNvPr>
        <xdr:cNvSpPr>
          <a:spLocks noChangeShapeType="1"/>
        </xdr:cNvSpPr>
      </xdr:nvSpPr>
      <xdr:spPr bwMode="auto">
        <a:xfrm>
          <a:off x="5581650" y="1933575"/>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12</xdr:row>
      <xdr:rowOff>114300</xdr:rowOff>
    </xdr:from>
    <xdr:to>
      <xdr:col>6</xdr:col>
      <xdr:colOff>400050</xdr:colOff>
      <xdr:row>12</xdr:row>
      <xdr:rowOff>114300</xdr:rowOff>
    </xdr:to>
    <xdr:sp macro="" textlink="">
      <xdr:nvSpPr>
        <xdr:cNvPr id="260947" name="Line 130">
          <a:extLst>
            <a:ext uri="{FF2B5EF4-FFF2-40B4-BE49-F238E27FC236}">
              <a16:creationId xmlns:a16="http://schemas.microsoft.com/office/drawing/2014/main" id="{00000000-0008-0000-0200-000053FB0300}"/>
            </a:ext>
          </a:extLst>
        </xdr:cNvPr>
        <xdr:cNvSpPr>
          <a:spLocks noChangeShapeType="1"/>
        </xdr:cNvSpPr>
      </xdr:nvSpPr>
      <xdr:spPr bwMode="auto">
        <a:xfrm>
          <a:off x="5581650" y="209550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13</xdr:row>
      <xdr:rowOff>114300</xdr:rowOff>
    </xdr:from>
    <xdr:to>
      <xdr:col>6</xdr:col>
      <xdr:colOff>400050</xdr:colOff>
      <xdr:row>13</xdr:row>
      <xdr:rowOff>114300</xdr:rowOff>
    </xdr:to>
    <xdr:sp macro="" textlink="">
      <xdr:nvSpPr>
        <xdr:cNvPr id="260948" name="Line 131">
          <a:extLst>
            <a:ext uri="{FF2B5EF4-FFF2-40B4-BE49-F238E27FC236}">
              <a16:creationId xmlns:a16="http://schemas.microsoft.com/office/drawing/2014/main" id="{00000000-0008-0000-0200-000054FB0300}"/>
            </a:ext>
          </a:extLst>
        </xdr:cNvPr>
        <xdr:cNvSpPr>
          <a:spLocks noChangeShapeType="1"/>
        </xdr:cNvSpPr>
      </xdr:nvSpPr>
      <xdr:spPr bwMode="auto">
        <a:xfrm>
          <a:off x="5581650" y="2257425"/>
          <a:ext cx="95250" cy="0"/>
        </a:xfrm>
        <a:prstGeom prst="line">
          <a:avLst/>
        </a:prstGeom>
        <a:noFill/>
        <a:ln w="9525">
          <a:solidFill>
            <a:srgbClr val="000000"/>
          </a:solidFill>
          <a:round/>
          <a:headEnd/>
          <a:tailEnd type="stealth" w="sm" len="sm"/>
        </a:ln>
      </xdr:spPr>
    </xdr:sp>
    <xdr:clientData/>
  </xdr:twoCellAnchor>
  <xdr:twoCellAnchor>
    <xdr:from>
      <xdr:col>6</xdr:col>
      <xdr:colOff>400050</xdr:colOff>
      <xdr:row>6</xdr:row>
      <xdr:rowOff>104775</xdr:rowOff>
    </xdr:from>
    <xdr:to>
      <xdr:col>6</xdr:col>
      <xdr:colOff>400050</xdr:colOff>
      <xdr:row>13</xdr:row>
      <xdr:rowOff>114300</xdr:rowOff>
    </xdr:to>
    <xdr:sp macro="" textlink="">
      <xdr:nvSpPr>
        <xdr:cNvPr id="260949" name="Line 132">
          <a:extLst>
            <a:ext uri="{FF2B5EF4-FFF2-40B4-BE49-F238E27FC236}">
              <a16:creationId xmlns:a16="http://schemas.microsoft.com/office/drawing/2014/main" id="{00000000-0008-0000-0200-000055FB0300}"/>
            </a:ext>
          </a:extLst>
        </xdr:cNvPr>
        <xdr:cNvSpPr>
          <a:spLocks noChangeShapeType="1"/>
        </xdr:cNvSpPr>
      </xdr:nvSpPr>
      <xdr:spPr bwMode="auto">
        <a:xfrm>
          <a:off x="5676900" y="1114425"/>
          <a:ext cx="0" cy="1143000"/>
        </a:xfrm>
        <a:prstGeom prst="line">
          <a:avLst/>
        </a:prstGeom>
        <a:noFill/>
        <a:ln w="9525">
          <a:solidFill>
            <a:srgbClr val="000000"/>
          </a:solidFill>
          <a:round/>
          <a:headEnd/>
          <a:tailEnd/>
        </a:ln>
      </xdr:spPr>
    </xdr:sp>
    <xdr:clientData/>
  </xdr:twoCellAnchor>
  <xdr:twoCellAnchor>
    <xdr:from>
      <xdr:col>5</xdr:col>
      <xdr:colOff>361950</xdr:colOff>
      <xdr:row>15</xdr:row>
      <xdr:rowOff>76200</xdr:rowOff>
    </xdr:from>
    <xdr:to>
      <xdr:col>5</xdr:col>
      <xdr:colOff>742950</xdr:colOff>
      <xdr:row>16</xdr:row>
      <xdr:rowOff>104775</xdr:rowOff>
    </xdr:to>
    <xdr:sp macro="" textlink="">
      <xdr:nvSpPr>
        <xdr:cNvPr id="215173" name="Text Box 133">
          <a:extLst>
            <a:ext uri="{FF2B5EF4-FFF2-40B4-BE49-F238E27FC236}">
              <a16:creationId xmlns:a16="http://schemas.microsoft.com/office/drawing/2014/main" id="{00000000-0008-0000-0200-000085480300}"/>
            </a:ext>
          </a:extLst>
        </xdr:cNvPr>
        <xdr:cNvSpPr txBox="1">
          <a:spLocks noChangeArrowheads="1"/>
        </xdr:cNvSpPr>
      </xdr:nvSpPr>
      <xdr:spPr bwMode="auto">
        <a:xfrm>
          <a:off x="4838700" y="2543175"/>
          <a:ext cx="381000" cy="19050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Plan</a:t>
          </a:r>
          <a:endParaRPr lang="en-US"/>
        </a:p>
      </xdr:txBody>
    </xdr:sp>
    <xdr:clientData/>
  </xdr:twoCellAnchor>
  <xdr:twoCellAnchor>
    <xdr:from>
      <xdr:col>5</xdr:col>
      <xdr:colOff>238125</xdr:colOff>
      <xdr:row>26</xdr:row>
      <xdr:rowOff>57150</xdr:rowOff>
    </xdr:from>
    <xdr:to>
      <xdr:col>6</xdr:col>
      <xdr:colOff>76200</xdr:colOff>
      <xdr:row>27</xdr:row>
      <xdr:rowOff>104775</xdr:rowOff>
    </xdr:to>
    <xdr:sp macro="" textlink="">
      <xdr:nvSpPr>
        <xdr:cNvPr id="215174" name="Text Box 134">
          <a:extLst>
            <a:ext uri="{FF2B5EF4-FFF2-40B4-BE49-F238E27FC236}">
              <a16:creationId xmlns:a16="http://schemas.microsoft.com/office/drawing/2014/main" id="{00000000-0008-0000-0200-000086480300}"/>
            </a:ext>
          </a:extLst>
        </xdr:cNvPr>
        <xdr:cNvSpPr txBox="1">
          <a:spLocks noChangeArrowheads="1"/>
        </xdr:cNvSpPr>
      </xdr:nvSpPr>
      <xdr:spPr bwMode="auto">
        <a:xfrm>
          <a:off x="4714875" y="4305300"/>
          <a:ext cx="638175" cy="20955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Elevation</a:t>
          </a:r>
          <a:endParaRPr lang="en-US"/>
        </a:p>
      </xdr:txBody>
    </xdr:sp>
    <xdr:clientData/>
  </xdr:twoCellAnchor>
  <xdr:twoCellAnchor>
    <xdr:from>
      <xdr:col>5</xdr:col>
      <xdr:colOff>466725</xdr:colOff>
      <xdr:row>25</xdr:row>
      <xdr:rowOff>47625</xdr:rowOff>
    </xdr:from>
    <xdr:to>
      <xdr:col>5</xdr:col>
      <xdr:colOff>619125</xdr:colOff>
      <xdr:row>26</xdr:row>
      <xdr:rowOff>47625</xdr:rowOff>
    </xdr:to>
    <xdr:sp macro="" textlink="">
      <xdr:nvSpPr>
        <xdr:cNvPr id="215175" name="Text Box 135">
          <a:extLst>
            <a:ext uri="{FF2B5EF4-FFF2-40B4-BE49-F238E27FC236}">
              <a16:creationId xmlns:a16="http://schemas.microsoft.com/office/drawing/2014/main" id="{00000000-0008-0000-0200-000087480300}"/>
            </a:ext>
          </a:extLst>
        </xdr:cNvPr>
        <xdr:cNvSpPr txBox="1">
          <a:spLocks noChangeArrowheads="1"/>
        </xdr:cNvSpPr>
      </xdr:nvSpPr>
      <xdr:spPr bwMode="auto">
        <a:xfrm>
          <a:off x="4943475" y="4133850"/>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xdr:from>
      <xdr:col>6</xdr:col>
      <xdr:colOff>304800</xdr:colOff>
      <xdr:row>23</xdr:row>
      <xdr:rowOff>66675</xdr:rowOff>
    </xdr:from>
    <xdr:to>
      <xdr:col>6</xdr:col>
      <xdr:colOff>400050</xdr:colOff>
      <xdr:row>23</xdr:row>
      <xdr:rowOff>66675</xdr:rowOff>
    </xdr:to>
    <xdr:sp macro="" textlink="">
      <xdr:nvSpPr>
        <xdr:cNvPr id="260953" name="Line 136">
          <a:extLst>
            <a:ext uri="{FF2B5EF4-FFF2-40B4-BE49-F238E27FC236}">
              <a16:creationId xmlns:a16="http://schemas.microsoft.com/office/drawing/2014/main" id="{00000000-0008-0000-0200-000059FB0300}"/>
            </a:ext>
          </a:extLst>
        </xdr:cNvPr>
        <xdr:cNvSpPr>
          <a:spLocks noChangeShapeType="1"/>
        </xdr:cNvSpPr>
      </xdr:nvSpPr>
      <xdr:spPr bwMode="auto">
        <a:xfrm>
          <a:off x="5581650" y="382905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24</xdr:row>
      <xdr:rowOff>38100</xdr:rowOff>
    </xdr:from>
    <xdr:to>
      <xdr:col>6</xdr:col>
      <xdr:colOff>400050</xdr:colOff>
      <xdr:row>24</xdr:row>
      <xdr:rowOff>38100</xdr:rowOff>
    </xdr:to>
    <xdr:sp macro="" textlink="">
      <xdr:nvSpPr>
        <xdr:cNvPr id="260954" name="Line 137">
          <a:extLst>
            <a:ext uri="{FF2B5EF4-FFF2-40B4-BE49-F238E27FC236}">
              <a16:creationId xmlns:a16="http://schemas.microsoft.com/office/drawing/2014/main" id="{00000000-0008-0000-0200-00005AFB0300}"/>
            </a:ext>
          </a:extLst>
        </xdr:cNvPr>
        <xdr:cNvSpPr>
          <a:spLocks noChangeShapeType="1"/>
        </xdr:cNvSpPr>
      </xdr:nvSpPr>
      <xdr:spPr bwMode="auto">
        <a:xfrm>
          <a:off x="5581650" y="3962400"/>
          <a:ext cx="95250" cy="0"/>
        </a:xfrm>
        <a:prstGeom prst="line">
          <a:avLst/>
        </a:prstGeom>
        <a:noFill/>
        <a:ln w="9525">
          <a:solidFill>
            <a:srgbClr val="000000"/>
          </a:solidFill>
          <a:round/>
          <a:headEnd/>
          <a:tailEnd type="stealth" w="sm" len="sm"/>
        </a:ln>
      </xdr:spPr>
    </xdr:sp>
    <xdr:clientData/>
  </xdr:twoCellAnchor>
  <xdr:twoCellAnchor>
    <xdr:from>
      <xdr:col>6</xdr:col>
      <xdr:colOff>304800</xdr:colOff>
      <xdr:row>25</xdr:row>
      <xdr:rowOff>9525</xdr:rowOff>
    </xdr:from>
    <xdr:to>
      <xdr:col>6</xdr:col>
      <xdr:colOff>400050</xdr:colOff>
      <xdr:row>25</xdr:row>
      <xdr:rowOff>9525</xdr:rowOff>
    </xdr:to>
    <xdr:sp macro="" textlink="">
      <xdr:nvSpPr>
        <xdr:cNvPr id="260955" name="Line 138">
          <a:extLst>
            <a:ext uri="{FF2B5EF4-FFF2-40B4-BE49-F238E27FC236}">
              <a16:creationId xmlns:a16="http://schemas.microsoft.com/office/drawing/2014/main" id="{00000000-0008-0000-0200-00005BFB0300}"/>
            </a:ext>
          </a:extLst>
        </xdr:cNvPr>
        <xdr:cNvSpPr>
          <a:spLocks noChangeShapeType="1"/>
        </xdr:cNvSpPr>
      </xdr:nvSpPr>
      <xdr:spPr bwMode="auto">
        <a:xfrm>
          <a:off x="5581650" y="4095750"/>
          <a:ext cx="95250" cy="0"/>
        </a:xfrm>
        <a:prstGeom prst="line">
          <a:avLst/>
        </a:prstGeom>
        <a:noFill/>
        <a:ln w="9525">
          <a:solidFill>
            <a:srgbClr val="000000"/>
          </a:solidFill>
          <a:round/>
          <a:headEnd/>
          <a:tailEnd type="stealth" w="sm" len="sm"/>
        </a:ln>
      </xdr:spPr>
    </xdr:sp>
    <xdr:clientData/>
  </xdr:twoCellAnchor>
  <xdr:twoCellAnchor>
    <xdr:from>
      <xdr:col>4</xdr:col>
      <xdr:colOff>600075</xdr:colOff>
      <xdr:row>23</xdr:row>
      <xdr:rowOff>66675</xdr:rowOff>
    </xdr:from>
    <xdr:to>
      <xdr:col>4</xdr:col>
      <xdr:colOff>742950</xdr:colOff>
      <xdr:row>23</xdr:row>
      <xdr:rowOff>66675</xdr:rowOff>
    </xdr:to>
    <xdr:sp macro="" textlink="">
      <xdr:nvSpPr>
        <xdr:cNvPr id="260956" name="Line 139">
          <a:extLst>
            <a:ext uri="{FF2B5EF4-FFF2-40B4-BE49-F238E27FC236}">
              <a16:creationId xmlns:a16="http://schemas.microsoft.com/office/drawing/2014/main" id="{00000000-0008-0000-0200-00005CFB0300}"/>
            </a:ext>
          </a:extLst>
        </xdr:cNvPr>
        <xdr:cNvSpPr>
          <a:spLocks noChangeShapeType="1"/>
        </xdr:cNvSpPr>
      </xdr:nvSpPr>
      <xdr:spPr bwMode="auto">
        <a:xfrm>
          <a:off x="4276725" y="3829050"/>
          <a:ext cx="142875" cy="0"/>
        </a:xfrm>
        <a:prstGeom prst="line">
          <a:avLst/>
        </a:prstGeom>
        <a:noFill/>
        <a:ln w="9525">
          <a:solidFill>
            <a:srgbClr val="000000"/>
          </a:solidFill>
          <a:round/>
          <a:headEnd/>
          <a:tailEnd type="stealth" w="sm" len="sm"/>
        </a:ln>
      </xdr:spPr>
    </xdr:sp>
    <xdr:clientData/>
  </xdr:twoCellAnchor>
  <xdr:twoCellAnchor>
    <xdr:from>
      <xdr:col>4</xdr:col>
      <xdr:colOff>647700</xdr:colOff>
      <xdr:row>24</xdr:row>
      <xdr:rowOff>38100</xdr:rowOff>
    </xdr:from>
    <xdr:to>
      <xdr:col>4</xdr:col>
      <xdr:colOff>742950</xdr:colOff>
      <xdr:row>24</xdr:row>
      <xdr:rowOff>38100</xdr:rowOff>
    </xdr:to>
    <xdr:sp macro="" textlink="">
      <xdr:nvSpPr>
        <xdr:cNvPr id="260957" name="Line 140">
          <a:extLst>
            <a:ext uri="{FF2B5EF4-FFF2-40B4-BE49-F238E27FC236}">
              <a16:creationId xmlns:a16="http://schemas.microsoft.com/office/drawing/2014/main" id="{00000000-0008-0000-0200-00005DFB0300}"/>
            </a:ext>
          </a:extLst>
        </xdr:cNvPr>
        <xdr:cNvSpPr>
          <a:spLocks noChangeShapeType="1"/>
        </xdr:cNvSpPr>
      </xdr:nvSpPr>
      <xdr:spPr bwMode="auto">
        <a:xfrm>
          <a:off x="4324350" y="3962400"/>
          <a:ext cx="95250" cy="0"/>
        </a:xfrm>
        <a:prstGeom prst="line">
          <a:avLst/>
        </a:prstGeom>
        <a:noFill/>
        <a:ln w="9525">
          <a:solidFill>
            <a:srgbClr val="000000"/>
          </a:solidFill>
          <a:round/>
          <a:headEnd/>
          <a:tailEnd type="stealth" w="sm" len="sm"/>
        </a:ln>
      </xdr:spPr>
    </xdr:sp>
    <xdr:clientData/>
  </xdr:twoCellAnchor>
  <xdr:twoCellAnchor>
    <xdr:from>
      <xdr:col>4</xdr:col>
      <xdr:colOff>647700</xdr:colOff>
      <xdr:row>25</xdr:row>
      <xdr:rowOff>9525</xdr:rowOff>
    </xdr:from>
    <xdr:to>
      <xdr:col>4</xdr:col>
      <xdr:colOff>742950</xdr:colOff>
      <xdr:row>25</xdr:row>
      <xdr:rowOff>9525</xdr:rowOff>
    </xdr:to>
    <xdr:sp macro="" textlink="">
      <xdr:nvSpPr>
        <xdr:cNvPr id="260958" name="Line 141">
          <a:extLst>
            <a:ext uri="{FF2B5EF4-FFF2-40B4-BE49-F238E27FC236}">
              <a16:creationId xmlns:a16="http://schemas.microsoft.com/office/drawing/2014/main" id="{00000000-0008-0000-0200-00005EFB0300}"/>
            </a:ext>
          </a:extLst>
        </xdr:cNvPr>
        <xdr:cNvSpPr>
          <a:spLocks noChangeShapeType="1"/>
        </xdr:cNvSpPr>
      </xdr:nvSpPr>
      <xdr:spPr bwMode="auto">
        <a:xfrm>
          <a:off x="4324350" y="4095750"/>
          <a:ext cx="95250" cy="0"/>
        </a:xfrm>
        <a:prstGeom prst="line">
          <a:avLst/>
        </a:prstGeom>
        <a:noFill/>
        <a:ln w="9525">
          <a:solidFill>
            <a:srgbClr val="000000"/>
          </a:solidFill>
          <a:round/>
          <a:headEnd/>
          <a:tailEnd type="stealth" w="sm" len="sm"/>
        </a:ln>
      </xdr:spPr>
    </xdr:sp>
    <xdr:clientData/>
  </xdr:twoCellAnchor>
  <xdr:twoCellAnchor>
    <xdr:from>
      <xdr:col>4</xdr:col>
      <xdr:colOff>600075</xdr:colOff>
      <xdr:row>21</xdr:row>
      <xdr:rowOff>123825</xdr:rowOff>
    </xdr:from>
    <xdr:to>
      <xdr:col>4</xdr:col>
      <xdr:colOff>600075</xdr:colOff>
      <xdr:row>23</xdr:row>
      <xdr:rowOff>66675</xdr:rowOff>
    </xdr:to>
    <xdr:sp macro="" textlink="">
      <xdr:nvSpPr>
        <xdr:cNvPr id="260959" name="Line 142">
          <a:extLst>
            <a:ext uri="{FF2B5EF4-FFF2-40B4-BE49-F238E27FC236}">
              <a16:creationId xmlns:a16="http://schemas.microsoft.com/office/drawing/2014/main" id="{00000000-0008-0000-0200-00005FFB0300}"/>
            </a:ext>
          </a:extLst>
        </xdr:cNvPr>
        <xdr:cNvSpPr>
          <a:spLocks noChangeShapeType="1"/>
        </xdr:cNvSpPr>
      </xdr:nvSpPr>
      <xdr:spPr bwMode="auto">
        <a:xfrm flipV="1">
          <a:off x="4276725" y="3562350"/>
          <a:ext cx="0" cy="266700"/>
        </a:xfrm>
        <a:prstGeom prst="line">
          <a:avLst/>
        </a:prstGeom>
        <a:noFill/>
        <a:ln w="9525">
          <a:solidFill>
            <a:srgbClr val="000000"/>
          </a:solidFill>
          <a:round/>
          <a:headEnd/>
          <a:tailEnd/>
        </a:ln>
      </xdr:spPr>
    </xdr:sp>
    <xdr:clientData/>
  </xdr:twoCellAnchor>
  <xdr:twoCellAnchor>
    <xdr:from>
      <xdr:col>4</xdr:col>
      <xdr:colOff>647700</xdr:colOff>
      <xdr:row>23</xdr:row>
      <xdr:rowOff>66675</xdr:rowOff>
    </xdr:from>
    <xdr:to>
      <xdr:col>4</xdr:col>
      <xdr:colOff>647700</xdr:colOff>
      <xdr:row>25</xdr:row>
      <xdr:rowOff>9525</xdr:rowOff>
    </xdr:to>
    <xdr:sp macro="" textlink="">
      <xdr:nvSpPr>
        <xdr:cNvPr id="260960" name="Line 143">
          <a:extLst>
            <a:ext uri="{FF2B5EF4-FFF2-40B4-BE49-F238E27FC236}">
              <a16:creationId xmlns:a16="http://schemas.microsoft.com/office/drawing/2014/main" id="{00000000-0008-0000-0200-000060FB0300}"/>
            </a:ext>
          </a:extLst>
        </xdr:cNvPr>
        <xdr:cNvSpPr>
          <a:spLocks noChangeShapeType="1"/>
        </xdr:cNvSpPr>
      </xdr:nvSpPr>
      <xdr:spPr bwMode="auto">
        <a:xfrm flipV="1">
          <a:off x="4324350" y="3829050"/>
          <a:ext cx="0" cy="266700"/>
        </a:xfrm>
        <a:prstGeom prst="line">
          <a:avLst/>
        </a:prstGeom>
        <a:noFill/>
        <a:ln w="9525">
          <a:solidFill>
            <a:srgbClr val="000000"/>
          </a:solidFill>
          <a:round/>
          <a:headEnd/>
          <a:tailEnd/>
        </a:ln>
      </xdr:spPr>
    </xdr:sp>
    <xdr:clientData/>
  </xdr:twoCellAnchor>
  <xdr:twoCellAnchor>
    <xdr:from>
      <xdr:col>4</xdr:col>
      <xdr:colOff>180975</xdr:colOff>
      <xdr:row>11</xdr:row>
      <xdr:rowOff>66675</xdr:rowOff>
    </xdr:from>
    <xdr:to>
      <xdr:col>4</xdr:col>
      <xdr:colOff>552450</xdr:colOff>
      <xdr:row>11</xdr:row>
      <xdr:rowOff>66675</xdr:rowOff>
    </xdr:to>
    <xdr:sp macro="" textlink="">
      <xdr:nvSpPr>
        <xdr:cNvPr id="260961" name="Line 144">
          <a:extLst>
            <a:ext uri="{FF2B5EF4-FFF2-40B4-BE49-F238E27FC236}">
              <a16:creationId xmlns:a16="http://schemas.microsoft.com/office/drawing/2014/main" id="{00000000-0008-0000-0200-000061FB0300}"/>
            </a:ext>
          </a:extLst>
        </xdr:cNvPr>
        <xdr:cNvSpPr>
          <a:spLocks noChangeShapeType="1"/>
        </xdr:cNvSpPr>
      </xdr:nvSpPr>
      <xdr:spPr bwMode="auto">
        <a:xfrm>
          <a:off x="3857625" y="1885950"/>
          <a:ext cx="371475" cy="0"/>
        </a:xfrm>
        <a:prstGeom prst="line">
          <a:avLst/>
        </a:prstGeom>
        <a:noFill/>
        <a:ln w="9525">
          <a:solidFill>
            <a:srgbClr val="000000"/>
          </a:solidFill>
          <a:round/>
          <a:headEnd/>
          <a:tailEnd type="stealth" w="sm" len="med"/>
        </a:ln>
      </xdr:spPr>
    </xdr:sp>
    <xdr:clientData/>
  </xdr:twoCellAnchor>
  <xdr:twoCellAnchor>
    <xdr:from>
      <xdr:col>4</xdr:col>
      <xdr:colOff>171450</xdr:colOff>
      <xdr:row>10</xdr:row>
      <xdr:rowOff>76200</xdr:rowOff>
    </xdr:from>
    <xdr:to>
      <xdr:col>4</xdr:col>
      <xdr:colOff>552450</xdr:colOff>
      <xdr:row>11</xdr:row>
      <xdr:rowOff>95250</xdr:rowOff>
    </xdr:to>
    <xdr:sp macro="" textlink="">
      <xdr:nvSpPr>
        <xdr:cNvPr id="215185" name="Text Box 145">
          <a:extLst>
            <a:ext uri="{FF2B5EF4-FFF2-40B4-BE49-F238E27FC236}">
              <a16:creationId xmlns:a16="http://schemas.microsoft.com/office/drawing/2014/main" id="{00000000-0008-0000-0200-000091480300}"/>
            </a:ext>
          </a:extLst>
        </xdr:cNvPr>
        <xdr:cNvSpPr txBox="1">
          <a:spLocks noChangeArrowheads="1"/>
        </xdr:cNvSpPr>
      </xdr:nvSpPr>
      <xdr:spPr bwMode="auto">
        <a:xfrm>
          <a:off x="3848100" y="1733550"/>
          <a:ext cx="381000" cy="180975"/>
        </a:xfrm>
        <a:prstGeom prst="rect">
          <a:avLst/>
        </a:prstGeom>
        <a:noFill/>
        <a:ln>
          <a:noFill/>
        </a:ln>
        <a:extLst/>
      </xdr:spPr>
      <xdr:txBody>
        <a:bodyPr vertOverflow="clip" wrap="square" lIns="27432" tIns="22860" rIns="0" bIns="0" anchor="t" upright="1"/>
        <a:lstStyle/>
        <a:p>
          <a:pPr algn="l" rtl="0">
            <a:defRPr sz="1000"/>
          </a:pPr>
          <a:r>
            <a:rPr lang="en-US" sz="900" b="0" i="1" u="none" strike="noStrike" baseline="0">
              <a:solidFill>
                <a:srgbClr val="0000FF"/>
              </a:solidFill>
              <a:latin typeface="Arial"/>
              <a:cs typeface="Arial"/>
            </a:rPr>
            <a:t>Wind</a:t>
          </a:r>
          <a:endParaRPr lang="en-US"/>
        </a:p>
      </xdr:txBody>
    </xdr:sp>
    <xdr:clientData/>
  </xdr:twoCellAnchor>
  <xdr:twoCellAnchor editAs="oneCell">
    <xdr:from>
      <xdr:col>0</xdr:col>
      <xdr:colOff>561975</xdr:colOff>
      <xdr:row>162</xdr:row>
      <xdr:rowOff>142875</xdr:rowOff>
    </xdr:from>
    <xdr:to>
      <xdr:col>6</xdr:col>
      <xdr:colOff>228600</xdr:colOff>
      <xdr:row>183</xdr:row>
      <xdr:rowOff>0</xdr:rowOff>
    </xdr:to>
    <xdr:pic>
      <xdr:nvPicPr>
        <xdr:cNvPr id="260963" name="Picture 151">
          <a:extLst>
            <a:ext uri="{FF2B5EF4-FFF2-40B4-BE49-F238E27FC236}">
              <a16:creationId xmlns:a16="http://schemas.microsoft.com/office/drawing/2014/main" id="{00000000-0008-0000-0200-000063FB03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61975" y="26412825"/>
          <a:ext cx="4943475" cy="3257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514350</xdr:colOff>
      <xdr:row>6</xdr:row>
      <xdr:rowOff>104775</xdr:rowOff>
    </xdr:from>
    <xdr:to>
      <xdr:col>7</xdr:col>
      <xdr:colOff>323850</xdr:colOff>
      <xdr:row>13</xdr:row>
      <xdr:rowOff>114300</xdr:rowOff>
    </xdr:to>
    <xdr:sp macro="" textlink="">
      <xdr:nvSpPr>
        <xdr:cNvPr id="258566" name="Rectangle 21">
          <a:extLst>
            <a:ext uri="{FF2B5EF4-FFF2-40B4-BE49-F238E27FC236}">
              <a16:creationId xmlns:a16="http://schemas.microsoft.com/office/drawing/2014/main" id="{00000000-0008-0000-0300-000006F20300}"/>
            </a:ext>
          </a:extLst>
        </xdr:cNvPr>
        <xdr:cNvSpPr>
          <a:spLocks noChangeArrowheads="1"/>
        </xdr:cNvSpPr>
      </xdr:nvSpPr>
      <xdr:spPr bwMode="auto">
        <a:xfrm>
          <a:off x="4410075" y="1114425"/>
          <a:ext cx="1162050" cy="1143000"/>
        </a:xfrm>
        <a:prstGeom prst="rect">
          <a:avLst/>
        </a:prstGeom>
        <a:solidFill>
          <a:srgbClr val="FFFFFF"/>
        </a:solidFill>
        <a:ln w="9525">
          <a:solidFill>
            <a:srgbClr val="000000"/>
          </a:solidFill>
          <a:miter lim="800000"/>
          <a:headEnd/>
          <a:tailEnd/>
        </a:ln>
      </xdr:spPr>
    </xdr:sp>
    <xdr:clientData/>
  </xdr:twoCellAnchor>
  <xdr:twoCellAnchor>
    <xdr:from>
      <xdr:col>6</xdr:col>
      <xdr:colOff>419100</xdr:colOff>
      <xdr:row>6</xdr:row>
      <xdr:rowOff>104775</xdr:rowOff>
    </xdr:from>
    <xdr:to>
      <xdr:col>6</xdr:col>
      <xdr:colOff>419100</xdr:colOff>
      <xdr:row>13</xdr:row>
      <xdr:rowOff>114300</xdr:rowOff>
    </xdr:to>
    <xdr:sp macro="" textlink="">
      <xdr:nvSpPr>
        <xdr:cNvPr id="258567" name="Line 22">
          <a:extLst>
            <a:ext uri="{FF2B5EF4-FFF2-40B4-BE49-F238E27FC236}">
              <a16:creationId xmlns:a16="http://schemas.microsoft.com/office/drawing/2014/main" id="{00000000-0008-0000-0300-000007F20300}"/>
            </a:ext>
          </a:extLst>
        </xdr:cNvPr>
        <xdr:cNvSpPr>
          <a:spLocks noChangeShapeType="1"/>
        </xdr:cNvSpPr>
      </xdr:nvSpPr>
      <xdr:spPr bwMode="auto">
        <a:xfrm>
          <a:off x="4991100" y="1114425"/>
          <a:ext cx="0" cy="1143000"/>
        </a:xfrm>
        <a:prstGeom prst="line">
          <a:avLst/>
        </a:prstGeom>
        <a:noFill/>
        <a:ln w="9525">
          <a:solidFill>
            <a:srgbClr val="000000"/>
          </a:solidFill>
          <a:round/>
          <a:headEnd/>
          <a:tailEnd/>
        </a:ln>
      </xdr:spPr>
    </xdr:sp>
    <xdr:clientData/>
  </xdr:twoCellAnchor>
  <xdr:twoCellAnchor>
    <xdr:from>
      <xdr:col>5</xdr:col>
      <xdr:colOff>514350</xdr:colOff>
      <xdr:row>20</xdr:row>
      <xdr:rowOff>9525</xdr:rowOff>
    </xdr:from>
    <xdr:to>
      <xdr:col>5</xdr:col>
      <xdr:colOff>514350</xdr:colOff>
      <xdr:row>22</xdr:row>
      <xdr:rowOff>95250</xdr:rowOff>
    </xdr:to>
    <xdr:sp macro="" textlink="">
      <xdr:nvSpPr>
        <xdr:cNvPr id="258568" name="Line 23">
          <a:extLst>
            <a:ext uri="{FF2B5EF4-FFF2-40B4-BE49-F238E27FC236}">
              <a16:creationId xmlns:a16="http://schemas.microsoft.com/office/drawing/2014/main" id="{00000000-0008-0000-0300-000008F20300}"/>
            </a:ext>
          </a:extLst>
        </xdr:cNvPr>
        <xdr:cNvSpPr>
          <a:spLocks noChangeShapeType="1"/>
        </xdr:cNvSpPr>
      </xdr:nvSpPr>
      <xdr:spPr bwMode="auto">
        <a:xfrm flipV="1">
          <a:off x="4410075" y="3286125"/>
          <a:ext cx="0" cy="409575"/>
        </a:xfrm>
        <a:prstGeom prst="line">
          <a:avLst/>
        </a:prstGeom>
        <a:noFill/>
        <a:ln w="9525">
          <a:solidFill>
            <a:srgbClr val="000000"/>
          </a:solidFill>
          <a:round/>
          <a:headEnd/>
          <a:tailEnd/>
        </a:ln>
      </xdr:spPr>
    </xdr:sp>
    <xdr:clientData/>
  </xdr:twoCellAnchor>
  <xdr:twoCellAnchor>
    <xdr:from>
      <xdr:col>7</xdr:col>
      <xdr:colOff>323850</xdr:colOff>
      <xdr:row>20</xdr:row>
      <xdr:rowOff>9525</xdr:rowOff>
    </xdr:from>
    <xdr:to>
      <xdr:col>7</xdr:col>
      <xdr:colOff>323850</xdr:colOff>
      <xdr:row>22</xdr:row>
      <xdr:rowOff>95250</xdr:rowOff>
    </xdr:to>
    <xdr:sp macro="" textlink="">
      <xdr:nvSpPr>
        <xdr:cNvPr id="258569" name="Line 24">
          <a:extLst>
            <a:ext uri="{FF2B5EF4-FFF2-40B4-BE49-F238E27FC236}">
              <a16:creationId xmlns:a16="http://schemas.microsoft.com/office/drawing/2014/main" id="{00000000-0008-0000-0300-000009F20300}"/>
            </a:ext>
          </a:extLst>
        </xdr:cNvPr>
        <xdr:cNvSpPr>
          <a:spLocks noChangeShapeType="1"/>
        </xdr:cNvSpPr>
      </xdr:nvSpPr>
      <xdr:spPr bwMode="auto">
        <a:xfrm flipV="1">
          <a:off x="5572125" y="3286125"/>
          <a:ext cx="0" cy="409575"/>
        </a:xfrm>
        <a:prstGeom prst="line">
          <a:avLst/>
        </a:prstGeom>
        <a:noFill/>
        <a:ln w="9525">
          <a:solidFill>
            <a:srgbClr val="000000"/>
          </a:solidFill>
          <a:round/>
          <a:headEnd/>
          <a:tailEnd/>
        </a:ln>
      </xdr:spPr>
    </xdr:sp>
    <xdr:clientData/>
  </xdr:twoCellAnchor>
  <xdr:twoCellAnchor>
    <xdr:from>
      <xdr:col>5</xdr:col>
      <xdr:colOff>514350</xdr:colOff>
      <xdr:row>17</xdr:row>
      <xdr:rowOff>152400</xdr:rowOff>
    </xdr:from>
    <xdr:to>
      <xdr:col>6</xdr:col>
      <xdr:colOff>419100</xdr:colOff>
      <xdr:row>20</xdr:row>
      <xdr:rowOff>9525</xdr:rowOff>
    </xdr:to>
    <xdr:sp macro="" textlink="">
      <xdr:nvSpPr>
        <xdr:cNvPr id="258570" name="Line 25">
          <a:extLst>
            <a:ext uri="{FF2B5EF4-FFF2-40B4-BE49-F238E27FC236}">
              <a16:creationId xmlns:a16="http://schemas.microsoft.com/office/drawing/2014/main" id="{00000000-0008-0000-0300-00000AF20300}"/>
            </a:ext>
          </a:extLst>
        </xdr:cNvPr>
        <xdr:cNvSpPr>
          <a:spLocks noChangeShapeType="1"/>
        </xdr:cNvSpPr>
      </xdr:nvSpPr>
      <xdr:spPr bwMode="auto">
        <a:xfrm flipV="1">
          <a:off x="4410075" y="2943225"/>
          <a:ext cx="581025" cy="342900"/>
        </a:xfrm>
        <a:prstGeom prst="line">
          <a:avLst/>
        </a:prstGeom>
        <a:noFill/>
        <a:ln w="9525">
          <a:solidFill>
            <a:srgbClr val="000000"/>
          </a:solidFill>
          <a:round/>
          <a:headEnd/>
          <a:tailEnd/>
        </a:ln>
      </xdr:spPr>
    </xdr:sp>
    <xdr:clientData/>
  </xdr:twoCellAnchor>
  <xdr:twoCellAnchor>
    <xdr:from>
      <xdr:col>6</xdr:col>
      <xdr:colOff>419100</xdr:colOff>
      <xdr:row>17</xdr:row>
      <xdr:rowOff>152400</xdr:rowOff>
    </xdr:from>
    <xdr:to>
      <xdr:col>7</xdr:col>
      <xdr:colOff>323850</xdr:colOff>
      <xdr:row>20</xdr:row>
      <xdr:rowOff>9525</xdr:rowOff>
    </xdr:to>
    <xdr:sp macro="" textlink="">
      <xdr:nvSpPr>
        <xdr:cNvPr id="258571" name="Line 26">
          <a:extLst>
            <a:ext uri="{FF2B5EF4-FFF2-40B4-BE49-F238E27FC236}">
              <a16:creationId xmlns:a16="http://schemas.microsoft.com/office/drawing/2014/main" id="{00000000-0008-0000-0300-00000BF20300}"/>
            </a:ext>
          </a:extLst>
        </xdr:cNvPr>
        <xdr:cNvSpPr>
          <a:spLocks noChangeShapeType="1"/>
        </xdr:cNvSpPr>
      </xdr:nvSpPr>
      <xdr:spPr bwMode="auto">
        <a:xfrm>
          <a:off x="4991100" y="2943225"/>
          <a:ext cx="581025" cy="342900"/>
        </a:xfrm>
        <a:prstGeom prst="line">
          <a:avLst/>
        </a:prstGeom>
        <a:noFill/>
        <a:ln w="9525">
          <a:solidFill>
            <a:srgbClr val="000000"/>
          </a:solidFill>
          <a:round/>
          <a:headEnd/>
          <a:tailEnd/>
        </a:ln>
      </xdr:spPr>
    </xdr:sp>
    <xdr:clientData/>
  </xdr:twoCellAnchor>
  <xdr:twoCellAnchor>
    <xdr:from>
      <xdr:col>5</xdr:col>
      <xdr:colOff>514350</xdr:colOff>
      <xdr:row>22</xdr:row>
      <xdr:rowOff>95250</xdr:rowOff>
    </xdr:from>
    <xdr:to>
      <xdr:col>7</xdr:col>
      <xdr:colOff>323850</xdr:colOff>
      <xdr:row>22</xdr:row>
      <xdr:rowOff>95250</xdr:rowOff>
    </xdr:to>
    <xdr:sp macro="" textlink="">
      <xdr:nvSpPr>
        <xdr:cNvPr id="258572" name="Line 27">
          <a:extLst>
            <a:ext uri="{FF2B5EF4-FFF2-40B4-BE49-F238E27FC236}">
              <a16:creationId xmlns:a16="http://schemas.microsoft.com/office/drawing/2014/main" id="{00000000-0008-0000-0300-00000CF20300}"/>
            </a:ext>
          </a:extLst>
        </xdr:cNvPr>
        <xdr:cNvSpPr>
          <a:spLocks noChangeShapeType="1"/>
        </xdr:cNvSpPr>
      </xdr:nvSpPr>
      <xdr:spPr bwMode="auto">
        <a:xfrm>
          <a:off x="4410075" y="3695700"/>
          <a:ext cx="1162050" cy="0"/>
        </a:xfrm>
        <a:prstGeom prst="line">
          <a:avLst/>
        </a:prstGeom>
        <a:noFill/>
        <a:ln w="9525">
          <a:solidFill>
            <a:srgbClr val="000000"/>
          </a:solidFill>
          <a:round/>
          <a:headEnd/>
          <a:tailEnd/>
        </a:ln>
      </xdr:spPr>
    </xdr:sp>
    <xdr:clientData/>
  </xdr:twoCellAnchor>
  <xdr:twoCellAnchor>
    <xdr:from>
      <xdr:col>5</xdr:col>
      <xdr:colOff>514350</xdr:colOff>
      <xdr:row>15</xdr:row>
      <xdr:rowOff>38100</xdr:rowOff>
    </xdr:from>
    <xdr:to>
      <xdr:col>7</xdr:col>
      <xdr:colOff>323850</xdr:colOff>
      <xdr:row>15</xdr:row>
      <xdr:rowOff>38100</xdr:rowOff>
    </xdr:to>
    <xdr:sp macro="" textlink="">
      <xdr:nvSpPr>
        <xdr:cNvPr id="258573" name="Line 28">
          <a:extLst>
            <a:ext uri="{FF2B5EF4-FFF2-40B4-BE49-F238E27FC236}">
              <a16:creationId xmlns:a16="http://schemas.microsoft.com/office/drawing/2014/main" id="{00000000-0008-0000-0300-00000DF20300}"/>
            </a:ext>
          </a:extLst>
        </xdr:cNvPr>
        <xdr:cNvSpPr>
          <a:spLocks noChangeShapeType="1"/>
        </xdr:cNvSpPr>
      </xdr:nvSpPr>
      <xdr:spPr bwMode="auto">
        <a:xfrm>
          <a:off x="4410075" y="2505075"/>
          <a:ext cx="1162050" cy="0"/>
        </a:xfrm>
        <a:prstGeom prst="line">
          <a:avLst/>
        </a:prstGeom>
        <a:noFill/>
        <a:ln w="9525">
          <a:solidFill>
            <a:srgbClr val="000000"/>
          </a:solidFill>
          <a:round/>
          <a:headEnd type="stealth" w="sm" len="sm"/>
          <a:tailEnd type="stealth" w="sm" len="sm"/>
        </a:ln>
      </xdr:spPr>
    </xdr:sp>
    <xdr:clientData/>
  </xdr:twoCellAnchor>
  <xdr:twoCellAnchor>
    <xdr:from>
      <xdr:col>5</xdr:col>
      <xdr:colOff>514350</xdr:colOff>
      <xdr:row>13</xdr:row>
      <xdr:rowOff>152400</xdr:rowOff>
    </xdr:from>
    <xdr:to>
      <xdr:col>5</xdr:col>
      <xdr:colOff>514350</xdr:colOff>
      <xdr:row>15</xdr:row>
      <xdr:rowOff>95250</xdr:rowOff>
    </xdr:to>
    <xdr:sp macro="" textlink="">
      <xdr:nvSpPr>
        <xdr:cNvPr id="258574" name="Line 29">
          <a:extLst>
            <a:ext uri="{FF2B5EF4-FFF2-40B4-BE49-F238E27FC236}">
              <a16:creationId xmlns:a16="http://schemas.microsoft.com/office/drawing/2014/main" id="{00000000-0008-0000-0300-00000EF20300}"/>
            </a:ext>
          </a:extLst>
        </xdr:cNvPr>
        <xdr:cNvSpPr>
          <a:spLocks noChangeShapeType="1"/>
        </xdr:cNvSpPr>
      </xdr:nvSpPr>
      <xdr:spPr bwMode="auto">
        <a:xfrm>
          <a:off x="4410075" y="2295525"/>
          <a:ext cx="0" cy="266700"/>
        </a:xfrm>
        <a:prstGeom prst="line">
          <a:avLst/>
        </a:prstGeom>
        <a:noFill/>
        <a:ln w="9525">
          <a:solidFill>
            <a:srgbClr val="000000"/>
          </a:solidFill>
          <a:round/>
          <a:headEnd/>
          <a:tailEnd/>
        </a:ln>
      </xdr:spPr>
    </xdr:sp>
    <xdr:clientData/>
  </xdr:twoCellAnchor>
  <xdr:twoCellAnchor>
    <xdr:from>
      <xdr:col>7</xdr:col>
      <xdr:colOff>323850</xdr:colOff>
      <xdr:row>13</xdr:row>
      <xdr:rowOff>152400</xdr:rowOff>
    </xdr:from>
    <xdr:to>
      <xdr:col>7</xdr:col>
      <xdr:colOff>323850</xdr:colOff>
      <xdr:row>15</xdr:row>
      <xdr:rowOff>95250</xdr:rowOff>
    </xdr:to>
    <xdr:sp macro="" textlink="">
      <xdr:nvSpPr>
        <xdr:cNvPr id="258575" name="Line 30">
          <a:extLst>
            <a:ext uri="{FF2B5EF4-FFF2-40B4-BE49-F238E27FC236}">
              <a16:creationId xmlns:a16="http://schemas.microsoft.com/office/drawing/2014/main" id="{00000000-0008-0000-0300-00000FF20300}"/>
            </a:ext>
          </a:extLst>
        </xdr:cNvPr>
        <xdr:cNvSpPr>
          <a:spLocks noChangeShapeType="1"/>
        </xdr:cNvSpPr>
      </xdr:nvSpPr>
      <xdr:spPr bwMode="auto">
        <a:xfrm>
          <a:off x="5572125" y="2295525"/>
          <a:ext cx="0" cy="266700"/>
        </a:xfrm>
        <a:prstGeom prst="line">
          <a:avLst/>
        </a:prstGeom>
        <a:noFill/>
        <a:ln w="9525">
          <a:solidFill>
            <a:srgbClr val="000000"/>
          </a:solidFill>
          <a:round/>
          <a:headEnd/>
          <a:tailEnd/>
        </a:ln>
      </xdr:spPr>
    </xdr:sp>
    <xdr:clientData/>
  </xdr:twoCellAnchor>
  <xdr:twoCellAnchor>
    <xdr:from>
      <xdr:col>5</xdr:col>
      <xdr:colOff>514350</xdr:colOff>
      <xdr:row>22</xdr:row>
      <xdr:rowOff>123825</xdr:rowOff>
    </xdr:from>
    <xdr:to>
      <xdr:col>5</xdr:col>
      <xdr:colOff>514350</xdr:colOff>
      <xdr:row>24</xdr:row>
      <xdr:rowOff>66675</xdr:rowOff>
    </xdr:to>
    <xdr:sp macro="" textlink="">
      <xdr:nvSpPr>
        <xdr:cNvPr id="258576" name="Line 31">
          <a:extLst>
            <a:ext uri="{FF2B5EF4-FFF2-40B4-BE49-F238E27FC236}">
              <a16:creationId xmlns:a16="http://schemas.microsoft.com/office/drawing/2014/main" id="{00000000-0008-0000-0300-000010F20300}"/>
            </a:ext>
          </a:extLst>
        </xdr:cNvPr>
        <xdr:cNvSpPr>
          <a:spLocks noChangeShapeType="1"/>
        </xdr:cNvSpPr>
      </xdr:nvSpPr>
      <xdr:spPr bwMode="auto">
        <a:xfrm>
          <a:off x="4410075" y="3724275"/>
          <a:ext cx="0" cy="266700"/>
        </a:xfrm>
        <a:prstGeom prst="line">
          <a:avLst/>
        </a:prstGeom>
        <a:noFill/>
        <a:ln w="9525">
          <a:solidFill>
            <a:srgbClr val="000000"/>
          </a:solidFill>
          <a:round/>
          <a:headEnd/>
          <a:tailEnd/>
        </a:ln>
      </xdr:spPr>
    </xdr:sp>
    <xdr:clientData/>
  </xdr:twoCellAnchor>
  <xdr:twoCellAnchor>
    <xdr:from>
      <xdr:col>7</xdr:col>
      <xdr:colOff>323850</xdr:colOff>
      <xdr:row>22</xdr:row>
      <xdr:rowOff>123825</xdr:rowOff>
    </xdr:from>
    <xdr:to>
      <xdr:col>7</xdr:col>
      <xdr:colOff>323850</xdr:colOff>
      <xdr:row>24</xdr:row>
      <xdr:rowOff>66675</xdr:rowOff>
    </xdr:to>
    <xdr:sp macro="" textlink="">
      <xdr:nvSpPr>
        <xdr:cNvPr id="258577" name="Line 32">
          <a:extLst>
            <a:ext uri="{FF2B5EF4-FFF2-40B4-BE49-F238E27FC236}">
              <a16:creationId xmlns:a16="http://schemas.microsoft.com/office/drawing/2014/main" id="{00000000-0008-0000-0300-000011F20300}"/>
            </a:ext>
          </a:extLst>
        </xdr:cNvPr>
        <xdr:cNvSpPr>
          <a:spLocks noChangeShapeType="1"/>
        </xdr:cNvSpPr>
      </xdr:nvSpPr>
      <xdr:spPr bwMode="auto">
        <a:xfrm>
          <a:off x="5572125" y="3724275"/>
          <a:ext cx="0" cy="266700"/>
        </a:xfrm>
        <a:prstGeom prst="line">
          <a:avLst/>
        </a:prstGeom>
        <a:noFill/>
        <a:ln w="9525">
          <a:solidFill>
            <a:srgbClr val="000000"/>
          </a:solidFill>
          <a:round/>
          <a:headEnd/>
          <a:tailEnd/>
        </a:ln>
      </xdr:spPr>
    </xdr:sp>
    <xdr:clientData/>
  </xdr:twoCellAnchor>
  <xdr:twoCellAnchor>
    <xdr:from>
      <xdr:col>5</xdr:col>
      <xdr:colOff>514350</xdr:colOff>
      <xdr:row>23</xdr:row>
      <xdr:rowOff>114300</xdr:rowOff>
    </xdr:from>
    <xdr:to>
      <xdr:col>7</xdr:col>
      <xdr:colOff>323850</xdr:colOff>
      <xdr:row>23</xdr:row>
      <xdr:rowOff>114300</xdr:rowOff>
    </xdr:to>
    <xdr:sp macro="" textlink="">
      <xdr:nvSpPr>
        <xdr:cNvPr id="258578" name="Line 33">
          <a:extLst>
            <a:ext uri="{FF2B5EF4-FFF2-40B4-BE49-F238E27FC236}">
              <a16:creationId xmlns:a16="http://schemas.microsoft.com/office/drawing/2014/main" id="{00000000-0008-0000-0300-000012F20300}"/>
            </a:ext>
          </a:extLst>
        </xdr:cNvPr>
        <xdr:cNvSpPr>
          <a:spLocks noChangeShapeType="1"/>
        </xdr:cNvSpPr>
      </xdr:nvSpPr>
      <xdr:spPr bwMode="auto">
        <a:xfrm>
          <a:off x="4410075" y="3876675"/>
          <a:ext cx="1162050" cy="0"/>
        </a:xfrm>
        <a:prstGeom prst="line">
          <a:avLst/>
        </a:prstGeom>
        <a:noFill/>
        <a:ln w="9525">
          <a:solidFill>
            <a:srgbClr val="000000"/>
          </a:solidFill>
          <a:round/>
          <a:headEnd type="stealth" w="sm" len="sm"/>
          <a:tailEnd type="stealth" w="sm" len="sm"/>
        </a:ln>
      </xdr:spPr>
    </xdr:sp>
    <xdr:clientData/>
  </xdr:twoCellAnchor>
  <xdr:twoCellAnchor>
    <xdr:from>
      <xdr:col>7</xdr:col>
      <xdr:colOff>352425</xdr:colOff>
      <xdr:row>22</xdr:row>
      <xdr:rowOff>95250</xdr:rowOff>
    </xdr:from>
    <xdr:to>
      <xdr:col>7</xdr:col>
      <xdr:colOff>609600</xdr:colOff>
      <xdr:row>22</xdr:row>
      <xdr:rowOff>95250</xdr:rowOff>
    </xdr:to>
    <xdr:sp macro="" textlink="">
      <xdr:nvSpPr>
        <xdr:cNvPr id="258579" name="Line 34">
          <a:extLst>
            <a:ext uri="{FF2B5EF4-FFF2-40B4-BE49-F238E27FC236}">
              <a16:creationId xmlns:a16="http://schemas.microsoft.com/office/drawing/2014/main" id="{00000000-0008-0000-0300-000013F20300}"/>
            </a:ext>
          </a:extLst>
        </xdr:cNvPr>
        <xdr:cNvSpPr>
          <a:spLocks noChangeShapeType="1"/>
        </xdr:cNvSpPr>
      </xdr:nvSpPr>
      <xdr:spPr bwMode="auto">
        <a:xfrm>
          <a:off x="5600700" y="3695700"/>
          <a:ext cx="257175" cy="0"/>
        </a:xfrm>
        <a:prstGeom prst="line">
          <a:avLst/>
        </a:prstGeom>
        <a:noFill/>
        <a:ln w="9525">
          <a:solidFill>
            <a:srgbClr val="000000"/>
          </a:solidFill>
          <a:round/>
          <a:headEnd/>
          <a:tailEnd/>
        </a:ln>
      </xdr:spPr>
    </xdr:sp>
    <xdr:clientData/>
  </xdr:twoCellAnchor>
  <xdr:twoCellAnchor>
    <xdr:from>
      <xdr:col>7</xdr:col>
      <xdr:colOff>361950</xdr:colOff>
      <xdr:row>20</xdr:row>
      <xdr:rowOff>9525</xdr:rowOff>
    </xdr:from>
    <xdr:to>
      <xdr:col>7</xdr:col>
      <xdr:colOff>619125</xdr:colOff>
      <xdr:row>20</xdr:row>
      <xdr:rowOff>9525</xdr:rowOff>
    </xdr:to>
    <xdr:sp macro="" textlink="">
      <xdr:nvSpPr>
        <xdr:cNvPr id="258580" name="Line 35">
          <a:extLst>
            <a:ext uri="{FF2B5EF4-FFF2-40B4-BE49-F238E27FC236}">
              <a16:creationId xmlns:a16="http://schemas.microsoft.com/office/drawing/2014/main" id="{00000000-0008-0000-0300-000014F20300}"/>
            </a:ext>
          </a:extLst>
        </xdr:cNvPr>
        <xdr:cNvSpPr>
          <a:spLocks noChangeShapeType="1"/>
        </xdr:cNvSpPr>
      </xdr:nvSpPr>
      <xdr:spPr bwMode="auto">
        <a:xfrm>
          <a:off x="5610225" y="3286125"/>
          <a:ext cx="257175" cy="0"/>
        </a:xfrm>
        <a:prstGeom prst="line">
          <a:avLst/>
        </a:prstGeom>
        <a:noFill/>
        <a:ln w="9525">
          <a:solidFill>
            <a:srgbClr val="000000"/>
          </a:solidFill>
          <a:round/>
          <a:headEnd/>
          <a:tailEnd/>
        </a:ln>
      </xdr:spPr>
    </xdr:sp>
    <xdr:clientData/>
  </xdr:twoCellAnchor>
  <xdr:twoCellAnchor>
    <xdr:from>
      <xdr:col>5</xdr:col>
      <xdr:colOff>152400</xdr:colOff>
      <xdr:row>17</xdr:row>
      <xdr:rowOff>142875</xdr:rowOff>
    </xdr:from>
    <xdr:to>
      <xdr:col>6</xdr:col>
      <xdr:colOff>361950</xdr:colOff>
      <xdr:row>17</xdr:row>
      <xdr:rowOff>142875</xdr:rowOff>
    </xdr:to>
    <xdr:sp macro="" textlink="">
      <xdr:nvSpPr>
        <xdr:cNvPr id="258581" name="Line 36">
          <a:extLst>
            <a:ext uri="{FF2B5EF4-FFF2-40B4-BE49-F238E27FC236}">
              <a16:creationId xmlns:a16="http://schemas.microsoft.com/office/drawing/2014/main" id="{00000000-0008-0000-0300-000015F20300}"/>
            </a:ext>
          </a:extLst>
        </xdr:cNvPr>
        <xdr:cNvSpPr>
          <a:spLocks noChangeShapeType="1"/>
        </xdr:cNvSpPr>
      </xdr:nvSpPr>
      <xdr:spPr bwMode="auto">
        <a:xfrm>
          <a:off x="4048125" y="2933700"/>
          <a:ext cx="885825" cy="0"/>
        </a:xfrm>
        <a:prstGeom prst="line">
          <a:avLst/>
        </a:prstGeom>
        <a:noFill/>
        <a:ln w="9525">
          <a:solidFill>
            <a:srgbClr val="000000"/>
          </a:solidFill>
          <a:round/>
          <a:headEnd/>
          <a:tailEnd/>
        </a:ln>
      </xdr:spPr>
    </xdr:sp>
    <xdr:clientData/>
  </xdr:twoCellAnchor>
  <xdr:twoCellAnchor>
    <xdr:from>
      <xdr:col>5</xdr:col>
      <xdr:colOff>133350</xdr:colOff>
      <xdr:row>22</xdr:row>
      <xdr:rowOff>95250</xdr:rowOff>
    </xdr:from>
    <xdr:to>
      <xdr:col>5</xdr:col>
      <xdr:colOff>476250</xdr:colOff>
      <xdr:row>22</xdr:row>
      <xdr:rowOff>95250</xdr:rowOff>
    </xdr:to>
    <xdr:sp macro="" textlink="">
      <xdr:nvSpPr>
        <xdr:cNvPr id="258582" name="Line 37">
          <a:extLst>
            <a:ext uri="{FF2B5EF4-FFF2-40B4-BE49-F238E27FC236}">
              <a16:creationId xmlns:a16="http://schemas.microsoft.com/office/drawing/2014/main" id="{00000000-0008-0000-0300-000016F20300}"/>
            </a:ext>
          </a:extLst>
        </xdr:cNvPr>
        <xdr:cNvSpPr>
          <a:spLocks noChangeShapeType="1"/>
        </xdr:cNvSpPr>
      </xdr:nvSpPr>
      <xdr:spPr bwMode="auto">
        <a:xfrm flipH="1">
          <a:off x="4029075" y="3695700"/>
          <a:ext cx="342900" cy="0"/>
        </a:xfrm>
        <a:prstGeom prst="line">
          <a:avLst/>
        </a:prstGeom>
        <a:noFill/>
        <a:ln w="9525">
          <a:solidFill>
            <a:srgbClr val="000000"/>
          </a:solidFill>
          <a:round/>
          <a:headEnd/>
          <a:tailEnd/>
        </a:ln>
      </xdr:spPr>
    </xdr:sp>
    <xdr:clientData/>
  </xdr:twoCellAnchor>
  <xdr:twoCellAnchor>
    <xdr:from>
      <xdr:col>7</xdr:col>
      <xdr:colOff>476250</xdr:colOff>
      <xdr:row>20</xdr:row>
      <xdr:rowOff>9525</xdr:rowOff>
    </xdr:from>
    <xdr:to>
      <xdr:col>7</xdr:col>
      <xdr:colOff>476250</xdr:colOff>
      <xdr:row>22</xdr:row>
      <xdr:rowOff>95250</xdr:rowOff>
    </xdr:to>
    <xdr:sp macro="" textlink="">
      <xdr:nvSpPr>
        <xdr:cNvPr id="258583" name="Line 38">
          <a:extLst>
            <a:ext uri="{FF2B5EF4-FFF2-40B4-BE49-F238E27FC236}">
              <a16:creationId xmlns:a16="http://schemas.microsoft.com/office/drawing/2014/main" id="{00000000-0008-0000-0300-000017F20300}"/>
            </a:ext>
          </a:extLst>
        </xdr:cNvPr>
        <xdr:cNvSpPr>
          <a:spLocks noChangeShapeType="1"/>
        </xdr:cNvSpPr>
      </xdr:nvSpPr>
      <xdr:spPr bwMode="auto">
        <a:xfrm>
          <a:off x="5724525" y="3286125"/>
          <a:ext cx="0" cy="409575"/>
        </a:xfrm>
        <a:prstGeom prst="line">
          <a:avLst/>
        </a:prstGeom>
        <a:noFill/>
        <a:ln w="9525">
          <a:solidFill>
            <a:srgbClr val="000000"/>
          </a:solidFill>
          <a:round/>
          <a:headEnd type="stealth" w="sm" len="sm"/>
          <a:tailEnd type="stealth" w="sm" len="sm"/>
        </a:ln>
      </xdr:spPr>
    </xdr:sp>
    <xdr:clientData/>
  </xdr:twoCellAnchor>
  <xdr:twoCellAnchor>
    <xdr:from>
      <xdr:col>5</xdr:col>
      <xdr:colOff>295275</xdr:colOff>
      <xdr:row>17</xdr:row>
      <xdr:rowOff>142875</xdr:rowOff>
    </xdr:from>
    <xdr:to>
      <xdr:col>5</xdr:col>
      <xdr:colOff>295275</xdr:colOff>
      <xdr:row>22</xdr:row>
      <xdr:rowOff>95250</xdr:rowOff>
    </xdr:to>
    <xdr:sp macro="" textlink="">
      <xdr:nvSpPr>
        <xdr:cNvPr id="258584" name="Line 39">
          <a:extLst>
            <a:ext uri="{FF2B5EF4-FFF2-40B4-BE49-F238E27FC236}">
              <a16:creationId xmlns:a16="http://schemas.microsoft.com/office/drawing/2014/main" id="{00000000-0008-0000-0300-000018F20300}"/>
            </a:ext>
          </a:extLst>
        </xdr:cNvPr>
        <xdr:cNvSpPr>
          <a:spLocks noChangeShapeType="1"/>
        </xdr:cNvSpPr>
      </xdr:nvSpPr>
      <xdr:spPr bwMode="auto">
        <a:xfrm>
          <a:off x="4191000" y="2933700"/>
          <a:ext cx="0" cy="762000"/>
        </a:xfrm>
        <a:prstGeom prst="line">
          <a:avLst/>
        </a:prstGeom>
        <a:noFill/>
        <a:ln w="9525">
          <a:solidFill>
            <a:srgbClr val="000000"/>
          </a:solidFill>
          <a:round/>
          <a:headEnd type="stealth" w="sm" len="sm"/>
          <a:tailEnd type="stealth" w="sm" len="sm"/>
        </a:ln>
      </xdr:spPr>
    </xdr:sp>
    <xdr:clientData/>
  </xdr:twoCellAnchor>
  <xdr:twoCellAnchor>
    <xdr:from>
      <xdr:col>7</xdr:col>
      <xdr:colOff>361950</xdr:colOff>
      <xdr:row>13</xdr:row>
      <xdr:rowOff>114300</xdr:rowOff>
    </xdr:from>
    <xdr:to>
      <xdr:col>7</xdr:col>
      <xdr:colOff>619125</xdr:colOff>
      <xdr:row>13</xdr:row>
      <xdr:rowOff>114300</xdr:rowOff>
    </xdr:to>
    <xdr:sp macro="" textlink="">
      <xdr:nvSpPr>
        <xdr:cNvPr id="258585" name="Line 40">
          <a:extLst>
            <a:ext uri="{FF2B5EF4-FFF2-40B4-BE49-F238E27FC236}">
              <a16:creationId xmlns:a16="http://schemas.microsoft.com/office/drawing/2014/main" id="{00000000-0008-0000-0300-000019F20300}"/>
            </a:ext>
          </a:extLst>
        </xdr:cNvPr>
        <xdr:cNvSpPr>
          <a:spLocks noChangeShapeType="1"/>
        </xdr:cNvSpPr>
      </xdr:nvSpPr>
      <xdr:spPr bwMode="auto">
        <a:xfrm>
          <a:off x="5610225" y="2257425"/>
          <a:ext cx="257175" cy="0"/>
        </a:xfrm>
        <a:prstGeom prst="line">
          <a:avLst/>
        </a:prstGeom>
        <a:noFill/>
        <a:ln w="9525">
          <a:solidFill>
            <a:srgbClr val="000000"/>
          </a:solidFill>
          <a:round/>
          <a:headEnd/>
          <a:tailEnd/>
        </a:ln>
      </xdr:spPr>
    </xdr:sp>
    <xdr:clientData/>
  </xdr:twoCellAnchor>
  <xdr:twoCellAnchor>
    <xdr:from>
      <xdr:col>7</xdr:col>
      <xdr:colOff>361950</xdr:colOff>
      <xdr:row>6</xdr:row>
      <xdr:rowOff>104775</xdr:rowOff>
    </xdr:from>
    <xdr:to>
      <xdr:col>7</xdr:col>
      <xdr:colOff>619125</xdr:colOff>
      <xdr:row>6</xdr:row>
      <xdr:rowOff>104775</xdr:rowOff>
    </xdr:to>
    <xdr:sp macro="" textlink="">
      <xdr:nvSpPr>
        <xdr:cNvPr id="258586" name="Line 41">
          <a:extLst>
            <a:ext uri="{FF2B5EF4-FFF2-40B4-BE49-F238E27FC236}">
              <a16:creationId xmlns:a16="http://schemas.microsoft.com/office/drawing/2014/main" id="{00000000-0008-0000-0300-00001AF20300}"/>
            </a:ext>
          </a:extLst>
        </xdr:cNvPr>
        <xdr:cNvSpPr>
          <a:spLocks noChangeShapeType="1"/>
        </xdr:cNvSpPr>
      </xdr:nvSpPr>
      <xdr:spPr bwMode="auto">
        <a:xfrm>
          <a:off x="5610225" y="1114425"/>
          <a:ext cx="257175" cy="0"/>
        </a:xfrm>
        <a:prstGeom prst="line">
          <a:avLst/>
        </a:prstGeom>
        <a:noFill/>
        <a:ln w="9525">
          <a:solidFill>
            <a:srgbClr val="000000"/>
          </a:solidFill>
          <a:round/>
          <a:headEnd/>
          <a:tailEnd/>
        </a:ln>
      </xdr:spPr>
    </xdr:sp>
    <xdr:clientData/>
  </xdr:twoCellAnchor>
  <xdr:twoCellAnchor>
    <xdr:from>
      <xdr:col>7</xdr:col>
      <xdr:colOff>466725</xdr:colOff>
      <xdr:row>6</xdr:row>
      <xdr:rowOff>104775</xdr:rowOff>
    </xdr:from>
    <xdr:to>
      <xdr:col>7</xdr:col>
      <xdr:colOff>466725</xdr:colOff>
      <xdr:row>13</xdr:row>
      <xdr:rowOff>114300</xdr:rowOff>
    </xdr:to>
    <xdr:sp macro="" textlink="">
      <xdr:nvSpPr>
        <xdr:cNvPr id="258587" name="Line 42">
          <a:extLst>
            <a:ext uri="{FF2B5EF4-FFF2-40B4-BE49-F238E27FC236}">
              <a16:creationId xmlns:a16="http://schemas.microsoft.com/office/drawing/2014/main" id="{00000000-0008-0000-0300-00001BF20300}"/>
            </a:ext>
          </a:extLst>
        </xdr:cNvPr>
        <xdr:cNvSpPr>
          <a:spLocks noChangeShapeType="1"/>
        </xdr:cNvSpPr>
      </xdr:nvSpPr>
      <xdr:spPr bwMode="auto">
        <a:xfrm>
          <a:off x="5715000" y="1114425"/>
          <a:ext cx="0" cy="1143000"/>
        </a:xfrm>
        <a:prstGeom prst="line">
          <a:avLst/>
        </a:prstGeom>
        <a:noFill/>
        <a:ln w="9525">
          <a:solidFill>
            <a:srgbClr val="000000"/>
          </a:solidFill>
          <a:round/>
          <a:headEnd type="stealth" w="sm" len="sm"/>
          <a:tailEnd type="stealth" w="sm" len="sm"/>
        </a:ln>
      </xdr:spPr>
    </xdr:sp>
    <xdr:clientData/>
  </xdr:twoCellAnchor>
  <xdr:twoCellAnchor>
    <xdr:from>
      <xdr:col>5</xdr:col>
      <xdr:colOff>561975</xdr:colOff>
      <xdr:row>20</xdr:row>
      <xdr:rowOff>9525</xdr:rowOff>
    </xdr:from>
    <xdr:to>
      <xdr:col>6</xdr:col>
      <xdr:colOff>361950</xdr:colOff>
      <xdr:row>20</xdr:row>
      <xdr:rowOff>9525</xdr:rowOff>
    </xdr:to>
    <xdr:sp macro="" textlink="">
      <xdr:nvSpPr>
        <xdr:cNvPr id="258588" name="Line 43">
          <a:extLst>
            <a:ext uri="{FF2B5EF4-FFF2-40B4-BE49-F238E27FC236}">
              <a16:creationId xmlns:a16="http://schemas.microsoft.com/office/drawing/2014/main" id="{00000000-0008-0000-0300-00001CF20300}"/>
            </a:ext>
          </a:extLst>
        </xdr:cNvPr>
        <xdr:cNvSpPr>
          <a:spLocks noChangeShapeType="1"/>
        </xdr:cNvSpPr>
      </xdr:nvSpPr>
      <xdr:spPr bwMode="auto">
        <a:xfrm>
          <a:off x="4457700" y="3286125"/>
          <a:ext cx="476250" cy="0"/>
        </a:xfrm>
        <a:prstGeom prst="line">
          <a:avLst/>
        </a:prstGeom>
        <a:noFill/>
        <a:ln w="9525">
          <a:solidFill>
            <a:srgbClr val="000000"/>
          </a:solidFill>
          <a:round/>
          <a:headEnd/>
          <a:tailEnd/>
        </a:ln>
      </xdr:spPr>
    </xdr:sp>
    <xdr:clientData/>
  </xdr:twoCellAnchor>
  <xdr:twoCellAnchor>
    <xdr:from>
      <xdr:col>6</xdr:col>
      <xdr:colOff>114300</xdr:colOff>
      <xdr:row>19</xdr:row>
      <xdr:rowOff>9525</xdr:rowOff>
    </xdr:from>
    <xdr:to>
      <xdr:col>6</xdr:col>
      <xdr:colOff>219075</xdr:colOff>
      <xdr:row>20</xdr:row>
      <xdr:rowOff>152400</xdr:rowOff>
    </xdr:to>
    <xdr:sp macro="" textlink="">
      <xdr:nvSpPr>
        <xdr:cNvPr id="258589" name="Arc 44">
          <a:extLst>
            <a:ext uri="{FF2B5EF4-FFF2-40B4-BE49-F238E27FC236}">
              <a16:creationId xmlns:a16="http://schemas.microsoft.com/office/drawing/2014/main" id="{00000000-0008-0000-0300-00001DF20300}"/>
            </a:ext>
          </a:extLst>
        </xdr:cNvPr>
        <xdr:cNvSpPr>
          <a:spLocks/>
        </xdr:cNvSpPr>
      </xdr:nvSpPr>
      <xdr:spPr bwMode="auto">
        <a:xfrm>
          <a:off x="4686300" y="3124200"/>
          <a:ext cx="104775" cy="304800"/>
        </a:xfrm>
        <a:custGeom>
          <a:avLst/>
          <a:gdLst>
            <a:gd name="T0" fmla="*/ 0 w 21041"/>
            <a:gd name="T1" fmla="*/ 2147483647 h 21600"/>
            <a:gd name="T2" fmla="*/ 2147483647 w 21041"/>
            <a:gd name="T3" fmla="*/ 2147483647 h 21600"/>
            <a:gd name="T4" fmla="*/ 2147483647 w 21041"/>
            <a:gd name="T5" fmla="*/ 2147483647 h 21600"/>
            <a:gd name="T6" fmla="*/ 0 60000 65536"/>
            <a:gd name="T7" fmla="*/ 0 60000 65536"/>
            <a:gd name="T8" fmla="*/ 0 60000 65536"/>
            <a:gd name="T9" fmla="*/ 0 w 21041"/>
            <a:gd name="T10" fmla="*/ 0 h 21600"/>
            <a:gd name="T11" fmla="*/ 21041 w 21041"/>
            <a:gd name="T12" fmla="*/ 21600 h 21600"/>
          </a:gdLst>
          <a:ahLst/>
          <a:cxnLst>
            <a:cxn ang="T6">
              <a:pos x="T0" y="T1"/>
            </a:cxn>
            <a:cxn ang="T7">
              <a:pos x="T2" y="T3"/>
            </a:cxn>
            <a:cxn ang="T8">
              <a:pos x="T4" y="T5"/>
            </a:cxn>
          </a:cxnLst>
          <a:rect l="T9" t="T10" r="T11" b="T12"/>
          <a:pathLst>
            <a:path w="21041" h="21600" fill="none" extrusionOk="0">
              <a:moveTo>
                <a:pt x="-1" y="84"/>
              </a:moveTo>
              <a:cubicBezTo>
                <a:pt x="635" y="28"/>
                <a:pt x="1273" y="-1"/>
                <a:pt x="1912" y="0"/>
              </a:cubicBezTo>
              <a:cubicBezTo>
                <a:pt x="9943" y="0"/>
                <a:pt x="17311" y="4455"/>
                <a:pt x="21041" y="11567"/>
              </a:cubicBezTo>
            </a:path>
            <a:path w="21041" h="21600" stroke="0" extrusionOk="0">
              <a:moveTo>
                <a:pt x="-1" y="84"/>
              </a:moveTo>
              <a:cubicBezTo>
                <a:pt x="635" y="28"/>
                <a:pt x="1273" y="-1"/>
                <a:pt x="1912" y="0"/>
              </a:cubicBezTo>
              <a:cubicBezTo>
                <a:pt x="9943" y="0"/>
                <a:pt x="17311" y="4455"/>
                <a:pt x="21041" y="11567"/>
              </a:cubicBezTo>
              <a:lnTo>
                <a:pt x="1912" y="21600"/>
              </a:lnTo>
              <a:lnTo>
                <a:pt x="-1" y="84"/>
              </a:lnTo>
              <a:close/>
            </a:path>
          </a:pathLst>
        </a:custGeom>
        <a:noFill/>
        <a:ln w="9525">
          <a:solidFill>
            <a:srgbClr val="000000"/>
          </a:solidFill>
          <a:round/>
          <a:headEnd/>
          <a:tailEnd/>
        </a:ln>
      </xdr:spPr>
    </xdr:sp>
    <xdr:clientData/>
  </xdr:twoCellAnchor>
  <xdr:twoCellAnchor editAs="oneCell">
    <xdr:from>
      <xdr:col>6</xdr:col>
      <xdr:colOff>200025</xdr:colOff>
      <xdr:row>18</xdr:row>
      <xdr:rowOff>133350</xdr:rowOff>
    </xdr:from>
    <xdr:to>
      <xdr:col>6</xdr:col>
      <xdr:colOff>428625</xdr:colOff>
      <xdr:row>19</xdr:row>
      <xdr:rowOff>152400</xdr:rowOff>
    </xdr:to>
    <xdr:sp macro="" textlink="">
      <xdr:nvSpPr>
        <xdr:cNvPr id="169005" name="Text Box 45">
          <a:extLst>
            <a:ext uri="{FF2B5EF4-FFF2-40B4-BE49-F238E27FC236}">
              <a16:creationId xmlns:a16="http://schemas.microsoft.com/office/drawing/2014/main" id="{00000000-0008-0000-0300-00002D940200}"/>
            </a:ext>
          </a:extLst>
        </xdr:cNvPr>
        <xdr:cNvSpPr txBox="1">
          <a:spLocks noChangeArrowheads="1"/>
        </xdr:cNvSpPr>
      </xdr:nvSpPr>
      <xdr:spPr bwMode="auto">
        <a:xfrm>
          <a:off x="4772025" y="3086100"/>
          <a:ext cx="228600" cy="18097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FF"/>
              </a:solidFill>
              <a:latin typeface="Symbol"/>
            </a:rPr>
            <a:t>q </a:t>
          </a:r>
          <a:r>
            <a:rPr lang="en-US" sz="800" b="0" i="0" u="none" strike="noStrike" baseline="30000">
              <a:solidFill>
                <a:srgbClr val="0000FF"/>
              </a:solidFill>
              <a:latin typeface="Arial"/>
              <a:cs typeface="Arial"/>
            </a:rPr>
            <a:t>o</a:t>
          </a:r>
          <a:endParaRPr lang="en-US"/>
        </a:p>
      </xdr:txBody>
    </xdr:sp>
    <xdr:clientData/>
  </xdr:twoCellAnchor>
  <xdr:twoCellAnchor>
    <xdr:from>
      <xdr:col>6</xdr:col>
      <xdr:colOff>400050</xdr:colOff>
      <xdr:row>18</xdr:row>
      <xdr:rowOff>152400</xdr:rowOff>
    </xdr:from>
    <xdr:to>
      <xdr:col>7</xdr:col>
      <xdr:colOff>190500</xdr:colOff>
      <xdr:row>18</xdr:row>
      <xdr:rowOff>152400</xdr:rowOff>
    </xdr:to>
    <xdr:sp macro="" textlink="">
      <xdr:nvSpPr>
        <xdr:cNvPr id="258591" name="Line 46">
          <a:extLst>
            <a:ext uri="{FF2B5EF4-FFF2-40B4-BE49-F238E27FC236}">
              <a16:creationId xmlns:a16="http://schemas.microsoft.com/office/drawing/2014/main" id="{00000000-0008-0000-0300-00001FF20300}"/>
            </a:ext>
          </a:extLst>
        </xdr:cNvPr>
        <xdr:cNvSpPr>
          <a:spLocks noChangeShapeType="1"/>
        </xdr:cNvSpPr>
      </xdr:nvSpPr>
      <xdr:spPr bwMode="auto">
        <a:xfrm>
          <a:off x="4972050" y="3105150"/>
          <a:ext cx="466725" cy="0"/>
        </a:xfrm>
        <a:prstGeom prst="line">
          <a:avLst/>
        </a:prstGeom>
        <a:noFill/>
        <a:ln w="9525">
          <a:solidFill>
            <a:srgbClr val="000000"/>
          </a:solidFill>
          <a:round/>
          <a:headEnd/>
          <a:tailEnd/>
        </a:ln>
      </xdr:spPr>
    </xdr:sp>
    <xdr:clientData/>
  </xdr:twoCellAnchor>
  <xdr:twoCellAnchor>
    <xdr:from>
      <xdr:col>6</xdr:col>
      <xdr:colOff>609600</xdr:colOff>
      <xdr:row>18</xdr:row>
      <xdr:rowOff>152400</xdr:rowOff>
    </xdr:from>
    <xdr:to>
      <xdr:col>6</xdr:col>
      <xdr:colOff>609600</xdr:colOff>
      <xdr:row>22</xdr:row>
      <xdr:rowOff>95250</xdr:rowOff>
    </xdr:to>
    <xdr:sp macro="" textlink="">
      <xdr:nvSpPr>
        <xdr:cNvPr id="258592" name="Line 47">
          <a:extLst>
            <a:ext uri="{FF2B5EF4-FFF2-40B4-BE49-F238E27FC236}">
              <a16:creationId xmlns:a16="http://schemas.microsoft.com/office/drawing/2014/main" id="{00000000-0008-0000-0300-000020F20300}"/>
            </a:ext>
          </a:extLst>
        </xdr:cNvPr>
        <xdr:cNvSpPr>
          <a:spLocks noChangeShapeType="1"/>
        </xdr:cNvSpPr>
      </xdr:nvSpPr>
      <xdr:spPr bwMode="auto">
        <a:xfrm>
          <a:off x="5181600" y="3105150"/>
          <a:ext cx="0" cy="590550"/>
        </a:xfrm>
        <a:prstGeom prst="line">
          <a:avLst/>
        </a:prstGeom>
        <a:noFill/>
        <a:ln w="9525">
          <a:solidFill>
            <a:srgbClr val="000000"/>
          </a:solidFill>
          <a:round/>
          <a:headEnd type="stealth" w="sm" len="sm"/>
          <a:tailEnd type="stealth" w="sm" len="sm"/>
        </a:ln>
      </xdr:spPr>
    </xdr:sp>
    <xdr:clientData/>
  </xdr:twoCellAnchor>
  <xdr:twoCellAnchor>
    <xdr:from>
      <xdr:col>6</xdr:col>
      <xdr:colOff>352425</xdr:colOff>
      <xdr:row>14</xdr:row>
      <xdr:rowOff>47625</xdr:rowOff>
    </xdr:from>
    <xdr:to>
      <xdr:col>6</xdr:col>
      <xdr:colOff>504825</xdr:colOff>
      <xdr:row>15</xdr:row>
      <xdr:rowOff>47625</xdr:rowOff>
    </xdr:to>
    <xdr:sp macro="" textlink="">
      <xdr:nvSpPr>
        <xdr:cNvPr id="169008" name="Text Box 48">
          <a:extLst>
            <a:ext uri="{FF2B5EF4-FFF2-40B4-BE49-F238E27FC236}">
              <a16:creationId xmlns:a16="http://schemas.microsoft.com/office/drawing/2014/main" id="{00000000-0008-0000-0300-000030940200}"/>
            </a:ext>
          </a:extLst>
        </xdr:cNvPr>
        <xdr:cNvSpPr txBox="1">
          <a:spLocks noChangeArrowheads="1"/>
        </xdr:cNvSpPr>
      </xdr:nvSpPr>
      <xdr:spPr bwMode="auto">
        <a:xfrm>
          <a:off x="4924425" y="23526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xdr:from>
      <xdr:col>7</xdr:col>
      <xdr:colOff>466725</xdr:colOff>
      <xdr:row>9</xdr:row>
      <xdr:rowOff>114300</xdr:rowOff>
    </xdr:from>
    <xdr:to>
      <xdr:col>7</xdr:col>
      <xdr:colOff>647700</xdr:colOff>
      <xdr:row>10</xdr:row>
      <xdr:rowOff>123825</xdr:rowOff>
    </xdr:to>
    <xdr:sp macro="" textlink="">
      <xdr:nvSpPr>
        <xdr:cNvPr id="169009" name="Text Box 49">
          <a:extLst>
            <a:ext uri="{FF2B5EF4-FFF2-40B4-BE49-F238E27FC236}">
              <a16:creationId xmlns:a16="http://schemas.microsoft.com/office/drawing/2014/main" id="{00000000-0008-0000-0300-000031940200}"/>
            </a:ext>
          </a:extLst>
        </xdr:cNvPr>
        <xdr:cNvSpPr txBox="1">
          <a:spLocks noChangeArrowheads="1"/>
        </xdr:cNvSpPr>
      </xdr:nvSpPr>
      <xdr:spPr bwMode="auto">
        <a:xfrm>
          <a:off x="5715000" y="1609725"/>
          <a:ext cx="180975" cy="17145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B</a:t>
          </a:r>
          <a:endParaRPr lang="en-US"/>
        </a:p>
      </xdr:txBody>
    </xdr:sp>
    <xdr:clientData/>
  </xdr:twoCellAnchor>
  <xdr:twoCellAnchor>
    <xdr:from>
      <xdr:col>5</xdr:col>
      <xdr:colOff>142875</xdr:colOff>
      <xdr:row>19</xdr:row>
      <xdr:rowOff>104775</xdr:rowOff>
    </xdr:from>
    <xdr:to>
      <xdr:col>5</xdr:col>
      <xdr:colOff>352425</xdr:colOff>
      <xdr:row>20</xdr:row>
      <xdr:rowOff>95250</xdr:rowOff>
    </xdr:to>
    <xdr:sp macro="" textlink="">
      <xdr:nvSpPr>
        <xdr:cNvPr id="169010" name="Text Box 50">
          <a:extLst>
            <a:ext uri="{FF2B5EF4-FFF2-40B4-BE49-F238E27FC236}">
              <a16:creationId xmlns:a16="http://schemas.microsoft.com/office/drawing/2014/main" id="{00000000-0008-0000-0300-000032940200}"/>
            </a:ext>
          </a:extLst>
        </xdr:cNvPr>
        <xdr:cNvSpPr txBox="1">
          <a:spLocks noChangeArrowheads="1"/>
        </xdr:cNvSpPr>
      </xdr:nvSpPr>
      <xdr:spPr bwMode="auto">
        <a:xfrm>
          <a:off x="4038600" y="3219450"/>
          <a:ext cx="209550"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r</a:t>
          </a:r>
          <a:endParaRPr lang="en-US"/>
        </a:p>
      </xdr:txBody>
    </xdr:sp>
    <xdr:clientData/>
  </xdr:twoCellAnchor>
  <xdr:twoCellAnchor>
    <xdr:from>
      <xdr:col>7</xdr:col>
      <xdr:colOff>476250</xdr:colOff>
      <xdr:row>20</xdr:row>
      <xdr:rowOff>133350</xdr:rowOff>
    </xdr:from>
    <xdr:to>
      <xdr:col>7</xdr:col>
      <xdr:colOff>657225</xdr:colOff>
      <xdr:row>21</xdr:row>
      <xdr:rowOff>123825</xdr:rowOff>
    </xdr:to>
    <xdr:sp macro="" textlink="">
      <xdr:nvSpPr>
        <xdr:cNvPr id="169011" name="Text Box 51">
          <a:extLst>
            <a:ext uri="{FF2B5EF4-FFF2-40B4-BE49-F238E27FC236}">
              <a16:creationId xmlns:a16="http://schemas.microsoft.com/office/drawing/2014/main" id="{00000000-0008-0000-0300-000033940200}"/>
            </a:ext>
          </a:extLst>
        </xdr:cNvPr>
        <xdr:cNvSpPr txBox="1">
          <a:spLocks noChangeArrowheads="1"/>
        </xdr:cNvSpPr>
      </xdr:nvSpPr>
      <xdr:spPr bwMode="auto">
        <a:xfrm>
          <a:off x="5724525" y="3409950"/>
          <a:ext cx="180975"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e</a:t>
          </a:r>
          <a:endParaRPr lang="en-US"/>
        </a:p>
      </xdr:txBody>
    </xdr:sp>
    <xdr:clientData/>
  </xdr:twoCellAnchor>
  <xdr:twoCellAnchor>
    <xdr:from>
      <xdr:col>6</xdr:col>
      <xdr:colOff>609600</xdr:colOff>
      <xdr:row>20</xdr:row>
      <xdr:rowOff>38100</xdr:rowOff>
    </xdr:from>
    <xdr:to>
      <xdr:col>7</xdr:col>
      <xdr:colOff>123825</xdr:colOff>
      <xdr:row>21</xdr:row>
      <xdr:rowOff>57150</xdr:rowOff>
    </xdr:to>
    <xdr:sp macro="" textlink="">
      <xdr:nvSpPr>
        <xdr:cNvPr id="169012" name="Text Box 52">
          <a:extLst>
            <a:ext uri="{FF2B5EF4-FFF2-40B4-BE49-F238E27FC236}">
              <a16:creationId xmlns:a16="http://schemas.microsoft.com/office/drawing/2014/main" id="{00000000-0008-0000-0300-000034940200}"/>
            </a:ext>
          </a:extLst>
        </xdr:cNvPr>
        <xdr:cNvSpPr txBox="1">
          <a:spLocks noChangeArrowheads="1"/>
        </xdr:cNvSpPr>
      </xdr:nvSpPr>
      <xdr:spPr bwMode="auto">
        <a:xfrm>
          <a:off x="5181600" y="3314700"/>
          <a:ext cx="190500" cy="18097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endParaRPr lang="en-US"/>
        </a:p>
      </xdr:txBody>
    </xdr:sp>
    <xdr:clientData/>
  </xdr:twoCellAnchor>
  <xdr:twoCellAnchor>
    <xdr:from>
      <xdr:col>6</xdr:col>
      <xdr:colOff>247650</xdr:colOff>
      <xdr:row>15</xdr:row>
      <xdr:rowOff>76200</xdr:rowOff>
    </xdr:from>
    <xdr:to>
      <xdr:col>6</xdr:col>
      <xdr:colOff>628650</xdr:colOff>
      <xdr:row>16</xdr:row>
      <xdr:rowOff>104775</xdr:rowOff>
    </xdr:to>
    <xdr:sp macro="" textlink="">
      <xdr:nvSpPr>
        <xdr:cNvPr id="169013" name="Text Box 53">
          <a:extLst>
            <a:ext uri="{FF2B5EF4-FFF2-40B4-BE49-F238E27FC236}">
              <a16:creationId xmlns:a16="http://schemas.microsoft.com/office/drawing/2014/main" id="{00000000-0008-0000-0300-000035940200}"/>
            </a:ext>
          </a:extLst>
        </xdr:cNvPr>
        <xdr:cNvSpPr txBox="1">
          <a:spLocks noChangeArrowheads="1"/>
        </xdr:cNvSpPr>
      </xdr:nvSpPr>
      <xdr:spPr bwMode="auto">
        <a:xfrm>
          <a:off x="4819650" y="2543175"/>
          <a:ext cx="381000" cy="19050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Plan</a:t>
          </a:r>
          <a:endParaRPr lang="en-US"/>
        </a:p>
      </xdr:txBody>
    </xdr:sp>
    <xdr:clientData/>
  </xdr:twoCellAnchor>
  <xdr:twoCellAnchor>
    <xdr:from>
      <xdr:col>6</xdr:col>
      <xdr:colOff>104775</xdr:colOff>
      <xdr:row>24</xdr:row>
      <xdr:rowOff>9525</xdr:rowOff>
    </xdr:from>
    <xdr:to>
      <xdr:col>7</xdr:col>
      <xdr:colOff>47625</xdr:colOff>
      <xdr:row>25</xdr:row>
      <xdr:rowOff>57150</xdr:rowOff>
    </xdr:to>
    <xdr:sp macro="" textlink="">
      <xdr:nvSpPr>
        <xdr:cNvPr id="169014" name="Text Box 54">
          <a:extLst>
            <a:ext uri="{FF2B5EF4-FFF2-40B4-BE49-F238E27FC236}">
              <a16:creationId xmlns:a16="http://schemas.microsoft.com/office/drawing/2014/main" id="{00000000-0008-0000-0300-000036940200}"/>
            </a:ext>
          </a:extLst>
        </xdr:cNvPr>
        <xdr:cNvSpPr txBox="1">
          <a:spLocks noChangeArrowheads="1"/>
        </xdr:cNvSpPr>
      </xdr:nvSpPr>
      <xdr:spPr bwMode="auto">
        <a:xfrm>
          <a:off x="4676775" y="3933825"/>
          <a:ext cx="619125" cy="20955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Elevation</a:t>
          </a:r>
          <a:endParaRPr lang="en-US"/>
        </a:p>
      </xdr:txBody>
    </xdr:sp>
    <xdr:clientData/>
  </xdr:twoCellAnchor>
  <xdr:twoCellAnchor>
    <xdr:from>
      <xdr:col>6</xdr:col>
      <xdr:colOff>352425</xdr:colOff>
      <xdr:row>22</xdr:row>
      <xdr:rowOff>123825</xdr:rowOff>
    </xdr:from>
    <xdr:to>
      <xdr:col>6</xdr:col>
      <xdr:colOff>504825</xdr:colOff>
      <xdr:row>23</xdr:row>
      <xdr:rowOff>123825</xdr:rowOff>
    </xdr:to>
    <xdr:sp macro="" textlink="">
      <xdr:nvSpPr>
        <xdr:cNvPr id="169015" name="Text Box 55">
          <a:extLst>
            <a:ext uri="{FF2B5EF4-FFF2-40B4-BE49-F238E27FC236}">
              <a16:creationId xmlns:a16="http://schemas.microsoft.com/office/drawing/2014/main" id="{00000000-0008-0000-0300-000037940200}"/>
            </a:ext>
          </a:extLst>
        </xdr:cNvPr>
        <xdr:cNvSpPr txBox="1">
          <a:spLocks noChangeArrowheads="1"/>
        </xdr:cNvSpPr>
      </xdr:nvSpPr>
      <xdr:spPr bwMode="auto">
        <a:xfrm>
          <a:off x="4924425" y="37242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editAs="oneCell">
    <xdr:from>
      <xdr:col>1</xdr:col>
      <xdr:colOff>542925</xdr:colOff>
      <xdr:row>112</xdr:row>
      <xdr:rowOff>38100</xdr:rowOff>
    </xdr:from>
    <xdr:to>
      <xdr:col>5</xdr:col>
      <xdr:colOff>400050</xdr:colOff>
      <xdr:row>122</xdr:row>
      <xdr:rowOff>76200</xdr:rowOff>
    </xdr:to>
    <xdr:pic>
      <xdr:nvPicPr>
        <xdr:cNvPr id="258601" name="Picture 75">
          <a:extLst>
            <a:ext uri="{FF2B5EF4-FFF2-40B4-BE49-F238E27FC236}">
              <a16:creationId xmlns:a16="http://schemas.microsoft.com/office/drawing/2014/main" id="{00000000-0008-0000-0300-000029F203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90700" y="18249900"/>
          <a:ext cx="2505075" cy="1657350"/>
        </a:xfrm>
        <a:prstGeom prst="rect">
          <a:avLst/>
        </a:prstGeom>
        <a:noFill/>
        <a:ln w="9525">
          <a:noFill/>
          <a:miter lim="800000"/>
          <a:headEnd/>
          <a:tailEnd/>
        </a:ln>
      </xdr:spPr>
    </xdr:pic>
    <xdr:clientData/>
  </xdr:twoCellAnchor>
  <xdr:twoCellAnchor editAs="oneCell">
    <xdr:from>
      <xdr:col>2</xdr:col>
      <xdr:colOff>76200</xdr:colOff>
      <xdr:row>130</xdr:row>
      <xdr:rowOff>0</xdr:rowOff>
    </xdr:from>
    <xdr:to>
      <xdr:col>5</xdr:col>
      <xdr:colOff>161925</xdr:colOff>
      <xdr:row>145</xdr:row>
      <xdr:rowOff>57150</xdr:rowOff>
    </xdr:to>
    <xdr:pic>
      <xdr:nvPicPr>
        <xdr:cNvPr id="258602" name="Picture 76">
          <a:extLst>
            <a:ext uri="{FF2B5EF4-FFF2-40B4-BE49-F238E27FC236}">
              <a16:creationId xmlns:a16="http://schemas.microsoft.com/office/drawing/2014/main" id="{00000000-0008-0000-0300-00002AF203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33575" y="21126450"/>
          <a:ext cx="2124075" cy="24860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514350</xdr:colOff>
      <xdr:row>6</xdr:row>
      <xdr:rowOff>104775</xdr:rowOff>
    </xdr:from>
    <xdr:to>
      <xdr:col>7</xdr:col>
      <xdr:colOff>323850</xdr:colOff>
      <xdr:row>13</xdr:row>
      <xdr:rowOff>114300</xdr:rowOff>
    </xdr:to>
    <xdr:sp macro="" textlink="">
      <xdr:nvSpPr>
        <xdr:cNvPr id="261243" name="Rectangle 31">
          <a:extLst>
            <a:ext uri="{FF2B5EF4-FFF2-40B4-BE49-F238E27FC236}">
              <a16:creationId xmlns:a16="http://schemas.microsoft.com/office/drawing/2014/main" id="{00000000-0008-0000-0400-00007BFC0300}"/>
            </a:ext>
          </a:extLst>
        </xdr:cNvPr>
        <xdr:cNvSpPr>
          <a:spLocks noChangeArrowheads="1"/>
        </xdr:cNvSpPr>
      </xdr:nvSpPr>
      <xdr:spPr bwMode="auto">
        <a:xfrm>
          <a:off x="4410075" y="1114425"/>
          <a:ext cx="1162050" cy="1143000"/>
        </a:xfrm>
        <a:prstGeom prst="rect">
          <a:avLst/>
        </a:prstGeom>
        <a:solidFill>
          <a:srgbClr val="FFFFFF"/>
        </a:solidFill>
        <a:ln w="9525">
          <a:solidFill>
            <a:srgbClr val="000000"/>
          </a:solidFill>
          <a:miter lim="800000"/>
          <a:headEnd/>
          <a:tailEnd/>
        </a:ln>
      </xdr:spPr>
    </xdr:sp>
    <xdr:clientData/>
  </xdr:twoCellAnchor>
  <xdr:twoCellAnchor>
    <xdr:from>
      <xdr:col>6</xdr:col>
      <xdr:colOff>419100</xdr:colOff>
      <xdr:row>6</xdr:row>
      <xdr:rowOff>104775</xdr:rowOff>
    </xdr:from>
    <xdr:to>
      <xdr:col>6</xdr:col>
      <xdr:colOff>419100</xdr:colOff>
      <xdr:row>13</xdr:row>
      <xdr:rowOff>114300</xdr:rowOff>
    </xdr:to>
    <xdr:sp macro="" textlink="">
      <xdr:nvSpPr>
        <xdr:cNvPr id="261244" name="Line 32">
          <a:extLst>
            <a:ext uri="{FF2B5EF4-FFF2-40B4-BE49-F238E27FC236}">
              <a16:creationId xmlns:a16="http://schemas.microsoft.com/office/drawing/2014/main" id="{00000000-0008-0000-0400-00007CFC0300}"/>
            </a:ext>
          </a:extLst>
        </xdr:cNvPr>
        <xdr:cNvSpPr>
          <a:spLocks noChangeShapeType="1"/>
        </xdr:cNvSpPr>
      </xdr:nvSpPr>
      <xdr:spPr bwMode="auto">
        <a:xfrm>
          <a:off x="4991100" y="1114425"/>
          <a:ext cx="0" cy="1143000"/>
        </a:xfrm>
        <a:prstGeom prst="line">
          <a:avLst/>
        </a:prstGeom>
        <a:noFill/>
        <a:ln w="9525">
          <a:solidFill>
            <a:srgbClr val="000000"/>
          </a:solidFill>
          <a:round/>
          <a:headEnd/>
          <a:tailEnd/>
        </a:ln>
      </xdr:spPr>
    </xdr:sp>
    <xdr:clientData/>
  </xdr:twoCellAnchor>
  <xdr:twoCellAnchor>
    <xdr:from>
      <xdr:col>5</xdr:col>
      <xdr:colOff>514350</xdr:colOff>
      <xdr:row>20</xdr:row>
      <xdr:rowOff>9525</xdr:rowOff>
    </xdr:from>
    <xdr:to>
      <xdr:col>5</xdr:col>
      <xdr:colOff>514350</xdr:colOff>
      <xdr:row>22</xdr:row>
      <xdr:rowOff>95250</xdr:rowOff>
    </xdr:to>
    <xdr:sp macro="" textlink="">
      <xdr:nvSpPr>
        <xdr:cNvPr id="261245" name="Line 33">
          <a:extLst>
            <a:ext uri="{FF2B5EF4-FFF2-40B4-BE49-F238E27FC236}">
              <a16:creationId xmlns:a16="http://schemas.microsoft.com/office/drawing/2014/main" id="{00000000-0008-0000-0400-00007DFC0300}"/>
            </a:ext>
          </a:extLst>
        </xdr:cNvPr>
        <xdr:cNvSpPr>
          <a:spLocks noChangeShapeType="1"/>
        </xdr:cNvSpPr>
      </xdr:nvSpPr>
      <xdr:spPr bwMode="auto">
        <a:xfrm flipV="1">
          <a:off x="4410075" y="3286125"/>
          <a:ext cx="0" cy="409575"/>
        </a:xfrm>
        <a:prstGeom prst="line">
          <a:avLst/>
        </a:prstGeom>
        <a:noFill/>
        <a:ln w="9525">
          <a:solidFill>
            <a:srgbClr val="000000"/>
          </a:solidFill>
          <a:round/>
          <a:headEnd/>
          <a:tailEnd/>
        </a:ln>
      </xdr:spPr>
    </xdr:sp>
    <xdr:clientData/>
  </xdr:twoCellAnchor>
  <xdr:twoCellAnchor>
    <xdr:from>
      <xdr:col>7</xdr:col>
      <xdr:colOff>323850</xdr:colOff>
      <xdr:row>20</xdr:row>
      <xdr:rowOff>9525</xdr:rowOff>
    </xdr:from>
    <xdr:to>
      <xdr:col>7</xdr:col>
      <xdr:colOff>323850</xdr:colOff>
      <xdr:row>22</xdr:row>
      <xdr:rowOff>95250</xdr:rowOff>
    </xdr:to>
    <xdr:sp macro="" textlink="">
      <xdr:nvSpPr>
        <xdr:cNvPr id="261246" name="Line 34">
          <a:extLst>
            <a:ext uri="{FF2B5EF4-FFF2-40B4-BE49-F238E27FC236}">
              <a16:creationId xmlns:a16="http://schemas.microsoft.com/office/drawing/2014/main" id="{00000000-0008-0000-0400-00007EFC0300}"/>
            </a:ext>
          </a:extLst>
        </xdr:cNvPr>
        <xdr:cNvSpPr>
          <a:spLocks noChangeShapeType="1"/>
        </xdr:cNvSpPr>
      </xdr:nvSpPr>
      <xdr:spPr bwMode="auto">
        <a:xfrm flipV="1">
          <a:off x="5572125" y="3286125"/>
          <a:ext cx="0" cy="409575"/>
        </a:xfrm>
        <a:prstGeom prst="line">
          <a:avLst/>
        </a:prstGeom>
        <a:noFill/>
        <a:ln w="9525">
          <a:solidFill>
            <a:srgbClr val="000000"/>
          </a:solidFill>
          <a:round/>
          <a:headEnd/>
          <a:tailEnd/>
        </a:ln>
      </xdr:spPr>
    </xdr:sp>
    <xdr:clientData/>
  </xdr:twoCellAnchor>
  <xdr:twoCellAnchor>
    <xdr:from>
      <xdr:col>5</xdr:col>
      <xdr:colOff>514350</xdr:colOff>
      <xdr:row>17</xdr:row>
      <xdr:rowOff>152400</xdr:rowOff>
    </xdr:from>
    <xdr:to>
      <xdr:col>6</xdr:col>
      <xdr:colOff>419100</xdr:colOff>
      <xdr:row>20</xdr:row>
      <xdr:rowOff>9525</xdr:rowOff>
    </xdr:to>
    <xdr:sp macro="" textlink="">
      <xdr:nvSpPr>
        <xdr:cNvPr id="261247" name="Line 35">
          <a:extLst>
            <a:ext uri="{FF2B5EF4-FFF2-40B4-BE49-F238E27FC236}">
              <a16:creationId xmlns:a16="http://schemas.microsoft.com/office/drawing/2014/main" id="{00000000-0008-0000-0400-00007FFC0300}"/>
            </a:ext>
          </a:extLst>
        </xdr:cNvPr>
        <xdr:cNvSpPr>
          <a:spLocks noChangeShapeType="1"/>
        </xdr:cNvSpPr>
      </xdr:nvSpPr>
      <xdr:spPr bwMode="auto">
        <a:xfrm flipV="1">
          <a:off x="4410075" y="2943225"/>
          <a:ext cx="581025" cy="342900"/>
        </a:xfrm>
        <a:prstGeom prst="line">
          <a:avLst/>
        </a:prstGeom>
        <a:noFill/>
        <a:ln w="9525">
          <a:solidFill>
            <a:srgbClr val="000000"/>
          </a:solidFill>
          <a:round/>
          <a:headEnd/>
          <a:tailEnd/>
        </a:ln>
      </xdr:spPr>
    </xdr:sp>
    <xdr:clientData/>
  </xdr:twoCellAnchor>
  <xdr:twoCellAnchor>
    <xdr:from>
      <xdr:col>6</xdr:col>
      <xdr:colOff>419100</xdr:colOff>
      <xdr:row>17</xdr:row>
      <xdr:rowOff>152400</xdr:rowOff>
    </xdr:from>
    <xdr:to>
      <xdr:col>7</xdr:col>
      <xdr:colOff>323850</xdr:colOff>
      <xdr:row>20</xdr:row>
      <xdr:rowOff>9525</xdr:rowOff>
    </xdr:to>
    <xdr:sp macro="" textlink="">
      <xdr:nvSpPr>
        <xdr:cNvPr id="261248" name="Line 36">
          <a:extLst>
            <a:ext uri="{FF2B5EF4-FFF2-40B4-BE49-F238E27FC236}">
              <a16:creationId xmlns:a16="http://schemas.microsoft.com/office/drawing/2014/main" id="{00000000-0008-0000-0400-000080FC0300}"/>
            </a:ext>
          </a:extLst>
        </xdr:cNvPr>
        <xdr:cNvSpPr>
          <a:spLocks noChangeShapeType="1"/>
        </xdr:cNvSpPr>
      </xdr:nvSpPr>
      <xdr:spPr bwMode="auto">
        <a:xfrm>
          <a:off x="4991100" y="2943225"/>
          <a:ext cx="581025" cy="342900"/>
        </a:xfrm>
        <a:prstGeom prst="line">
          <a:avLst/>
        </a:prstGeom>
        <a:noFill/>
        <a:ln w="9525">
          <a:solidFill>
            <a:srgbClr val="000000"/>
          </a:solidFill>
          <a:round/>
          <a:headEnd/>
          <a:tailEnd/>
        </a:ln>
      </xdr:spPr>
    </xdr:sp>
    <xdr:clientData/>
  </xdr:twoCellAnchor>
  <xdr:twoCellAnchor>
    <xdr:from>
      <xdr:col>5</xdr:col>
      <xdr:colOff>514350</xdr:colOff>
      <xdr:row>22</xdr:row>
      <xdr:rowOff>95250</xdr:rowOff>
    </xdr:from>
    <xdr:to>
      <xdr:col>7</xdr:col>
      <xdr:colOff>323850</xdr:colOff>
      <xdr:row>22</xdr:row>
      <xdr:rowOff>95250</xdr:rowOff>
    </xdr:to>
    <xdr:sp macro="" textlink="">
      <xdr:nvSpPr>
        <xdr:cNvPr id="261249" name="Line 37">
          <a:extLst>
            <a:ext uri="{FF2B5EF4-FFF2-40B4-BE49-F238E27FC236}">
              <a16:creationId xmlns:a16="http://schemas.microsoft.com/office/drawing/2014/main" id="{00000000-0008-0000-0400-000081FC0300}"/>
            </a:ext>
          </a:extLst>
        </xdr:cNvPr>
        <xdr:cNvSpPr>
          <a:spLocks noChangeShapeType="1"/>
        </xdr:cNvSpPr>
      </xdr:nvSpPr>
      <xdr:spPr bwMode="auto">
        <a:xfrm>
          <a:off x="4410075" y="3695700"/>
          <a:ext cx="1162050" cy="0"/>
        </a:xfrm>
        <a:prstGeom prst="line">
          <a:avLst/>
        </a:prstGeom>
        <a:noFill/>
        <a:ln w="9525">
          <a:solidFill>
            <a:srgbClr val="000000"/>
          </a:solidFill>
          <a:round/>
          <a:headEnd/>
          <a:tailEnd/>
        </a:ln>
      </xdr:spPr>
    </xdr:sp>
    <xdr:clientData/>
  </xdr:twoCellAnchor>
  <xdr:twoCellAnchor>
    <xdr:from>
      <xdr:col>5</xdr:col>
      <xdr:colOff>514350</xdr:colOff>
      <xdr:row>15</xdr:row>
      <xdr:rowOff>38100</xdr:rowOff>
    </xdr:from>
    <xdr:to>
      <xdr:col>7</xdr:col>
      <xdr:colOff>323850</xdr:colOff>
      <xdr:row>15</xdr:row>
      <xdr:rowOff>38100</xdr:rowOff>
    </xdr:to>
    <xdr:sp macro="" textlink="">
      <xdr:nvSpPr>
        <xdr:cNvPr id="261250" name="Line 38">
          <a:extLst>
            <a:ext uri="{FF2B5EF4-FFF2-40B4-BE49-F238E27FC236}">
              <a16:creationId xmlns:a16="http://schemas.microsoft.com/office/drawing/2014/main" id="{00000000-0008-0000-0400-000082FC0300}"/>
            </a:ext>
          </a:extLst>
        </xdr:cNvPr>
        <xdr:cNvSpPr>
          <a:spLocks noChangeShapeType="1"/>
        </xdr:cNvSpPr>
      </xdr:nvSpPr>
      <xdr:spPr bwMode="auto">
        <a:xfrm>
          <a:off x="4410075" y="2505075"/>
          <a:ext cx="1162050" cy="0"/>
        </a:xfrm>
        <a:prstGeom prst="line">
          <a:avLst/>
        </a:prstGeom>
        <a:noFill/>
        <a:ln w="9525">
          <a:solidFill>
            <a:srgbClr val="000000"/>
          </a:solidFill>
          <a:round/>
          <a:headEnd type="stealth" w="sm" len="sm"/>
          <a:tailEnd type="stealth" w="sm" len="sm"/>
        </a:ln>
      </xdr:spPr>
    </xdr:sp>
    <xdr:clientData/>
  </xdr:twoCellAnchor>
  <xdr:twoCellAnchor>
    <xdr:from>
      <xdr:col>5</xdr:col>
      <xdr:colOff>514350</xdr:colOff>
      <xdr:row>13</xdr:row>
      <xdr:rowOff>152400</xdr:rowOff>
    </xdr:from>
    <xdr:to>
      <xdr:col>5</xdr:col>
      <xdr:colOff>514350</xdr:colOff>
      <xdr:row>15</xdr:row>
      <xdr:rowOff>95250</xdr:rowOff>
    </xdr:to>
    <xdr:sp macro="" textlink="">
      <xdr:nvSpPr>
        <xdr:cNvPr id="261251" name="Line 39">
          <a:extLst>
            <a:ext uri="{FF2B5EF4-FFF2-40B4-BE49-F238E27FC236}">
              <a16:creationId xmlns:a16="http://schemas.microsoft.com/office/drawing/2014/main" id="{00000000-0008-0000-0400-000083FC0300}"/>
            </a:ext>
          </a:extLst>
        </xdr:cNvPr>
        <xdr:cNvSpPr>
          <a:spLocks noChangeShapeType="1"/>
        </xdr:cNvSpPr>
      </xdr:nvSpPr>
      <xdr:spPr bwMode="auto">
        <a:xfrm>
          <a:off x="4410075" y="2295525"/>
          <a:ext cx="0" cy="266700"/>
        </a:xfrm>
        <a:prstGeom prst="line">
          <a:avLst/>
        </a:prstGeom>
        <a:noFill/>
        <a:ln w="9525">
          <a:solidFill>
            <a:srgbClr val="000000"/>
          </a:solidFill>
          <a:round/>
          <a:headEnd/>
          <a:tailEnd/>
        </a:ln>
      </xdr:spPr>
    </xdr:sp>
    <xdr:clientData/>
  </xdr:twoCellAnchor>
  <xdr:twoCellAnchor>
    <xdr:from>
      <xdr:col>7</xdr:col>
      <xdr:colOff>323850</xdr:colOff>
      <xdr:row>13</xdr:row>
      <xdr:rowOff>152400</xdr:rowOff>
    </xdr:from>
    <xdr:to>
      <xdr:col>7</xdr:col>
      <xdr:colOff>323850</xdr:colOff>
      <xdr:row>15</xdr:row>
      <xdr:rowOff>95250</xdr:rowOff>
    </xdr:to>
    <xdr:sp macro="" textlink="">
      <xdr:nvSpPr>
        <xdr:cNvPr id="261252" name="Line 40">
          <a:extLst>
            <a:ext uri="{FF2B5EF4-FFF2-40B4-BE49-F238E27FC236}">
              <a16:creationId xmlns:a16="http://schemas.microsoft.com/office/drawing/2014/main" id="{00000000-0008-0000-0400-000084FC0300}"/>
            </a:ext>
          </a:extLst>
        </xdr:cNvPr>
        <xdr:cNvSpPr>
          <a:spLocks noChangeShapeType="1"/>
        </xdr:cNvSpPr>
      </xdr:nvSpPr>
      <xdr:spPr bwMode="auto">
        <a:xfrm>
          <a:off x="5572125" y="2295525"/>
          <a:ext cx="0" cy="266700"/>
        </a:xfrm>
        <a:prstGeom prst="line">
          <a:avLst/>
        </a:prstGeom>
        <a:noFill/>
        <a:ln w="9525">
          <a:solidFill>
            <a:srgbClr val="000000"/>
          </a:solidFill>
          <a:round/>
          <a:headEnd/>
          <a:tailEnd/>
        </a:ln>
      </xdr:spPr>
    </xdr:sp>
    <xdr:clientData/>
  </xdr:twoCellAnchor>
  <xdr:twoCellAnchor>
    <xdr:from>
      <xdr:col>5</xdr:col>
      <xdr:colOff>514350</xdr:colOff>
      <xdr:row>22</xdr:row>
      <xdr:rowOff>123825</xdr:rowOff>
    </xdr:from>
    <xdr:to>
      <xdr:col>5</xdr:col>
      <xdr:colOff>514350</xdr:colOff>
      <xdr:row>24</xdr:row>
      <xdr:rowOff>66675</xdr:rowOff>
    </xdr:to>
    <xdr:sp macro="" textlink="">
      <xdr:nvSpPr>
        <xdr:cNvPr id="261253" name="Line 41">
          <a:extLst>
            <a:ext uri="{FF2B5EF4-FFF2-40B4-BE49-F238E27FC236}">
              <a16:creationId xmlns:a16="http://schemas.microsoft.com/office/drawing/2014/main" id="{00000000-0008-0000-0400-000085FC0300}"/>
            </a:ext>
          </a:extLst>
        </xdr:cNvPr>
        <xdr:cNvSpPr>
          <a:spLocks noChangeShapeType="1"/>
        </xdr:cNvSpPr>
      </xdr:nvSpPr>
      <xdr:spPr bwMode="auto">
        <a:xfrm>
          <a:off x="4410075" y="3724275"/>
          <a:ext cx="0" cy="266700"/>
        </a:xfrm>
        <a:prstGeom prst="line">
          <a:avLst/>
        </a:prstGeom>
        <a:noFill/>
        <a:ln w="9525">
          <a:solidFill>
            <a:srgbClr val="000000"/>
          </a:solidFill>
          <a:round/>
          <a:headEnd/>
          <a:tailEnd/>
        </a:ln>
      </xdr:spPr>
    </xdr:sp>
    <xdr:clientData/>
  </xdr:twoCellAnchor>
  <xdr:twoCellAnchor>
    <xdr:from>
      <xdr:col>7</xdr:col>
      <xdr:colOff>323850</xdr:colOff>
      <xdr:row>22</xdr:row>
      <xdr:rowOff>123825</xdr:rowOff>
    </xdr:from>
    <xdr:to>
      <xdr:col>7</xdr:col>
      <xdr:colOff>323850</xdr:colOff>
      <xdr:row>24</xdr:row>
      <xdr:rowOff>66675</xdr:rowOff>
    </xdr:to>
    <xdr:sp macro="" textlink="">
      <xdr:nvSpPr>
        <xdr:cNvPr id="261254" name="Line 42">
          <a:extLst>
            <a:ext uri="{FF2B5EF4-FFF2-40B4-BE49-F238E27FC236}">
              <a16:creationId xmlns:a16="http://schemas.microsoft.com/office/drawing/2014/main" id="{00000000-0008-0000-0400-000086FC0300}"/>
            </a:ext>
          </a:extLst>
        </xdr:cNvPr>
        <xdr:cNvSpPr>
          <a:spLocks noChangeShapeType="1"/>
        </xdr:cNvSpPr>
      </xdr:nvSpPr>
      <xdr:spPr bwMode="auto">
        <a:xfrm>
          <a:off x="5572125" y="3724275"/>
          <a:ext cx="0" cy="266700"/>
        </a:xfrm>
        <a:prstGeom prst="line">
          <a:avLst/>
        </a:prstGeom>
        <a:noFill/>
        <a:ln w="9525">
          <a:solidFill>
            <a:srgbClr val="000000"/>
          </a:solidFill>
          <a:round/>
          <a:headEnd/>
          <a:tailEnd/>
        </a:ln>
      </xdr:spPr>
    </xdr:sp>
    <xdr:clientData/>
  </xdr:twoCellAnchor>
  <xdr:twoCellAnchor>
    <xdr:from>
      <xdr:col>5</xdr:col>
      <xdr:colOff>514350</xdr:colOff>
      <xdr:row>23</xdr:row>
      <xdr:rowOff>114300</xdr:rowOff>
    </xdr:from>
    <xdr:to>
      <xdr:col>7</xdr:col>
      <xdr:colOff>323850</xdr:colOff>
      <xdr:row>23</xdr:row>
      <xdr:rowOff>114300</xdr:rowOff>
    </xdr:to>
    <xdr:sp macro="" textlink="">
      <xdr:nvSpPr>
        <xdr:cNvPr id="261255" name="Line 43">
          <a:extLst>
            <a:ext uri="{FF2B5EF4-FFF2-40B4-BE49-F238E27FC236}">
              <a16:creationId xmlns:a16="http://schemas.microsoft.com/office/drawing/2014/main" id="{00000000-0008-0000-0400-000087FC0300}"/>
            </a:ext>
          </a:extLst>
        </xdr:cNvPr>
        <xdr:cNvSpPr>
          <a:spLocks noChangeShapeType="1"/>
        </xdr:cNvSpPr>
      </xdr:nvSpPr>
      <xdr:spPr bwMode="auto">
        <a:xfrm>
          <a:off x="4410075" y="3876675"/>
          <a:ext cx="1162050" cy="0"/>
        </a:xfrm>
        <a:prstGeom prst="line">
          <a:avLst/>
        </a:prstGeom>
        <a:noFill/>
        <a:ln w="9525">
          <a:solidFill>
            <a:srgbClr val="000000"/>
          </a:solidFill>
          <a:round/>
          <a:headEnd type="stealth" w="sm" len="sm"/>
          <a:tailEnd type="stealth" w="sm" len="sm"/>
        </a:ln>
      </xdr:spPr>
    </xdr:sp>
    <xdr:clientData/>
  </xdr:twoCellAnchor>
  <xdr:twoCellAnchor>
    <xdr:from>
      <xdr:col>7</xdr:col>
      <xdr:colOff>352425</xdr:colOff>
      <xdr:row>22</xdr:row>
      <xdr:rowOff>95250</xdr:rowOff>
    </xdr:from>
    <xdr:to>
      <xdr:col>7</xdr:col>
      <xdr:colOff>609600</xdr:colOff>
      <xdr:row>22</xdr:row>
      <xdr:rowOff>95250</xdr:rowOff>
    </xdr:to>
    <xdr:sp macro="" textlink="">
      <xdr:nvSpPr>
        <xdr:cNvPr id="261256" name="Line 44">
          <a:extLst>
            <a:ext uri="{FF2B5EF4-FFF2-40B4-BE49-F238E27FC236}">
              <a16:creationId xmlns:a16="http://schemas.microsoft.com/office/drawing/2014/main" id="{00000000-0008-0000-0400-000088FC0300}"/>
            </a:ext>
          </a:extLst>
        </xdr:cNvPr>
        <xdr:cNvSpPr>
          <a:spLocks noChangeShapeType="1"/>
        </xdr:cNvSpPr>
      </xdr:nvSpPr>
      <xdr:spPr bwMode="auto">
        <a:xfrm>
          <a:off x="5600700" y="3695700"/>
          <a:ext cx="257175" cy="0"/>
        </a:xfrm>
        <a:prstGeom prst="line">
          <a:avLst/>
        </a:prstGeom>
        <a:noFill/>
        <a:ln w="9525">
          <a:solidFill>
            <a:srgbClr val="000000"/>
          </a:solidFill>
          <a:round/>
          <a:headEnd/>
          <a:tailEnd/>
        </a:ln>
      </xdr:spPr>
    </xdr:sp>
    <xdr:clientData/>
  </xdr:twoCellAnchor>
  <xdr:twoCellAnchor>
    <xdr:from>
      <xdr:col>7</xdr:col>
      <xdr:colOff>361950</xdr:colOff>
      <xdr:row>20</xdr:row>
      <xdr:rowOff>9525</xdr:rowOff>
    </xdr:from>
    <xdr:to>
      <xdr:col>7</xdr:col>
      <xdr:colOff>619125</xdr:colOff>
      <xdr:row>20</xdr:row>
      <xdr:rowOff>9525</xdr:rowOff>
    </xdr:to>
    <xdr:sp macro="" textlink="">
      <xdr:nvSpPr>
        <xdr:cNvPr id="261257" name="Line 45">
          <a:extLst>
            <a:ext uri="{FF2B5EF4-FFF2-40B4-BE49-F238E27FC236}">
              <a16:creationId xmlns:a16="http://schemas.microsoft.com/office/drawing/2014/main" id="{00000000-0008-0000-0400-000089FC0300}"/>
            </a:ext>
          </a:extLst>
        </xdr:cNvPr>
        <xdr:cNvSpPr>
          <a:spLocks noChangeShapeType="1"/>
        </xdr:cNvSpPr>
      </xdr:nvSpPr>
      <xdr:spPr bwMode="auto">
        <a:xfrm>
          <a:off x="5610225" y="3286125"/>
          <a:ext cx="257175" cy="0"/>
        </a:xfrm>
        <a:prstGeom prst="line">
          <a:avLst/>
        </a:prstGeom>
        <a:noFill/>
        <a:ln w="9525">
          <a:solidFill>
            <a:srgbClr val="000000"/>
          </a:solidFill>
          <a:round/>
          <a:headEnd/>
          <a:tailEnd/>
        </a:ln>
      </xdr:spPr>
    </xdr:sp>
    <xdr:clientData/>
  </xdr:twoCellAnchor>
  <xdr:twoCellAnchor>
    <xdr:from>
      <xdr:col>5</xdr:col>
      <xdr:colOff>152400</xdr:colOff>
      <xdr:row>17</xdr:row>
      <xdr:rowOff>142875</xdr:rowOff>
    </xdr:from>
    <xdr:to>
      <xdr:col>6</xdr:col>
      <xdr:colOff>361950</xdr:colOff>
      <xdr:row>17</xdr:row>
      <xdr:rowOff>142875</xdr:rowOff>
    </xdr:to>
    <xdr:sp macro="" textlink="">
      <xdr:nvSpPr>
        <xdr:cNvPr id="261258" name="Line 46">
          <a:extLst>
            <a:ext uri="{FF2B5EF4-FFF2-40B4-BE49-F238E27FC236}">
              <a16:creationId xmlns:a16="http://schemas.microsoft.com/office/drawing/2014/main" id="{00000000-0008-0000-0400-00008AFC0300}"/>
            </a:ext>
          </a:extLst>
        </xdr:cNvPr>
        <xdr:cNvSpPr>
          <a:spLocks noChangeShapeType="1"/>
        </xdr:cNvSpPr>
      </xdr:nvSpPr>
      <xdr:spPr bwMode="auto">
        <a:xfrm>
          <a:off x="4048125" y="2933700"/>
          <a:ext cx="885825" cy="0"/>
        </a:xfrm>
        <a:prstGeom prst="line">
          <a:avLst/>
        </a:prstGeom>
        <a:noFill/>
        <a:ln w="9525">
          <a:solidFill>
            <a:srgbClr val="000000"/>
          </a:solidFill>
          <a:round/>
          <a:headEnd/>
          <a:tailEnd/>
        </a:ln>
      </xdr:spPr>
    </xdr:sp>
    <xdr:clientData/>
  </xdr:twoCellAnchor>
  <xdr:twoCellAnchor>
    <xdr:from>
      <xdr:col>5</xdr:col>
      <xdr:colOff>133350</xdr:colOff>
      <xdr:row>22</xdr:row>
      <xdr:rowOff>95250</xdr:rowOff>
    </xdr:from>
    <xdr:to>
      <xdr:col>5</xdr:col>
      <xdr:colOff>476250</xdr:colOff>
      <xdr:row>22</xdr:row>
      <xdr:rowOff>95250</xdr:rowOff>
    </xdr:to>
    <xdr:sp macro="" textlink="">
      <xdr:nvSpPr>
        <xdr:cNvPr id="261259" name="Line 47">
          <a:extLst>
            <a:ext uri="{FF2B5EF4-FFF2-40B4-BE49-F238E27FC236}">
              <a16:creationId xmlns:a16="http://schemas.microsoft.com/office/drawing/2014/main" id="{00000000-0008-0000-0400-00008BFC0300}"/>
            </a:ext>
          </a:extLst>
        </xdr:cNvPr>
        <xdr:cNvSpPr>
          <a:spLocks noChangeShapeType="1"/>
        </xdr:cNvSpPr>
      </xdr:nvSpPr>
      <xdr:spPr bwMode="auto">
        <a:xfrm flipH="1">
          <a:off x="4029075" y="3695700"/>
          <a:ext cx="342900" cy="0"/>
        </a:xfrm>
        <a:prstGeom prst="line">
          <a:avLst/>
        </a:prstGeom>
        <a:noFill/>
        <a:ln w="9525">
          <a:solidFill>
            <a:srgbClr val="000000"/>
          </a:solidFill>
          <a:round/>
          <a:headEnd/>
          <a:tailEnd/>
        </a:ln>
      </xdr:spPr>
    </xdr:sp>
    <xdr:clientData/>
  </xdr:twoCellAnchor>
  <xdr:twoCellAnchor>
    <xdr:from>
      <xdr:col>7</xdr:col>
      <xdr:colOff>476250</xdr:colOff>
      <xdr:row>20</xdr:row>
      <xdr:rowOff>9525</xdr:rowOff>
    </xdr:from>
    <xdr:to>
      <xdr:col>7</xdr:col>
      <xdr:colOff>476250</xdr:colOff>
      <xdr:row>22</xdr:row>
      <xdr:rowOff>95250</xdr:rowOff>
    </xdr:to>
    <xdr:sp macro="" textlink="">
      <xdr:nvSpPr>
        <xdr:cNvPr id="261260" name="Line 48">
          <a:extLst>
            <a:ext uri="{FF2B5EF4-FFF2-40B4-BE49-F238E27FC236}">
              <a16:creationId xmlns:a16="http://schemas.microsoft.com/office/drawing/2014/main" id="{00000000-0008-0000-0400-00008CFC0300}"/>
            </a:ext>
          </a:extLst>
        </xdr:cNvPr>
        <xdr:cNvSpPr>
          <a:spLocks noChangeShapeType="1"/>
        </xdr:cNvSpPr>
      </xdr:nvSpPr>
      <xdr:spPr bwMode="auto">
        <a:xfrm>
          <a:off x="5724525" y="3286125"/>
          <a:ext cx="0" cy="409575"/>
        </a:xfrm>
        <a:prstGeom prst="line">
          <a:avLst/>
        </a:prstGeom>
        <a:noFill/>
        <a:ln w="9525">
          <a:solidFill>
            <a:srgbClr val="000000"/>
          </a:solidFill>
          <a:round/>
          <a:headEnd type="stealth" w="sm" len="sm"/>
          <a:tailEnd type="stealth" w="sm" len="sm"/>
        </a:ln>
      </xdr:spPr>
    </xdr:sp>
    <xdr:clientData/>
  </xdr:twoCellAnchor>
  <xdr:twoCellAnchor>
    <xdr:from>
      <xdr:col>5</xdr:col>
      <xdr:colOff>295275</xdr:colOff>
      <xdr:row>17</xdr:row>
      <xdr:rowOff>142875</xdr:rowOff>
    </xdr:from>
    <xdr:to>
      <xdr:col>5</xdr:col>
      <xdr:colOff>295275</xdr:colOff>
      <xdr:row>22</xdr:row>
      <xdr:rowOff>95250</xdr:rowOff>
    </xdr:to>
    <xdr:sp macro="" textlink="">
      <xdr:nvSpPr>
        <xdr:cNvPr id="261261" name="Line 49">
          <a:extLst>
            <a:ext uri="{FF2B5EF4-FFF2-40B4-BE49-F238E27FC236}">
              <a16:creationId xmlns:a16="http://schemas.microsoft.com/office/drawing/2014/main" id="{00000000-0008-0000-0400-00008DFC0300}"/>
            </a:ext>
          </a:extLst>
        </xdr:cNvPr>
        <xdr:cNvSpPr>
          <a:spLocks noChangeShapeType="1"/>
        </xdr:cNvSpPr>
      </xdr:nvSpPr>
      <xdr:spPr bwMode="auto">
        <a:xfrm>
          <a:off x="4191000" y="2933700"/>
          <a:ext cx="0" cy="762000"/>
        </a:xfrm>
        <a:prstGeom prst="line">
          <a:avLst/>
        </a:prstGeom>
        <a:noFill/>
        <a:ln w="9525">
          <a:solidFill>
            <a:srgbClr val="000000"/>
          </a:solidFill>
          <a:round/>
          <a:headEnd type="stealth" w="sm" len="sm"/>
          <a:tailEnd type="stealth" w="sm" len="sm"/>
        </a:ln>
      </xdr:spPr>
    </xdr:sp>
    <xdr:clientData/>
  </xdr:twoCellAnchor>
  <xdr:twoCellAnchor>
    <xdr:from>
      <xdr:col>7</xdr:col>
      <xdr:colOff>361950</xdr:colOff>
      <xdr:row>13</xdr:row>
      <xdr:rowOff>114300</xdr:rowOff>
    </xdr:from>
    <xdr:to>
      <xdr:col>7</xdr:col>
      <xdr:colOff>619125</xdr:colOff>
      <xdr:row>13</xdr:row>
      <xdr:rowOff>114300</xdr:rowOff>
    </xdr:to>
    <xdr:sp macro="" textlink="">
      <xdr:nvSpPr>
        <xdr:cNvPr id="261262" name="Line 50">
          <a:extLst>
            <a:ext uri="{FF2B5EF4-FFF2-40B4-BE49-F238E27FC236}">
              <a16:creationId xmlns:a16="http://schemas.microsoft.com/office/drawing/2014/main" id="{00000000-0008-0000-0400-00008EFC0300}"/>
            </a:ext>
          </a:extLst>
        </xdr:cNvPr>
        <xdr:cNvSpPr>
          <a:spLocks noChangeShapeType="1"/>
        </xdr:cNvSpPr>
      </xdr:nvSpPr>
      <xdr:spPr bwMode="auto">
        <a:xfrm>
          <a:off x="5610225" y="2257425"/>
          <a:ext cx="257175" cy="0"/>
        </a:xfrm>
        <a:prstGeom prst="line">
          <a:avLst/>
        </a:prstGeom>
        <a:noFill/>
        <a:ln w="9525">
          <a:solidFill>
            <a:srgbClr val="000000"/>
          </a:solidFill>
          <a:round/>
          <a:headEnd/>
          <a:tailEnd/>
        </a:ln>
      </xdr:spPr>
    </xdr:sp>
    <xdr:clientData/>
  </xdr:twoCellAnchor>
  <xdr:twoCellAnchor>
    <xdr:from>
      <xdr:col>7</xdr:col>
      <xdr:colOff>361950</xdr:colOff>
      <xdr:row>6</xdr:row>
      <xdr:rowOff>104775</xdr:rowOff>
    </xdr:from>
    <xdr:to>
      <xdr:col>7</xdr:col>
      <xdr:colOff>619125</xdr:colOff>
      <xdr:row>6</xdr:row>
      <xdr:rowOff>104775</xdr:rowOff>
    </xdr:to>
    <xdr:sp macro="" textlink="">
      <xdr:nvSpPr>
        <xdr:cNvPr id="261263" name="Line 51">
          <a:extLst>
            <a:ext uri="{FF2B5EF4-FFF2-40B4-BE49-F238E27FC236}">
              <a16:creationId xmlns:a16="http://schemas.microsoft.com/office/drawing/2014/main" id="{00000000-0008-0000-0400-00008FFC0300}"/>
            </a:ext>
          </a:extLst>
        </xdr:cNvPr>
        <xdr:cNvSpPr>
          <a:spLocks noChangeShapeType="1"/>
        </xdr:cNvSpPr>
      </xdr:nvSpPr>
      <xdr:spPr bwMode="auto">
        <a:xfrm>
          <a:off x="5610225" y="1114425"/>
          <a:ext cx="257175" cy="0"/>
        </a:xfrm>
        <a:prstGeom prst="line">
          <a:avLst/>
        </a:prstGeom>
        <a:noFill/>
        <a:ln w="9525">
          <a:solidFill>
            <a:srgbClr val="000000"/>
          </a:solidFill>
          <a:round/>
          <a:headEnd/>
          <a:tailEnd/>
        </a:ln>
      </xdr:spPr>
    </xdr:sp>
    <xdr:clientData/>
  </xdr:twoCellAnchor>
  <xdr:twoCellAnchor>
    <xdr:from>
      <xdr:col>7</xdr:col>
      <xdr:colOff>466725</xdr:colOff>
      <xdr:row>6</xdr:row>
      <xdr:rowOff>104775</xdr:rowOff>
    </xdr:from>
    <xdr:to>
      <xdr:col>7</xdr:col>
      <xdr:colOff>466725</xdr:colOff>
      <xdr:row>13</xdr:row>
      <xdr:rowOff>114300</xdr:rowOff>
    </xdr:to>
    <xdr:sp macro="" textlink="">
      <xdr:nvSpPr>
        <xdr:cNvPr id="261264" name="Line 52">
          <a:extLst>
            <a:ext uri="{FF2B5EF4-FFF2-40B4-BE49-F238E27FC236}">
              <a16:creationId xmlns:a16="http://schemas.microsoft.com/office/drawing/2014/main" id="{00000000-0008-0000-0400-000090FC0300}"/>
            </a:ext>
          </a:extLst>
        </xdr:cNvPr>
        <xdr:cNvSpPr>
          <a:spLocks noChangeShapeType="1"/>
        </xdr:cNvSpPr>
      </xdr:nvSpPr>
      <xdr:spPr bwMode="auto">
        <a:xfrm>
          <a:off x="5715000" y="1114425"/>
          <a:ext cx="0" cy="1143000"/>
        </a:xfrm>
        <a:prstGeom prst="line">
          <a:avLst/>
        </a:prstGeom>
        <a:noFill/>
        <a:ln w="9525">
          <a:solidFill>
            <a:srgbClr val="000000"/>
          </a:solidFill>
          <a:round/>
          <a:headEnd type="stealth" w="sm" len="sm"/>
          <a:tailEnd type="stealth" w="sm" len="sm"/>
        </a:ln>
      </xdr:spPr>
    </xdr:sp>
    <xdr:clientData/>
  </xdr:twoCellAnchor>
  <xdr:twoCellAnchor>
    <xdr:from>
      <xdr:col>5</xdr:col>
      <xdr:colOff>561975</xdr:colOff>
      <xdr:row>20</xdr:row>
      <xdr:rowOff>9525</xdr:rowOff>
    </xdr:from>
    <xdr:to>
      <xdr:col>6</xdr:col>
      <xdr:colOff>361950</xdr:colOff>
      <xdr:row>20</xdr:row>
      <xdr:rowOff>9525</xdr:rowOff>
    </xdr:to>
    <xdr:sp macro="" textlink="">
      <xdr:nvSpPr>
        <xdr:cNvPr id="261265" name="Line 53">
          <a:extLst>
            <a:ext uri="{FF2B5EF4-FFF2-40B4-BE49-F238E27FC236}">
              <a16:creationId xmlns:a16="http://schemas.microsoft.com/office/drawing/2014/main" id="{00000000-0008-0000-0400-000091FC0300}"/>
            </a:ext>
          </a:extLst>
        </xdr:cNvPr>
        <xdr:cNvSpPr>
          <a:spLocks noChangeShapeType="1"/>
        </xdr:cNvSpPr>
      </xdr:nvSpPr>
      <xdr:spPr bwMode="auto">
        <a:xfrm>
          <a:off x="4457700" y="3286125"/>
          <a:ext cx="476250" cy="0"/>
        </a:xfrm>
        <a:prstGeom prst="line">
          <a:avLst/>
        </a:prstGeom>
        <a:noFill/>
        <a:ln w="9525">
          <a:solidFill>
            <a:srgbClr val="000000"/>
          </a:solidFill>
          <a:round/>
          <a:headEnd/>
          <a:tailEnd/>
        </a:ln>
      </xdr:spPr>
    </xdr:sp>
    <xdr:clientData/>
  </xdr:twoCellAnchor>
  <xdr:twoCellAnchor>
    <xdr:from>
      <xdr:col>6</xdr:col>
      <xdr:colOff>114300</xdr:colOff>
      <xdr:row>19</xdr:row>
      <xdr:rowOff>9525</xdr:rowOff>
    </xdr:from>
    <xdr:to>
      <xdr:col>6</xdr:col>
      <xdr:colOff>219075</xdr:colOff>
      <xdr:row>20</xdr:row>
      <xdr:rowOff>152400</xdr:rowOff>
    </xdr:to>
    <xdr:sp macro="" textlink="">
      <xdr:nvSpPr>
        <xdr:cNvPr id="261266" name="Arc 54">
          <a:extLst>
            <a:ext uri="{FF2B5EF4-FFF2-40B4-BE49-F238E27FC236}">
              <a16:creationId xmlns:a16="http://schemas.microsoft.com/office/drawing/2014/main" id="{00000000-0008-0000-0400-000092FC0300}"/>
            </a:ext>
          </a:extLst>
        </xdr:cNvPr>
        <xdr:cNvSpPr>
          <a:spLocks/>
        </xdr:cNvSpPr>
      </xdr:nvSpPr>
      <xdr:spPr bwMode="auto">
        <a:xfrm>
          <a:off x="4686300" y="3124200"/>
          <a:ext cx="104775" cy="304800"/>
        </a:xfrm>
        <a:custGeom>
          <a:avLst/>
          <a:gdLst>
            <a:gd name="T0" fmla="*/ 0 w 21041"/>
            <a:gd name="T1" fmla="*/ 2147483647 h 21600"/>
            <a:gd name="T2" fmla="*/ 2147483647 w 21041"/>
            <a:gd name="T3" fmla="*/ 2147483647 h 21600"/>
            <a:gd name="T4" fmla="*/ 2147483647 w 21041"/>
            <a:gd name="T5" fmla="*/ 2147483647 h 21600"/>
            <a:gd name="T6" fmla="*/ 0 60000 65536"/>
            <a:gd name="T7" fmla="*/ 0 60000 65536"/>
            <a:gd name="T8" fmla="*/ 0 60000 65536"/>
            <a:gd name="T9" fmla="*/ 0 w 21041"/>
            <a:gd name="T10" fmla="*/ 0 h 21600"/>
            <a:gd name="T11" fmla="*/ 21041 w 21041"/>
            <a:gd name="T12" fmla="*/ 21600 h 21600"/>
          </a:gdLst>
          <a:ahLst/>
          <a:cxnLst>
            <a:cxn ang="T6">
              <a:pos x="T0" y="T1"/>
            </a:cxn>
            <a:cxn ang="T7">
              <a:pos x="T2" y="T3"/>
            </a:cxn>
            <a:cxn ang="T8">
              <a:pos x="T4" y="T5"/>
            </a:cxn>
          </a:cxnLst>
          <a:rect l="T9" t="T10" r="T11" b="T12"/>
          <a:pathLst>
            <a:path w="21041" h="21600" fill="none" extrusionOk="0">
              <a:moveTo>
                <a:pt x="-1" y="84"/>
              </a:moveTo>
              <a:cubicBezTo>
                <a:pt x="635" y="28"/>
                <a:pt x="1273" y="-1"/>
                <a:pt x="1912" y="0"/>
              </a:cubicBezTo>
              <a:cubicBezTo>
                <a:pt x="9943" y="0"/>
                <a:pt x="17311" y="4455"/>
                <a:pt x="21041" y="11567"/>
              </a:cubicBezTo>
            </a:path>
            <a:path w="21041" h="21600" stroke="0" extrusionOk="0">
              <a:moveTo>
                <a:pt x="-1" y="84"/>
              </a:moveTo>
              <a:cubicBezTo>
                <a:pt x="635" y="28"/>
                <a:pt x="1273" y="-1"/>
                <a:pt x="1912" y="0"/>
              </a:cubicBezTo>
              <a:cubicBezTo>
                <a:pt x="9943" y="0"/>
                <a:pt x="17311" y="4455"/>
                <a:pt x="21041" y="11567"/>
              </a:cubicBezTo>
              <a:lnTo>
                <a:pt x="1912" y="21600"/>
              </a:lnTo>
              <a:lnTo>
                <a:pt x="-1" y="84"/>
              </a:lnTo>
              <a:close/>
            </a:path>
          </a:pathLst>
        </a:custGeom>
        <a:noFill/>
        <a:ln w="9525">
          <a:solidFill>
            <a:srgbClr val="000000"/>
          </a:solidFill>
          <a:round/>
          <a:headEnd/>
          <a:tailEnd/>
        </a:ln>
      </xdr:spPr>
    </xdr:sp>
    <xdr:clientData/>
  </xdr:twoCellAnchor>
  <xdr:twoCellAnchor editAs="oneCell">
    <xdr:from>
      <xdr:col>6</xdr:col>
      <xdr:colOff>200025</xdr:colOff>
      <xdr:row>18</xdr:row>
      <xdr:rowOff>133350</xdr:rowOff>
    </xdr:from>
    <xdr:to>
      <xdr:col>6</xdr:col>
      <xdr:colOff>428625</xdr:colOff>
      <xdr:row>19</xdr:row>
      <xdr:rowOff>152400</xdr:rowOff>
    </xdr:to>
    <xdr:sp macro="" textlink="">
      <xdr:nvSpPr>
        <xdr:cNvPr id="170039" name="Text Box 55">
          <a:extLst>
            <a:ext uri="{FF2B5EF4-FFF2-40B4-BE49-F238E27FC236}">
              <a16:creationId xmlns:a16="http://schemas.microsoft.com/office/drawing/2014/main" id="{00000000-0008-0000-0400-000037980200}"/>
            </a:ext>
          </a:extLst>
        </xdr:cNvPr>
        <xdr:cNvSpPr txBox="1">
          <a:spLocks noChangeArrowheads="1"/>
        </xdr:cNvSpPr>
      </xdr:nvSpPr>
      <xdr:spPr bwMode="auto">
        <a:xfrm>
          <a:off x="4772025" y="3086100"/>
          <a:ext cx="228600" cy="18097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FF"/>
              </a:solidFill>
              <a:latin typeface="Symbol"/>
            </a:rPr>
            <a:t>q </a:t>
          </a:r>
          <a:r>
            <a:rPr lang="en-US" sz="800" b="0" i="0" u="none" strike="noStrike" baseline="30000">
              <a:solidFill>
                <a:srgbClr val="0000FF"/>
              </a:solidFill>
              <a:latin typeface="Arial"/>
              <a:cs typeface="Arial"/>
            </a:rPr>
            <a:t>o</a:t>
          </a:r>
          <a:endParaRPr lang="en-US"/>
        </a:p>
      </xdr:txBody>
    </xdr:sp>
    <xdr:clientData/>
  </xdr:twoCellAnchor>
  <xdr:twoCellAnchor>
    <xdr:from>
      <xdr:col>6</xdr:col>
      <xdr:colOff>400050</xdr:colOff>
      <xdr:row>18</xdr:row>
      <xdr:rowOff>152400</xdr:rowOff>
    </xdr:from>
    <xdr:to>
      <xdr:col>7</xdr:col>
      <xdr:colOff>190500</xdr:colOff>
      <xdr:row>18</xdr:row>
      <xdr:rowOff>152400</xdr:rowOff>
    </xdr:to>
    <xdr:sp macro="" textlink="">
      <xdr:nvSpPr>
        <xdr:cNvPr id="261268" name="Line 56">
          <a:extLst>
            <a:ext uri="{FF2B5EF4-FFF2-40B4-BE49-F238E27FC236}">
              <a16:creationId xmlns:a16="http://schemas.microsoft.com/office/drawing/2014/main" id="{00000000-0008-0000-0400-000094FC0300}"/>
            </a:ext>
          </a:extLst>
        </xdr:cNvPr>
        <xdr:cNvSpPr>
          <a:spLocks noChangeShapeType="1"/>
        </xdr:cNvSpPr>
      </xdr:nvSpPr>
      <xdr:spPr bwMode="auto">
        <a:xfrm>
          <a:off x="4972050" y="3105150"/>
          <a:ext cx="466725" cy="0"/>
        </a:xfrm>
        <a:prstGeom prst="line">
          <a:avLst/>
        </a:prstGeom>
        <a:noFill/>
        <a:ln w="9525">
          <a:solidFill>
            <a:srgbClr val="000000"/>
          </a:solidFill>
          <a:round/>
          <a:headEnd/>
          <a:tailEnd/>
        </a:ln>
      </xdr:spPr>
    </xdr:sp>
    <xdr:clientData/>
  </xdr:twoCellAnchor>
  <xdr:twoCellAnchor>
    <xdr:from>
      <xdr:col>6</xdr:col>
      <xdr:colOff>609600</xdr:colOff>
      <xdr:row>18</xdr:row>
      <xdr:rowOff>152400</xdr:rowOff>
    </xdr:from>
    <xdr:to>
      <xdr:col>6</xdr:col>
      <xdr:colOff>609600</xdr:colOff>
      <xdr:row>22</xdr:row>
      <xdr:rowOff>95250</xdr:rowOff>
    </xdr:to>
    <xdr:sp macro="" textlink="">
      <xdr:nvSpPr>
        <xdr:cNvPr id="261269" name="Line 57">
          <a:extLst>
            <a:ext uri="{FF2B5EF4-FFF2-40B4-BE49-F238E27FC236}">
              <a16:creationId xmlns:a16="http://schemas.microsoft.com/office/drawing/2014/main" id="{00000000-0008-0000-0400-000095FC0300}"/>
            </a:ext>
          </a:extLst>
        </xdr:cNvPr>
        <xdr:cNvSpPr>
          <a:spLocks noChangeShapeType="1"/>
        </xdr:cNvSpPr>
      </xdr:nvSpPr>
      <xdr:spPr bwMode="auto">
        <a:xfrm>
          <a:off x="5181600" y="3105150"/>
          <a:ext cx="0" cy="590550"/>
        </a:xfrm>
        <a:prstGeom prst="line">
          <a:avLst/>
        </a:prstGeom>
        <a:noFill/>
        <a:ln w="9525">
          <a:solidFill>
            <a:srgbClr val="000000"/>
          </a:solidFill>
          <a:round/>
          <a:headEnd type="stealth" w="sm" len="sm"/>
          <a:tailEnd type="stealth" w="sm" len="sm"/>
        </a:ln>
      </xdr:spPr>
    </xdr:sp>
    <xdr:clientData/>
  </xdr:twoCellAnchor>
  <xdr:twoCellAnchor>
    <xdr:from>
      <xdr:col>6</xdr:col>
      <xdr:colOff>352425</xdr:colOff>
      <xdr:row>14</xdr:row>
      <xdr:rowOff>47625</xdr:rowOff>
    </xdr:from>
    <xdr:to>
      <xdr:col>6</xdr:col>
      <xdr:colOff>504825</xdr:colOff>
      <xdr:row>15</xdr:row>
      <xdr:rowOff>47625</xdr:rowOff>
    </xdr:to>
    <xdr:sp macro="" textlink="">
      <xdr:nvSpPr>
        <xdr:cNvPr id="170042" name="Text Box 58">
          <a:extLst>
            <a:ext uri="{FF2B5EF4-FFF2-40B4-BE49-F238E27FC236}">
              <a16:creationId xmlns:a16="http://schemas.microsoft.com/office/drawing/2014/main" id="{00000000-0008-0000-0400-00003A980200}"/>
            </a:ext>
          </a:extLst>
        </xdr:cNvPr>
        <xdr:cNvSpPr txBox="1">
          <a:spLocks noChangeArrowheads="1"/>
        </xdr:cNvSpPr>
      </xdr:nvSpPr>
      <xdr:spPr bwMode="auto">
        <a:xfrm>
          <a:off x="4924425" y="23526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xdr:from>
      <xdr:col>7</xdr:col>
      <xdr:colOff>466725</xdr:colOff>
      <xdr:row>9</xdr:row>
      <xdr:rowOff>114300</xdr:rowOff>
    </xdr:from>
    <xdr:to>
      <xdr:col>7</xdr:col>
      <xdr:colOff>647700</xdr:colOff>
      <xdr:row>10</xdr:row>
      <xdr:rowOff>123825</xdr:rowOff>
    </xdr:to>
    <xdr:sp macro="" textlink="">
      <xdr:nvSpPr>
        <xdr:cNvPr id="170043" name="Text Box 59">
          <a:extLst>
            <a:ext uri="{FF2B5EF4-FFF2-40B4-BE49-F238E27FC236}">
              <a16:creationId xmlns:a16="http://schemas.microsoft.com/office/drawing/2014/main" id="{00000000-0008-0000-0400-00003B980200}"/>
            </a:ext>
          </a:extLst>
        </xdr:cNvPr>
        <xdr:cNvSpPr txBox="1">
          <a:spLocks noChangeArrowheads="1"/>
        </xdr:cNvSpPr>
      </xdr:nvSpPr>
      <xdr:spPr bwMode="auto">
        <a:xfrm>
          <a:off x="5715000" y="1609725"/>
          <a:ext cx="180975" cy="17145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B</a:t>
          </a:r>
          <a:endParaRPr lang="en-US"/>
        </a:p>
      </xdr:txBody>
    </xdr:sp>
    <xdr:clientData/>
  </xdr:twoCellAnchor>
  <xdr:twoCellAnchor>
    <xdr:from>
      <xdr:col>5</xdr:col>
      <xdr:colOff>142875</xdr:colOff>
      <xdr:row>19</xdr:row>
      <xdr:rowOff>104775</xdr:rowOff>
    </xdr:from>
    <xdr:to>
      <xdr:col>5</xdr:col>
      <xdr:colOff>352425</xdr:colOff>
      <xdr:row>20</xdr:row>
      <xdr:rowOff>95250</xdr:rowOff>
    </xdr:to>
    <xdr:sp macro="" textlink="">
      <xdr:nvSpPr>
        <xdr:cNvPr id="170044" name="Text Box 60">
          <a:extLst>
            <a:ext uri="{FF2B5EF4-FFF2-40B4-BE49-F238E27FC236}">
              <a16:creationId xmlns:a16="http://schemas.microsoft.com/office/drawing/2014/main" id="{00000000-0008-0000-0400-00003C980200}"/>
            </a:ext>
          </a:extLst>
        </xdr:cNvPr>
        <xdr:cNvSpPr txBox="1">
          <a:spLocks noChangeArrowheads="1"/>
        </xdr:cNvSpPr>
      </xdr:nvSpPr>
      <xdr:spPr bwMode="auto">
        <a:xfrm>
          <a:off x="4038600" y="3219450"/>
          <a:ext cx="209550"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r</a:t>
          </a:r>
          <a:endParaRPr lang="en-US"/>
        </a:p>
      </xdr:txBody>
    </xdr:sp>
    <xdr:clientData/>
  </xdr:twoCellAnchor>
  <xdr:twoCellAnchor>
    <xdr:from>
      <xdr:col>7</xdr:col>
      <xdr:colOff>476250</xdr:colOff>
      <xdr:row>20</xdr:row>
      <xdr:rowOff>133350</xdr:rowOff>
    </xdr:from>
    <xdr:to>
      <xdr:col>7</xdr:col>
      <xdr:colOff>657225</xdr:colOff>
      <xdr:row>21</xdr:row>
      <xdr:rowOff>123825</xdr:rowOff>
    </xdr:to>
    <xdr:sp macro="" textlink="">
      <xdr:nvSpPr>
        <xdr:cNvPr id="170045" name="Text Box 61">
          <a:extLst>
            <a:ext uri="{FF2B5EF4-FFF2-40B4-BE49-F238E27FC236}">
              <a16:creationId xmlns:a16="http://schemas.microsoft.com/office/drawing/2014/main" id="{00000000-0008-0000-0400-00003D980200}"/>
            </a:ext>
          </a:extLst>
        </xdr:cNvPr>
        <xdr:cNvSpPr txBox="1">
          <a:spLocks noChangeArrowheads="1"/>
        </xdr:cNvSpPr>
      </xdr:nvSpPr>
      <xdr:spPr bwMode="auto">
        <a:xfrm>
          <a:off x="5724525" y="3409950"/>
          <a:ext cx="180975" cy="152400"/>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r>
            <a:rPr lang="en-US" sz="800" b="0" i="0" u="none" strike="noStrike" baseline="0">
              <a:solidFill>
                <a:srgbClr val="0000FF"/>
              </a:solidFill>
              <a:latin typeface="Arial"/>
              <a:cs typeface="Arial"/>
            </a:rPr>
            <a:t>e</a:t>
          </a:r>
          <a:endParaRPr lang="en-US"/>
        </a:p>
      </xdr:txBody>
    </xdr:sp>
    <xdr:clientData/>
  </xdr:twoCellAnchor>
  <xdr:twoCellAnchor>
    <xdr:from>
      <xdr:col>6</xdr:col>
      <xdr:colOff>609600</xdr:colOff>
      <xdr:row>20</xdr:row>
      <xdr:rowOff>38100</xdr:rowOff>
    </xdr:from>
    <xdr:to>
      <xdr:col>7</xdr:col>
      <xdr:colOff>123825</xdr:colOff>
      <xdr:row>21</xdr:row>
      <xdr:rowOff>57150</xdr:rowOff>
    </xdr:to>
    <xdr:sp macro="" textlink="">
      <xdr:nvSpPr>
        <xdr:cNvPr id="170046" name="Text Box 62">
          <a:extLst>
            <a:ext uri="{FF2B5EF4-FFF2-40B4-BE49-F238E27FC236}">
              <a16:creationId xmlns:a16="http://schemas.microsoft.com/office/drawing/2014/main" id="{00000000-0008-0000-0400-00003E980200}"/>
            </a:ext>
          </a:extLst>
        </xdr:cNvPr>
        <xdr:cNvSpPr txBox="1">
          <a:spLocks noChangeArrowheads="1"/>
        </xdr:cNvSpPr>
      </xdr:nvSpPr>
      <xdr:spPr bwMode="auto">
        <a:xfrm>
          <a:off x="5181600" y="3314700"/>
          <a:ext cx="190500" cy="18097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h</a:t>
          </a:r>
          <a:endParaRPr lang="en-US"/>
        </a:p>
      </xdr:txBody>
    </xdr:sp>
    <xdr:clientData/>
  </xdr:twoCellAnchor>
  <xdr:twoCellAnchor>
    <xdr:from>
      <xdr:col>6</xdr:col>
      <xdr:colOff>247650</xdr:colOff>
      <xdr:row>15</xdr:row>
      <xdr:rowOff>76200</xdr:rowOff>
    </xdr:from>
    <xdr:to>
      <xdr:col>6</xdr:col>
      <xdr:colOff>628650</xdr:colOff>
      <xdr:row>16</xdr:row>
      <xdr:rowOff>104775</xdr:rowOff>
    </xdr:to>
    <xdr:sp macro="" textlink="">
      <xdr:nvSpPr>
        <xdr:cNvPr id="170047" name="Text Box 63">
          <a:extLst>
            <a:ext uri="{FF2B5EF4-FFF2-40B4-BE49-F238E27FC236}">
              <a16:creationId xmlns:a16="http://schemas.microsoft.com/office/drawing/2014/main" id="{00000000-0008-0000-0400-00003F980200}"/>
            </a:ext>
          </a:extLst>
        </xdr:cNvPr>
        <xdr:cNvSpPr txBox="1">
          <a:spLocks noChangeArrowheads="1"/>
        </xdr:cNvSpPr>
      </xdr:nvSpPr>
      <xdr:spPr bwMode="auto">
        <a:xfrm>
          <a:off x="4819650" y="2543175"/>
          <a:ext cx="381000" cy="19050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Plan</a:t>
          </a:r>
          <a:endParaRPr lang="en-US"/>
        </a:p>
      </xdr:txBody>
    </xdr:sp>
    <xdr:clientData/>
  </xdr:twoCellAnchor>
  <xdr:twoCellAnchor>
    <xdr:from>
      <xdr:col>6</xdr:col>
      <xdr:colOff>104775</xdr:colOff>
      <xdr:row>24</xdr:row>
      <xdr:rowOff>9525</xdr:rowOff>
    </xdr:from>
    <xdr:to>
      <xdr:col>7</xdr:col>
      <xdr:colOff>47625</xdr:colOff>
      <xdr:row>25</xdr:row>
      <xdr:rowOff>57150</xdr:rowOff>
    </xdr:to>
    <xdr:sp macro="" textlink="">
      <xdr:nvSpPr>
        <xdr:cNvPr id="170048" name="Text Box 64">
          <a:extLst>
            <a:ext uri="{FF2B5EF4-FFF2-40B4-BE49-F238E27FC236}">
              <a16:creationId xmlns:a16="http://schemas.microsoft.com/office/drawing/2014/main" id="{00000000-0008-0000-0400-000040980200}"/>
            </a:ext>
          </a:extLst>
        </xdr:cNvPr>
        <xdr:cNvSpPr txBox="1">
          <a:spLocks noChangeArrowheads="1"/>
        </xdr:cNvSpPr>
      </xdr:nvSpPr>
      <xdr:spPr bwMode="auto">
        <a:xfrm>
          <a:off x="4676775" y="3933825"/>
          <a:ext cx="619125" cy="209550"/>
        </a:xfrm>
        <a:prstGeom prst="rect">
          <a:avLst/>
        </a:prstGeom>
        <a:noFill/>
        <a:ln>
          <a:noFill/>
        </a:ln>
        <a:ex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Elevation</a:t>
          </a:r>
          <a:endParaRPr lang="en-US"/>
        </a:p>
      </xdr:txBody>
    </xdr:sp>
    <xdr:clientData/>
  </xdr:twoCellAnchor>
  <xdr:twoCellAnchor>
    <xdr:from>
      <xdr:col>6</xdr:col>
      <xdr:colOff>352425</xdr:colOff>
      <xdr:row>22</xdr:row>
      <xdr:rowOff>123825</xdr:rowOff>
    </xdr:from>
    <xdr:to>
      <xdr:col>6</xdr:col>
      <xdr:colOff>504825</xdr:colOff>
      <xdr:row>23</xdr:row>
      <xdr:rowOff>123825</xdr:rowOff>
    </xdr:to>
    <xdr:sp macro="" textlink="">
      <xdr:nvSpPr>
        <xdr:cNvPr id="170049" name="Text Box 65">
          <a:extLst>
            <a:ext uri="{FF2B5EF4-FFF2-40B4-BE49-F238E27FC236}">
              <a16:creationId xmlns:a16="http://schemas.microsoft.com/office/drawing/2014/main" id="{00000000-0008-0000-0400-000041980200}"/>
            </a:ext>
          </a:extLst>
        </xdr:cNvPr>
        <xdr:cNvSpPr txBox="1">
          <a:spLocks noChangeArrowheads="1"/>
        </xdr:cNvSpPr>
      </xdr:nvSpPr>
      <xdr:spPr bwMode="auto">
        <a:xfrm>
          <a:off x="4924425" y="3724275"/>
          <a:ext cx="152400" cy="161925"/>
        </a:xfrm>
        <a:prstGeom prst="rect">
          <a:avLst/>
        </a:prstGeom>
        <a:noFill/>
        <a:ln>
          <a:noFill/>
        </a:ln>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L</a:t>
          </a:r>
          <a:endParaRPr lang="en-US"/>
        </a:p>
      </xdr:txBody>
    </xdr:sp>
    <xdr:clientData/>
  </xdr:twoCellAnchor>
  <xdr:twoCellAnchor editAs="oneCell">
    <xdr:from>
      <xdr:col>2</xdr:col>
      <xdr:colOff>295275</xdr:colOff>
      <xdr:row>107</xdr:row>
      <xdr:rowOff>85725</xdr:rowOff>
    </xdr:from>
    <xdr:to>
      <xdr:col>5</xdr:col>
      <xdr:colOff>76200</xdr:colOff>
      <xdr:row>112</xdr:row>
      <xdr:rowOff>123825</xdr:rowOff>
    </xdr:to>
    <xdr:pic>
      <xdr:nvPicPr>
        <xdr:cNvPr id="261278" name="Picture 85">
          <a:extLst>
            <a:ext uri="{FF2B5EF4-FFF2-40B4-BE49-F238E27FC236}">
              <a16:creationId xmlns:a16="http://schemas.microsoft.com/office/drawing/2014/main" id="{00000000-0008-0000-0400-00009EFC03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52650" y="17487900"/>
          <a:ext cx="1819275" cy="847725"/>
        </a:xfrm>
        <a:prstGeom prst="rect">
          <a:avLst/>
        </a:prstGeom>
        <a:noFill/>
        <a:ln w="9525">
          <a:noFill/>
          <a:miter lim="800000"/>
          <a:headEnd/>
          <a:tailEnd/>
        </a:ln>
      </xdr:spPr>
    </xdr:pic>
    <xdr:clientData/>
  </xdr:twoCellAnchor>
  <xdr:twoCellAnchor editAs="oneCell">
    <xdr:from>
      <xdr:col>0</xdr:col>
      <xdr:colOff>66675</xdr:colOff>
      <xdr:row>113</xdr:row>
      <xdr:rowOff>38100</xdr:rowOff>
    </xdr:from>
    <xdr:to>
      <xdr:col>1</xdr:col>
      <xdr:colOff>447675</xdr:colOff>
      <xdr:row>124</xdr:row>
      <xdr:rowOff>104775</xdr:rowOff>
    </xdr:to>
    <xdr:pic>
      <xdr:nvPicPr>
        <xdr:cNvPr id="261279" name="Picture 86">
          <a:extLst>
            <a:ext uri="{FF2B5EF4-FFF2-40B4-BE49-F238E27FC236}">
              <a16:creationId xmlns:a16="http://schemas.microsoft.com/office/drawing/2014/main" id="{00000000-0008-0000-0400-00009FFC03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6675" y="18411825"/>
          <a:ext cx="1628775" cy="1847850"/>
        </a:xfrm>
        <a:prstGeom prst="rect">
          <a:avLst/>
        </a:prstGeom>
        <a:noFill/>
        <a:ln w="9525">
          <a:noFill/>
          <a:miter lim="800000"/>
          <a:headEnd/>
          <a:tailEnd/>
        </a:ln>
      </xdr:spPr>
    </xdr:pic>
    <xdr:clientData/>
  </xdr:twoCellAnchor>
  <xdr:twoCellAnchor editAs="oneCell">
    <xdr:from>
      <xdr:col>2</xdr:col>
      <xdr:colOff>228600</xdr:colOff>
      <xdr:row>113</xdr:row>
      <xdr:rowOff>57150</xdr:rowOff>
    </xdr:from>
    <xdr:to>
      <xdr:col>4</xdr:col>
      <xdr:colOff>466725</xdr:colOff>
      <xdr:row>124</xdr:row>
      <xdr:rowOff>123825</xdr:rowOff>
    </xdr:to>
    <xdr:pic>
      <xdr:nvPicPr>
        <xdr:cNvPr id="261280" name="Picture 87">
          <a:extLst>
            <a:ext uri="{FF2B5EF4-FFF2-40B4-BE49-F238E27FC236}">
              <a16:creationId xmlns:a16="http://schemas.microsoft.com/office/drawing/2014/main" id="{00000000-0008-0000-0400-0000A0FC0300}"/>
            </a:ext>
          </a:extLst>
        </xdr:cNvPr>
        <xdr:cNvPicPr>
          <a:picLocks noChangeAspect="1" noChangeArrowheads="1"/>
        </xdr:cNvPicPr>
      </xdr:nvPicPr>
      <xdr:blipFill>
        <a:blip xmlns:r="http://schemas.openxmlformats.org/officeDocument/2006/relationships" r:embed="rId3" cstate="print"/>
        <a:srcRect r="3680"/>
        <a:stretch>
          <a:fillRect/>
        </a:stretch>
      </xdr:blipFill>
      <xdr:spPr bwMode="auto">
        <a:xfrm>
          <a:off x="2085975" y="18430875"/>
          <a:ext cx="1495425" cy="1847850"/>
        </a:xfrm>
        <a:prstGeom prst="rect">
          <a:avLst/>
        </a:prstGeom>
        <a:noFill/>
        <a:ln w="9525">
          <a:noFill/>
          <a:miter lim="800000"/>
          <a:headEnd/>
          <a:tailEnd/>
        </a:ln>
      </xdr:spPr>
    </xdr:pic>
    <xdr:clientData/>
  </xdr:twoCellAnchor>
  <xdr:twoCellAnchor editAs="oneCell">
    <xdr:from>
      <xdr:col>5</xdr:col>
      <xdr:colOff>180975</xdr:colOff>
      <xdr:row>112</xdr:row>
      <xdr:rowOff>104775</xdr:rowOff>
    </xdr:from>
    <xdr:to>
      <xdr:col>7</xdr:col>
      <xdr:colOff>457200</xdr:colOff>
      <xdr:row>125</xdr:row>
      <xdr:rowOff>114300</xdr:rowOff>
    </xdr:to>
    <xdr:pic>
      <xdr:nvPicPr>
        <xdr:cNvPr id="261281" name="Picture 88">
          <a:extLst>
            <a:ext uri="{FF2B5EF4-FFF2-40B4-BE49-F238E27FC236}">
              <a16:creationId xmlns:a16="http://schemas.microsoft.com/office/drawing/2014/main" id="{00000000-0008-0000-0400-0000A1FC03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076700" y="18316575"/>
          <a:ext cx="1628775" cy="2114550"/>
        </a:xfrm>
        <a:prstGeom prst="rect">
          <a:avLst/>
        </a:prstGeom>
        <a:noFill/>
        <a:ln w="9525">
          <a:noFill/>
          <a:miter lim="800000"/>
          <a:headEnd/>
          <a:tailEnd/>
        </a:ln>
      </xdr:spPr>
    </xdr:pic>
    <xdr:clientData/>
  </xdr:twoCellAnchor>
  <xdr:twoCellAnchor editAs="oneCell">
    <xdr:from>
      <xdr:col>2</xdr:col>
      <xdr:colOff>295275</xdr:colOff>
      <xdr:row>134</xdr:row>
      <xdr:rowOff>142875</xdr:rowOff>
    </xdr:from>
    <xdr:to>
      <xdr:col>4</xdr:col>
      <xdr:colOff>742950</xdr:colOff>
      <xdr:row>146</xdr:row>
      <xdr:rowOff>152400</xdr:rowOff>
    </xdr:to>
    <xdr:pic>
      <xdr:nvPicPr>
        <xdr:cNvPr id="261282" name="Picture 90">
          <a:extLst>
            <a:ext uri="{FF2B5EF4-FFF2-40B4-BE49-F238E27FC236}">
              <a16:creationId xmlns:a16="http://schemas.microsoft.com/office/drawing/2014/main" id="{00000000-0008-0000-0400-0000A2FC03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152650" y="21936075"/>
          <a:ext cx="1704975" cy="19526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27</xdr:col>
      <xdr:colOff>0</xdr:colOff>
      <xdr:row>21</xdr:row>
      <xdr:rowOff>0</xdr:rowOff>
    </xdr:from>
    <xdr:to>
      <xdr:col>31</xdr:col>
      <xdr:colOff>0</xdr:colOff>
      <xdr:row>25</xdr:row>
      <xdr:rowOff>0</xdr:rowOff>
    </xdr:to>
    <xdr:sp macro="" textlink="">
      <xdr:nvSpPr>
        <xdr:cNvPr id="216382" name="Rectangle 39">
          <a:extLst>
            <a:ext uri="{FF2B5EF4-FFF2-40B4-BE49-F238E27FC236}">
              <a16:creationId xmlns:a16="http://schemas.microsoft.com/office/drawing/2014/main" id="{00000000-0008-0000-0500-00003E4D0300}"/>
            </a:ext>
          </a:extLst>
        </xdr:cNvPr>
        <xdr:cNvSpPr>
          <a:spLocks noChangeArrowheads="1"/>
        </xdr:cNvSpPr>
      </xdr:nvSpPr>
      <xdr:spPr bwMode="auto">
        <a:xfrm>
          <a:off x="6838950" y="3438525"/>
          <a:ext cx="2276475" cy="647700"/>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txBody>
        <a:bodyPr/>
        <a:lstStyle/>
        <a:p>
          <a:endParaRPr lang="en-US"/>
        </a:p>
      </xdr:txBody>
    </xdr:sp>
    <xdr:clientData/>
  </xdr:twoCellAnchor>
  <xdr:twoCellAnchor>
    <xdr:from>
      <xdr:col>27</xdr:col>
      <xdr:colOff>0</xdr:colOff>
      <xdr:row>5</xdr:row>
      <xdr:rowOff>0</xdr:rowOff>
    </xdr:from>
    <xdr:to>
      <xdr:col>32</xdr:col>
      <xdr:colOff>0</xdr:colOff>
      <xdr:row>7</xdr:row>
      <xdr:rowOff>0</xdr:rowOff>
    </xdr:to>
    <xdr:sp macro="" textlink="">
      <xdr:nvSpPr>
        <xdr:cNvPr id="216383" name="Rectangle 41">
          <a:extLst>
            <a:ext uri="{FF2B5EF4-FFF2-40B4-BE49-F238E27FC236}">
              <a16:creationId xmlns:a16="http://schemas.microsoft.com/office/drawing/2014/main" id="{00000000-0008-0000-0500-00003F4D0300}"/>
            </a:ext>
          </a:extLst>
        </xdr:cNvPr>
        <xdr:cNvSpPr>
          <a:spLocks noChangeArrowheads="1"/>
        </xdr:cNvSpPr>
      </xdr:nvSpPr>
      <xdr:spPr bwMode="auto">
        <a:xfrm>
          <a:off x="6838950" y="847725"/>
          <a:ext cx="2657475" cy="323850"/>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txBody>
        <a:bodyPr/>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8</xdr:col>
      <xdr:colOff>371475</xdr:colOff>
      <xdr:row>39</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9059" r="9059"/>
        <a:stretch>
          <a:fillRect/>
        </a:stretch>
      </xdr:blipFill>
      <xdr:spPr bwMode="auto">
        <a:xfrm>
          <a:off x="0" y="247650"/>
          <a:ext cx="5248275" cy="6191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338137</xdr:colOff>
      <xdr:row>4</xdr:row>
      <xdr:rowOff>42862</xdr:rowOff>
    </xdr:from>
    <xdr:to>
      <xdr:col>21</xdr:col>
      <xdr:colOff>520244</xdr:colOff>
      <xdr:row>48</xdr:row>
      <xdr:rowOff>72436</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692" r="-1692"/>
        <a:stretch/>
      </xdr:blipFill>
      <xdr:spPr>
        <a:xfrm>
          <a:off x="5214937" y="728662"/>
          <a:ext cx="8106907" cy="7154274"/>
        </a:xfrm>
        <a:prstGeom prst="rect">
          <a:avLst/>
        </a:prstGeom>
        <a:effectLst>
          <a:glow rad="127000">
            <a:schemeClr val="accent1">
              <a:alpha val="0"/>
            </a:schemeClr>
          </a:glow>
          <a:outerShdw blurRad="50800" dist="50800" dir="5400000" algn="ctr" rotWithShape="0">
            <a:srgbClr val="000000">
              <a:alpha val="0"/>
            </a:srgbClr>
          </a:outerShdw>
          <a:reflection stA="0" endPos="65000" dist="50800" dir="5400000" sy="-100000" algn="bl" rotWithShape="0"/>
        </a:effectLst>
      </xdr:spPr>
    </xdr:pic>
    <xdr:clientData/>
  </xdr:twoCellAnchor>
  <xdr:twoCellAnchor editAs="oneCell">
    <xdr:from>
      <xdr:col>0</xdr:col>
      <xdr:colOff>276225</xdr:colOff>
      <xdr:row>46</xdr:row>
      <xdr:rowOff>152400</xdr:rowOff>
    </xdr:from>
    <xdr:to>
      <xdr:col>10</xdr:col>
      <xdr:colOff>381000</xdr:colOff>
      <xdr:row>76</xdr:row>
      <xdr:rowOff>57150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6225" y="7639050"/>
          <a:ext cx="6200775" cy="476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76200</xdr:colOff>
      <xdr:row>47</xdr:row>
      <xdr:rowOff>19050</xdr:rowOff>
    </xdr:from>
    <xdr:to>
      <xdr:col>16</xdr:col>
      <xdr:colOff>19050</xdr:colOff>
      <xdr:row>56</xdr:row>
      <xdr:rowOff>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91400" y="7667625"/>
          <a:ext cx="238125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180975</xdr:colOff>
      <xdr:row>78</xdr:row>
      <xdr:rowOff>66675</xdr:rowOff>
    </xdr:from>
    <xdr:to>
      <xdr:col>7</xdr:col>
      <xdr:colOff>438150</xdr:colOff>
      <xdr:row>117</xdr:row>
      <xdr:rowOff>95250</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975" y="12773025"/>
          <a:ext cx="4524375" cy="6343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381000</xdr:colOff>
      <xdr:row>79</xdr:row>
      <xdr:rowOff>152400</xdr:rowOff>
    </xdr:from>
    <xdr:to>
      <xdr:col>21</xdr:col>
      <xdr:colOff>76200</xdr:colOff>
      <xdr:row>127</xdr:row>
      <xdr:rowOff>152400</xdr:rowOff>
    </xdr:to>
    <xdr:pic>
      <xdr:nvPicPr>
        <xdr:cNvPr id="7" name="Picture 7">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5000" r="-5000"/>
        <a:stretch>
          <a:fillRect/>
        </a:stretch>
      </xdr:blipFill>
      <xdr:spPr bwMode="auto">
        <a:xfrm>
          <a:off x="4648200" y="13020675"/>
          <a:ext cx="8229600"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124</xdr:row>
      <xdr:rowOff>123825</xdr:rowOff>
    </xdr:from>
    <xdr:to>
      <xdr:col>11</xdr:col>
      <xdr:colOff>47625</xdr:colOff>
      <xdr:row>155</xdr:row>
      <xdr:rowOff>66675</xdr:rowOff>
    </xdr:to>
    <xdr:pic>
      <xdr:nvPicPr>
        <xdr:cNvPr id="8" name="Picture 8">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100" y="20278725"/>
          <a:ext cx="6715125" cy="496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66675</xdr:colOff>
      <xdr:row>125</xdr:row>
      <xdr:rowOff>104775</xdr:rowOff>
    </xdr:from>
    <xdr:to>
      <xdr:col>15</xdr:col>
      <xdr:colOff>514350</xdr:colOff>
      <xdr:row>134</xdr:row>
      <xdr:rowOff>133350</xdr:rowOff>
    </xdr:to>
    <xdr:pic>
      <xdr:nvPicPr>
        <xdr:cNvPr id="9" name="Picture 10">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72275" y="20421600"/>
          <a:ext cx="28860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157</xdr:row>
      <xdr:rowOff>38100</xdr:rowOff>
    </xdr:from>
    <xdr:to>
      <xdr:col>8</xdr:col>
      <xdr:colOff>390525</xdr:colOff>
      <xdr:row>198</xdr:row>
      <xdr:rowOff>19050</xdr:rowOff>
    </xdr:to>
    <xdr:pic>
      <xdr:nvPicPr>
        <xdr:cNvPr id="10" name="Picture 11">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l="-9581" r="9581"/>
        <a:stretch>
          <a:fillRect/>
        </a:stretch>
      </xdr:blipFill>
      <xdr:spPr bwMode="auto">
        <a:xfrm>
          <a:off x="38100" y="25574625"/>
          <a:ext cx="5229225" cy="6619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159</xdr:row>
      <xdr:rowOff>123825</xdr:rowOff>
    </xdr:from>
    <xdr:to>
      <xdr:col>21</xdr:col>
      <xdr:colOff>180975</xdr:colOff>
      <xdr:row>205</xdr:row>
      <xdr:rowOff>66675</xdr:rowOff>
    </xdr:to>
    <xdr:pic>
      <xdr:nvPicPr>
        <xdr:cNvPr id="11" name="Picture 13">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l="1178" r="-1178"/>
        <a:stretch>
          <a:fillRect/>
        </a:stretch>
      </xdr:blipFill>
      <xdr:spPr bwMode="auto">
        <a:xfrm>
          <a:off x="5257800" y="25984200"/>
          <a:ext cx="7724775" cy="739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200025</xdr:colOff>
      <xdr:row>205</xdr:row>
      <xdr:rowOff>9525</xdr:rowOff>
    </xdr:from>
    <xdr:to>
      <xdr:col>10</xdr:col>
      <xdr:colOff>38100</xdr:colOff>
      <xdr:row>230</xdr:row>
      <xdr:rowOff>152400</xdr:rowOff>
    </xdr:to>
    <xdr:pic>
      <xdr:nvPicPr>
        <xdr:cNvPr id="12" name="Picture 14">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00025" y="33318450"/>
          <a:ext cx="5934075"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476250</xdr:colOff>
      <xdr:row>205</xdr:row>
      <xdr:rowOff>85725</xdr:rowOff>
    </xdr:from>
    <xdr:to>
      <xdr:col>14</xdr:col>
      <xdr:colOff>409575</xdr:colOff>
      <xdr:row>214</xdr:row>
      <xdr:rowOff>38100</xdr:rowOff>
    </xdr:to>
    <xdr:pic>
      <xdr:nvPicPr>
        <xdr:cNvPr id="13" name="Picture 15">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72250" y="33394650"/>
          <a:ext cx="2371725"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taylor.TKARCHITECT/Desktop/Calcs/GENERAL/WIND/AISCPro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 S, M, HP Shapes"/>
      <sheetName val="C, MC Shapes"/>
      <sheetName val="WT Shapes"/>
      <sheetName val="Angles"/>
      <sheetName val="2Angles"/>
      <sheetName val="Tubes"/>
      <sheetName val="Pipes"/>
    </sheetNames>
    <sheetDataSet>
      <sheetData sheetId="0"/>
      <sheetData sheetId="1"/>
      <sheetData sheetId="2"/>
      <sheetData sheetId="3"/>
      <sheetData sheetId="4">
        <row r="1">
          <cell r="A1" t="str">
            <v>Shape</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abSelected="1" topLeftCell="A46" zoomScaleNormal="100" workbookViewId="0">
      <selection activeCell="K1" sqref="K1:L1"/>
    </sheetView>
  </sheetViews>
  <sheetFormatPr defaultColWidth="9.109375" defaultRowHeight="13.2"/>
  <cols>
    <col min="1" max="9" width="9.109375" style="35"/>
    <col min="10" max="10" width="5.6640625" style="35" customWidth="1"/>
    <col min="11" max="11" width="10.5546875" style="35" customWidth="1"/>
    <col min="12" max="12" width="11.5546875" style="35" customWidth="1"/>
    <col min="13" max="16384" width="9.109375" style="35"/>
  </cols>
  <sheetData>
    <row r="1" spans="1:12" ht="15.6">
      <c r="A1" s="33" t="s">
        <v>475</v>
      </c>
      <c r="B1" s="34"/>
      <c r="C1" s="34"/>
      <c r="D1" s="34"/>
      <c r="E1" s="34"/>
      <c r="F1" s="34"/>
      <c r="G1" s="34"/>
      <c r="H1" s="34"/>
      <c r="I1" s="34"/>
      <c r="J1" s="34"/>
      <c r="K1" s="647" t="s">
        <v>652</v>
      </c>
      <c r="L1" s="648"/>
    </row>
    <row r="2" spans="1:12">
      <c r="A2" s="36"/>
      <c r="B2" s="36"/>
      <c r="C2" s="36"/>
      <c r="D2" s="36"/>
      <c r="E2" s="36"/>
      <c r="F2" s="36"/>
      <c r="G2" s="36"/>
      <c r="H2" s="36"/>
      <c r="I2" s="36"/>
      <c r="J2" s="36"/>
    </row>
    <row r="3" spans="1:12">
      <c r="A3" s="37" t="s">
        <v>398</v>
      </c>
      <c r="B3" s="36"/>
      <c r="C3" s="36"/>
      <c r="D3" s="36"/>
      <c r="E3" s="36"/>
      <c r="F3" s="36"/>
      <c r="G3" s="36"/>
      <c r="H3" s="36"/>
      <c r="I3" s="36"/>
      <c r="J3" s="36"/>
    </row>
    <row r="4" spans="1:12">
      <c r="A4" s="36"/>
      <c r="B4" s="36"/>
      <c r="C4" s="36"/>
      <c r="D4" s="36"/>
      <c r="E4" s="36"/>
      <c r="F4" s="36"/>
      <c r="G4" s="36"/>
      <c r="H4" s="36"/>
      <c r="I4" s="36"/>
      <c r="J4" s="36"/>
    </row>
    <row r="5" spans="1:12">
      <c r="A5" s="36" t="s">
        <v>476</v>
      </c>
      <c r="B5" s="36"/>
      <c r="C5" s="36"/>
      <c r="D5" s="36"/>
      <c r="E5" s="36"/>
      <c r="F5" s="36"/>
      <c r="G5" s="36"/>
      <c r="H5" s="36"/>
      <c r="I5" s="36"/>
      <c r="J5" s="36"/>
    </row>
    <row r="6" spans="1:12">
      <c r="A6" s="36" t="s">
        <v>477</v>
      </c>
      <c r="B6" s="36"/>
      <c r="C6" s="36"/>
      <c r="D6" s="36"/>
      <c r="E6" s="36"/>
      <c r="F6" s="36"/>
      <c r="G6" s="36"/>
      <c r="H6" s="36"/>
      <c r="I6" s="36"/>
      <c r="J6" s="36"/>
    </row>
    <row r="7" spans="1:12">
      <c r="A7" s="36" t="s">
        <v>399</v>
      </c>
      <c r="B7" s="36"/>
      <c r="C7" s="36"/>
      <c r="D7" s="36"/>
      <c r="E7" s="36"/>
      <c r="F7" s="36"/>
      <c r="G7" s="36"/>
      <c r="H7" s="36"/>
      <c r="I7" s="36"/>
      <c r="J7" s="36"/>
    </row>
    <row r="8" spans="1:12">
      <c r="A8" s="36"/>
      <c r="B8" s="36"/>
      <c r="C8" s="36"/>
      <c r="D8" s="36"/>
      <c r="E8" s="36"/>
      <c r="F8" s="36"/>
      <c r="G8" s="36"/>
      <c r="H8" s="36"/>
      <c r="I8" s="36"/>
      <c r="J8" s="36"/>
    </row>
    <row r="9" spans="1:12">
      <c r="A9" s="36" t="s">
        <v>648</v>
      </c>
      <c r="B9" s="36"/>
      <c r="C9" s="36"/>
      <c r="D9" s="36"/>
      <c r="E9" s="36"/>
      <c r="F9" s="36"/>
      <c r="G9" s="36"/>
      <c r="H9" s="36"/>
      <c r="I9" s="36"/>
      <c r="J9" s="36"/>
    </row>
    <row r="10" spans="1:12">
      <c r="A10" s="36"/>
      <c r="B10" s="36"/>
      <c r="C10" s="36"/>
      <c r="D10" s="36"/>
      <c r="E10" s="36"/>
      <c r="F10" s="36"/>
      <c r="G10" s="36"/>
      <c r="H10" s="36"/>
      <c r="I10" s="36"/>
      <c r="J10" s="36"/>
    </row>
    <row r="11" spans="1:12">
      <c r="A11" s="40" t="s">
        <v>418</v>
      </c>
      <c r="B11" s="38"/>
      <c r="C11" s="39"/>
      <c r="D11" s="41" t="s">
        <v>419</v>
      </c>
      <c r="E11" s="38"/>
      <c r="F11" s="38"/>
      <c r="G11" s="38"/>
      <c r="H11" s="38"/>
      <c r="I11" s="38"/>
      <c r="J11" s="39"/>
    </row>
    <row r="12" spans="1:12">
      <c r="A12" s="202" t="s">
        <v>405</v>
      </c>
      <c r="B12" s="203"/>
      <c r="C12" s="214"/>
      <c r="D12" s="211" t="s">
        <v>413</v>
      </c>
      <c r="E12" s="203"/>
      <c r="F12" s="203"/>
      <c r="G12" s="203"/>
      <c r="H12" s="203"/>
      <c r="I12" s="203"/>
      <c r="J12" s="204"/>
    </row>
    <row r="13" spans="1:12">
      <c r="A13" s="205" t="s">
        <v>406</v>
      </c>
      <c r="B13" s="206"/>
      <c r="C13" s="207"/>
      <c r="D13" s="212" t="s">
        <v>414</v>
      </c>
      <c r="E13" s="206"/>
      <c r="F13" s="206"/>
      <c r="G13" s="206"/>
      <c r="H13" s="206"/>
      <c r="I13" s="206"/>
      <c r="J13" s="207"/>
    </row>
    <row r="14" spans="1:12">
      <c r="A14" s="205" t="s">
        <v>409</v>
      </c>
      <c r="B14" s="206"/>
      <c r="C14" s="207"/>
      <c r="D14" s="212" t="s">
        <v>415</v>
      </c>
      <c r="E14" s="206"/>
      <c r="F14" s="206"/>
      <c r="G14" s="206"/>
      <c r="H14" s="206"/>
      <c r="I14" s="206"/>
      <c r="J14" s="207"/>
    </row>
    <row r="15" spans="1:12">
      <c r="A15" s="205" t="s">
        <v>410</v>
      </c>
      <c r="B15" s="206"/>
      <c r="C15" s="207"/>
      <c r="D15" s="212" t="s">
        <v>416</v>
      </c>
      <c r="E15" s="206"/>
      <c r="F15" s="206"/>
      <c r="G15" s="206"/>
      <c r="H15" s="206"/>
      <c r="I15" s="206"/>
      <c r="J15" s="207"/>
    </row>
    <row r="16" spans="1:12">
      <c r="A16" s="205" t="s">
        <v>411</v>
      </c>
      <c r="B16" s="206"/>
      <c r="C16" s="207"/>
      <c r="D16" s="212" t="s">
        <v>417</v>
      </c>
      <c r="E16" s="206"/>
      <c r="F16" s="206"/>
      <c r="G16" s="206"/>
      <c r="H16" s="206"/>
      <c r="I16" s="206"/>
      <c r="J16" s="207"/>
    </row>
    <row r="17" spans="1:10">
      <c r="A17" s="205" t="s">
        <v>56</v>
      </c>
      <c r="B17" s="206"/>
      <c r="C17" s="207"/>
      <c r="D17" s="527" t="s">
        <v>467</v>
      </c>
      <c r="E17" s="206"/>
      <c r="F17" s="206"/>
      <c r="G17" s="206"/>
      <c r="H17" s="206"/>
      <c r="I17" s="206"/>
      <c r="J17" s="207"/>
    </row>
    <row r="18" spans="1:10">
      <c r="A18" s="208" t="s">
        <v>412</v>
      </c>
      <c r="B18" s="209"/>
      <c r="C18" s="210"/>
      <c r="D18" s="213" t="s">
        <v>500</v>
      </c>
      <c r="E18" s="209"/>
      <c r="F18" s="209"/>
      <c r="G18" s="209"/>
      <c r="H18" s="209"/>
      <c r="I18" s="209"/>
      <c r="J18" s="210"/>
    </row>
    <row r="20" spans="1:10">
      <c r="A20" s="37" t="s">
        <v>400</v>
      </c>
      <c r="B20" s="36"/>
      <c r="C20" s="36"/>
    </row>
    <row r="21" spans="1:10">
      <c r="A21" s="36"/>
      <c r="B21" s="36"/>
      <c r="C21" s="36"/>
      <c r="D21" s="36"/>
      <c r="E21" s="36"/>
      <c r="F21" s="36"/>
      <c r="G21" s="36"/>
      <c r="H21" s="36"/>
      <c r="I21" s="36"/>
      <c r="J21" s="36"/>
    </row>
    <row r="22" spans="1:10">
      <c r="A22" s="36" t="s">
        <v>547</v>
      </c>
      <c r="B22" s="36"/>
      <c r="C22" s="36"/>
      <c r="D22" s="36"/>
      <c r="E22" s="36"/>
      <c r="F22" s="36"/>
      <c r="G22" s="36"/>
      <c r="H22" s="36"/>
      <c r="I22" s="36"/>
      <c r="J22" s="36"/>
    </row>
    <row r="23" spans="1:10">
      <c r="J23" s="36"/>
    </row>
    <row r="24" spans="1:10">
      <c r="A24" s="36" t="s">
        <v>548</v>
      </c>
      <c r="B24" s="36"/>
      <c r="C24" s="36"/>
      <c r="D24" s="36"/>
      <c r="E24" s="36"/>
      <c r="F24" s="36"/>
      <c r="G24" s="36"/>
      <c r="H24" s="36"/>
      <c r="I24" s="36"/>
    </row>
    <row r="25" spans="1:10">
      <c r="A25" s="36" t="s">
        <v>401</v>
      </c>
      <c r="B25" s="36"/>
      <c r="C25" s="36"/>
      <c r="D25" s="36"/>
    </row>
    <row r="26" spans="1:10">
      <c r="J26" s="36"/>
    </row>
    <row r="27" spans="1:10">
      <c r="A27" s="36" t="s">
        <v>549</v>
      </c>
      <c r="B27" s="36"/>
      <c r="C27" s="36"/>
      <c r="D27" s="36"/>
      <c r="J27" s="36"/>
    </row>
    <row r="28" spans="1:10">
      <c r="A28" s="344" t="s">
        <v>57</v>
      </c>
      <c r="B28" s="344"/>
      <c r="C28" s="344"/>
      <c r="D28" s="36"/>
      <c r="E28" s="36"/>
      <c r="F28" s="36"/>
      <c r="G28" s="36"/>
      <c r="H28" s="36"/>
      <c r="I28" s="36"/>
      <c r="J28" s="36"/>
    </row>
    <row r="29" spans="1:10">
      <c r="I29" s="36"/>
      <c r="J29" s="36"/>
    </row>
    <row r="30" spans="1:10">
      <c r="A30" s="36" t="s">
        <v>550</v>
      </c>
      <c r="B30" s="36"/>
      <c r="C30" s="36"/>
      <c r="D30" s="36"/>
      <c r="E30" s="36"/>
      <c r="F30" s="36"/>
      <c r="G30" s="36"/>
      <c r="H30" s="36"/>
      <c r="I30" s="36"/>
      <c r="J30" s="36"/>
    </row>
    <row r="31" spans="1:10">
      <c r="A31" s="36" t="s">
        <v>59</v>
      </c>
      <c r="B31" s="36"/>
      <c r="C31" s="36"/>
      <c r="D31" s="344"/>
      <c r="E31" s="36"/>
      <c r="F31" s="36"/>
      <c r="G31" s="36"/>
      <c r="H31" s="36"/>
      <c r="I31" s="36"/>
      <c r="J31" s="36"/>
    </row>
    <row r="32" spans="1:10">
      <c r="A32" s="36" t="s">
        <v>496</v>
      </c>
      <c r="B32" s="36"/>
      <c r="C32" s="36"/>
      <c r="D32" s="36"/>
      <c r="E32" s="36"/>
      <c r="F32" s="36"/>
      <c r="G32" s="36"/>
      <c r="H32" s="36"/>
      <c r="I32" s="36"/>
      <c r="J32" s="344"/>
    </row>
    <row r="33" spans="1:10">
      <c r="A33" s="36" t="s">
        <v>497</v>
      </c>
      <c r="B33" s="36"/>
      <c r="C33" s="36"/>
      <c r="D33" s="36"/>
      <c r="E33" s="36"/>
      <c r="F33" s="36"/>
      <c r="G33" s="36"/>
      <c r="H33" s="36"/>
      <c r="I33" s="36"/>
      <c r="J33" s="36"/>
    </row>
    <row r="34" spans="1:10">
      <c r="A34" s="36" t="s">
        <v>60</v>
      </c>
      <c r="B34" s="36"/>
      <c r="C34" s="36"/>
      <c r="D34" s="36"/>
      <c r="E34" s="36"/>
      <c r="F34" s="36"/>
      <c r="G34" s="36"/>
      <c r="H34" s="36"/>
      <c r="I34" s="344"/>
      <c r="J34" s="36"/>
    </row>
    <row r="35" spans="1:10">
      <c r="A35" s="36" t="s">
        <v>63</v>
      </c>
      <c r="D35" s="36"/>
      <c r="E35" s="344"/>
      <c r="F35" s="344"/>
      <c r="G35" s="344"/>
      <c r="H35" s="344"/>
      <c r="I35" s="36"/>
      <c r="J35" s="36"/>
    </row>
    <row r="36" spans="1:10">
      <c r="G36" s="36"/>
      <c r="H36" s="36"/>
      <c r="I36" s="36"/>
      <c r="J36" s="36"/>
    </row>
    <row r="37" spans="1:10">
      <c r="A37" s="36" t="s">
        <v>551</v>
      </c>
      <c r="D37" s="36"/>
      <c r="E37" s="36"/>
      <c r="F37" s="36"/>
      <c r="G37" s="36"/>
      <c r="H37" s="36"/>
      <c r="I37" s="36"/>
      <c r="J37" s="36"/>
    </row>
    <row r="38" spans="1:10">
      <c r="A38" s="36" t="s">
        <v>58</v>
      </c>
      <c r="D38" s="36"/>
      <c r="E38" s="36"/>
      <c r="F38" s="36"/>
      <c r="G38" s="36"/>
      <c r="H38" s="36"/>
      <c r="I38" s="36"/>
      <c r="J38" s="36"/>
    </row>
    <row r="39" spans="1:10">
      <c r="A39" s="36"/>
      <c r="D39" s="36"/>
      <c r="E39" s="36"/>
      <c r="F39" s="36"/>
      <c r="G39" s="36"/>
      <c r="H39" s="36"/>
      <c r="I39" s="36"/>
      <c r="J39" s="36"/>
    </row>
    <row r="40" spans="1:10">
      <c r="A40" s="528" t="s">
        <v>552</v>
      </c>
      <c r="D40" s="36"/>
      <c r="E40" s="36"/>
      <c r="F40" s="36"/>
      <c r="G40" s="36"/>
      <c r="H40" s="36"/>
      <c r="I40" s="36"/>
      <c r="J40" s="36"/>
    </row>
    <row r="41" spans="1:10">
      <c r="A41" s="36" t="s">
        <v>54</v>
      </c>
      <c r="E41" s="36"/>
      <c r="F41" s="36"/>
      <c r="G41" s="36"/>
      <c r="H41" s="36"/>
      <c r="I41" s="36"/>
    </row>
    <row r="42" spans="1:10">
      <c r="H42" s="36"/>
      <c r="I42" s="36"/>
    </row>
    <row r="43" spans="1:10">
      <c r="A43" s="36" t="s">
        <v>553</v>
      </c>
      <c r="B43" s="36"/>
      <c r="E43" s="36"/>
      <c r="F43" s="36"/>
      <c r="G43" s="36"/>
      <c r="H43" s="36"/>
    </row>
    <row r="44" spans="1:10">
      <c r="A44" s="36" t="s">
        <v>456</v>
      </c>
      <c r="B44" s="36"/>
      <c r="E44" s="36"/>
      <c r="F44" s="36"/>
      <c r="G44" s="36"/>
    </row>
    <row r="45" spans="1:10">
      <c r="A45" s="36" t="s">
        <v>498</v>
      </c>
      <c r="B45" s="36"/>
      <c r="E45" s="36"/>
      <c r="F45" s="36"/>
    </row>
    <row r="46" spans="1:10">
      <c r="A46" s="36" t="s">
        <v>499</v>
      </c>
      <c r="B46" s="36"/>
    </row>
    <row r="48" spans="1:10">
      <c r="A48" s="36" t="s">
        <v>554</v>
      </c>
      <c r="B48" s="36"/>
    </row>
    <row r="49" spans="1:10">
      <c r="A49" s="36" t="s">
        <v>420</v>
      </c>
      <c r="B49" s="36"/>
      <c r="C49" s="36"/>
      <c r="H49" s="36"/>
      <c r="I49" s="36"/>
      <c r="J49" s="36"/>
    </row>
    <row r="50" spans="1:10">
      <c r="A50" s="36" t="s">
        <v>403</v>
      </c>
      <c r="B50" s="36"/>
      <c r="C50" s="36"/>
      <c r="G50" s="36"/>
      <c r="H50" s="36"/>
      <c r="I50" s="36"/>
      <c r="J50" s="36"/>
    </row>
    <row r="51" spans="1:10">
      <c r="A51" s="36" t="s">
        <v>404</v>
      </c>
      <c r="B51" s="36"/>
      <c r="C51" s="36"/>
      <c r="D51" s="36"/>
      <c r="G51" s="36"/>
      <c r="H51" s="36"/>
      <c r="I51" s="36"/>
      <c r="J51" s="36"/>
    </row>
    <row r="52" spans="1:10">
      <c r="C52" s="36"/>
      <c r="D52" s="36"/>
      <c r="E52" s="36"/>
      <c r="F52" s="36"/>
      <c r="G52" s="36"/>
      <c r="H52" s="36"/>
      <c r="I52" s="36"/>
      <c r="J52" s="36"/>
    </row>
    <row r="53" spans="1:10">
      <c r="A53" s="642" t="s">
        <v>631</v>
      </c>
      <c r="C53" s="36"/>
      <c r="D53" s="36"/>
      <c r="E53" s="36"/>
      <c r="F53" s="36"/>
      <c r="G53" s="36"/>
      <c r="H53" s="36"/>
      <c r="I53" s="36"/>
      <c r="J53" s="36"/>
    </row>
    <row r="54" spans="1:10">
      <c r="A54" s="641" t="s">
        <v>653</v>
      </c>
      <c r="C54" s="36"/>
      <c r="D54" s="36"/>
      <c r="E54" s="36"/>
      <c r="F54" s="36"/>
      <c r="G54" s="36"/>
      <c r="H54" s="36"/>
      <c r="I54" s="36"/>
      <c r="J54" s="36"/>
    </row>
    <row r="55" spans="1:10">
      <c r="A55" s="35" t="s">
        <v>654</v>
      </c>
      <c r="C55" s="36"/>
      <c r="D55" s="36"/>
      <c r="E55" s="36"/>
      <c r="F55" s="36"/>
      <c r="G55" s="36"/>
      <c r="H55" s="36"/>
      <c r="I55" s="36"/>
      <c r="J55" s="36"/>
    </row>
  </sheetData>
  <sheetProtection sheet="1" objects="1" scenarios="1" selectLockedCells="1"/>
  <mergeCells count="1">
    <mergeCell ref="K1:L1"/>
  </mergeCells>
  <phoneticPr fontId="42" type="noConversion"/>
  <pageMargins left="1" right="0.5" top="1" bottom="1" header="0.5" footer="0.5"/>
  <pageSetup scale="96"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56"/>
  <sheetViews>
    <sheetView showGridLines="0" zoomScaleNormal="100" workbookViewId="0">
      <selection activeCell="B4" sqref="B4"/>
    </sheetView>
  </sheetViews>
  <sheetFormatPr defaultColWidth="9.109375" defaultRowHeight="13.2"/>
  <cols>
    <col min="1" max="1" width="18.6640625" style="85" customWidth="1"/>
    <col min="2" max="2" width="9.109375" style="85"/>
    <col min="3" max="4" width="10" style="85" customWidth="1"/>
    <col min="5" max="6" width="9.109375" style="85"/>
    <col min="7" max="7" width="12.33203125" style="85" customWidth="1"/>
    <col min="8" max="8" width="12" style="85" customWidth="1"/>
    <col min="9" max="10" width="9.109375" style="85" hidden="1" customWidth="1"/>
    <col min="11" max="11" width="18" style="85" hidden="1" customWidth="1"/>
    <col min="12" max="12" width="9.109375" style="85" hidden="1" customWidth="1"/>
    <col min="13" max="13" width="14.6640625" style="85" hidden="1" customWidth="1"/>
    <col min="14" max="14" width="18" style="85" hidden="1" customWidth="1"/>
    <col min="15" max="16" width="9.109375" style="85" hidden="1" customWidth="1"/>
    <col min="17" max="17" width="8.6640625" style="85" hidden="1" customWidth="1"/>
    <col min="18" max="19" width="9.109375" style="85" hidden="1" customWidth="1"/>
    <col min="20" max="26" width="9.109375" style="437" hidden="1" customWidth="1"/>
    <col min="27" max="28" width="11.6640625" style="85" customWidth="1"/>
    <col min="29" max="16384" width="9.109375" style="85"/>
  </cols>
  <sheetData>
    <row r="1" spans="1:30" ht="15.6">
      <c r="A1" s="42" t="s">
        <v>441</v>
      </c>
      <c r="B1" s="43"/>
      <c r="C1" s="43"/>
      <c r="D1" s="43"/>
      <c r="E1" s="43"/>
      <c r="F1" s="43"/>
      <c r="G1" s="43"/>
      <c r="H1" s="58"/>
      <c r="L1" s="424" t="s">
        <v>243</v>
      </c>
      <c r="M1" s="571"/>
      <c r="N1" s="571"/>
      <c r="O1" s="571"/>
      <c r="P1" s="571"/>
      <c r="Q1" s="571"/>
      <c r="R1" s="571"/>
      <c r="AA1" s="649" t="str">
        <f>Doc!K1</f>
        <v>Version 2.4 Updated 10/20/15</v>
      </c>
      <c r="AB1" s="650"/>
    </row>
    <row r="2" spans="1:30">
      <c r="A2" s="44" t="s">
        <v>532</v>
      </c>
      <c r="B2" s="59"/>
      <c r="C2" s="46"/>
      <c r="D2" s="46"/>
      <c r="E2" s="46"/>
      <c r="F2" s="46"/>
      <c r="G2" s="46"/>
      <c r="H2" s="60"/>
      <c r="L2" s="571"/>
      <c r="M2" s="571"/>
      <c r="N2" s="571"/>
      <c r="O2" s="571"/>
      <c r="P2" s="571"/>
      <c r="Q2" s="571"/>
      <c r="R2" s="571"/>
    </row>
    <row r="3" spans="1:30">
      <c r="A3" s="61" t="s">
        <v>501</v>
      </c>
      <c r="B3" s="59"/>
      <c r="C3" s="46"/>
      <c r="D3" s="46"/>
      <c r="E3" s="48"/>
      <c r="F3" s="48"/>
      <c r="G3" s="48"/>
      <c r="H3" s="62"/>
      <c r="J3" s="572" t="s">
        <v>433</v>
      </c>
      <c r="L3" s="571" t="s">
        <v>281</v>
      </c>
      <c r="M3" s="571"/>
      <c r="N3" s="571"/>
      <c r="O3" s="571"/>
      <c r="P3" s="573" t="s">
        <v>351</v>
      </c>
      <c r="Q3" s="51">
        <f>IF($B$16="Gable",DEGREES(ATAN(($B$12-$B$13)/($B$14/2))),DEGREES(ATAN(($B$12-$B$13)/($B$14))))</f>
        <v>0</v>
      </c>
      <c r="R3" s="571"/>
    </row>
    <row r="4" spans="1:30">
      <c r="A4" s="66" t="s">
        <v>156</v>
      </c>
      <c r="B4" s="181"/>
      <c r="C4" s="182"/>
      <c r="D4" s="183"/>
      <c r="E4" s="188" t="s">
        <v>448</v>
      </c>
      <c r="F4" s="185"/>
      <c r="G4" s="182"/>
      <c r="H4" s="184"/>
      <c r="J4" s="572" t="s">
        <v>424</v>
      </c>
      <c r="L4" s="571" t="s">
        <v>314</v>
      </c>
      <c r="M4" s="574" t="str">
        <f>IF($Q$4&lt;=60,"Yes","No")</f>
        <v>Yes</v>
      </c>
      <c r="N4" s="571"/>
      <c r="O4" s="571"/>
      <c r="P4" s="573" t="s">
        <v>222</v>
      </c>
      <c r="Q4" s="51">
        <f>IF($B$24&lt;=10,$B$13,$B$13+($B$12-$B$13)/2)</f>
        <v>12.5</v>
      </c>
      <c r="R4" s="571"/>
    </row>
    <row r="5" spans="1:30">
      <c r="A5" s="66" t="s">
        <v>157</v>
      </c>
      <c r="B5" s="181"/>
      <c r="C5" s="182"/>
      <c r="D5" s="183"/>
      <c r="E5" s="186" t="s">
        <v>447</v>
      </c>
      <c r="F5" s="257"/>
      <c r="G5" s="188" t="s">
        <v>446</v>
      </c>
      <c r="H5" s="258"/>
      <c r="J5" s="572" t="s">
        <v>425</v>
      </c>
      <c r="L5" s="571" t="s">
        <v>315</v>
      </c>
      <c r="M5" s="574" t="str">
        <f>IF($Q$4&lt;=$Q$5,"Yes","No")</f>
        <v>Yes</v>
      </c>
      <c r="N5" s="571"/>
      <c r="O5" s="571"/>
      <c r="P5" s="573" t="s">
        <v>282</v>
      </c>
      <c r="Q5" s="575">
        <f>IF($B$14&lt;=$B$15,$B$14,$B$15)</f>
        <v>20</v>
      </c>
      <c r="R5" s="571"/>
      <c r="AB5" s="335"/>
      <c r="AC5" s="50"/>
      <c r="AD5" s="50"/>
    </row>
    <row r="6" spans="1:30">
      <c r="A6" s="63"/>
      <c r="B6" s="87"/>
      <c r="C6" s="87"/>
      <c r="D6" s="87"/>
      <c r="E6" s="87"/>
      <c r="F6" s="253"/>
      <c r="G6" s="50"/>
      <c r="H6" s="339"/>
      <c r="J6" s="572" t="s">
        <v>426</v>
      </c>
      <c r="L6" s="571"/>
      <c r="M6" s="571"/>
      <c r="N6" s="571"/>
      <c r="O6" s="571"/>
      <c r="P6" s="573"/>
      <c r="Q6" s="576"/>
      <c r="R6" s="571"/>
    </row>
    <row r="7" spans="1:30">
      <c r="A7" s="65" t="s">
        <v>217</v>
      </c>
      <c r="B7" s="87"/>
      <c r="C7" s="87"/>
      <c r="D7" s="87"/>
      <c r="E7" s="87"/>
      <c r="F7" s="335"/>
      <c r="G7" s="50"/>
      <c r="H7" s="260"/>
      <c r="J7" s="574" t="s">
        <v>389</v>
      </c>
      <c r="L7" s="571" t="s">
        <v>505</v>
      </c>
      <c r="M7" s="571"/>
      <c r="N7" s="571"/>
      <c r="O7" s="571" t="s">
        <v>505</v>
      </c>
      <c r="P7" s="571"/>
      <c r="Q7" s="571"/>
      <c r="R7" s="571"/>
    </row>
    <row r="8" spans="1:30">
      <c r="A8" s="63"/>
      <c r="B8" s="87"/>
      <c r="C8" s="87"/>
      <c r="D8" s="87"/>
      <c r="E8" s="87"/>
      <c r="F8" s="64"/>
      <c r="G8" s="64"/>
      <c r="H8" s="69"/>
      <c r="J8" s="574" t="s">
        <v>224</v>
      </c>
      <c r="L8" s="571" t="s">
        <v>512</v>
      </c>
      <c r="M8" s="571"/>
      <c r="N8" s="571"/>
      <c r="O8" s="577" t="s">
        <v>513</v>
      </c>
      <c r="P8" s="571"/>
      <c r="Q8" s="577"/>
      <c r="R8" s="571"/>
    </row>
    <row r="9" spans="1:30">
      <c r="A9" s="68" t="s">
        <v>218</v>
      </c>
      <c r="B9" s="215">
        <v>110</v>
      </c>
      <c r="C9" s="310" t="s">
        <v>555</v>
      </c>
      <c r="D9" s="64"/>
      <c r="E9" s="64"/>
      <c r="F9" s="64"/>
      <c r="G9" s="64"/>
      <c r="H9" s="69"/>
      <c r="J9" s="574" t="s">
        <v>427</v>
      </c>
      <c r="L9" s="573" t="s">
        <v>267</v>
      </c>
      <c r="M9" s="51">
        <f>IF($B$24&lt;=5,0.4,IF($B$24&lt;=20,(0.53-0.4)*($B$24-5)/(20-5 )+0.4,IF($B$24&lt;=30,(0.56-0.53)*($B$24-20)/(30-20 )+0.53,IF($B$24&lt;=45,0.56,0.56))))</f>
        <v>0.4</v>
      </c>
      <c r="N9" s="571"/>
      <c r="O9" s="573" t="s">
        <v>267</v>
      </c>
      <c r="P9" s="575">
        <v>-0.45</v>
      </c>
      <c r="Q9" s="571"/>
      <c r="R9" s="571"/>
    </row>
    <row r="10" spans="1:30">
      <c r="A10" s="68" t="s">
        <v>458</v>
      </c>
      <c r="B10" s="268" t="s">
        <v>424</v>
      </c>
      <c r="C10" s="304" t="s">
        <v>478</v>
      </c>
      <c r="D10" s="64"/>
      <c r="E10" s="64"/>
      <c r="F10" s="64"/>
      <c r="G10" s="64"/>
      <c r="H10" s="269"/>
      <c r="J10" s="574" t="s">
        <v>463</v>
      </c>
      <c r="L10" s="573" t="s">
        <v>268</v>
      </c>
      <c r="M10" s="51">
        <f>IF($B$24&lt;=5,-0.69,IF($B$24&lt;=20,(-0.69-(-0.69))*($B$24-5)/(20-5 )+(-0.69),IF($B$24&lt;=30,(0.21-(-0.69))*($B$24-20)/(30-20 )+(-0.69),IF($B$24&lt;=45,0.21,(0.56-0.21)*($B$24-45)/(90-45)+0.21))))</f>
        <v>-0.69</v>
      </c>
      <c r="N10" s="571"/>
      <c r="O10" s="573" t="s">
        <v>268</v>
      </c>
      <c r="P10" s="574">
        <v>-0.69</v>
      </c>
      <c r="Q10" s="571"/>
      <c r="R10" s="571"/>
    </row>
    <row r="11" spans="1:30">
      <c r="A11" s="68" t="s">
        <v>460</v>
      </c>
      <c r="B11" s="216" t="s">
        <v>224</v>
      </c>
      <c r="C11" s="304" t="s">
        <v>482</v>
      </c>
      <c r="D11" s="64"/>
      <c r="E11" s="64"/>
      <c r="F11" s="64"/>
      <c r="G11" s="64"/>
      <c r="H11" s="270"/>
      <c r="J11" s="574" t="s">
        <v>462</v>
      </c>
      <c r="L11" s="573" t="s">
        <v>269</v>
      </c>
      <c r="M11" s="51">
        <f>IF($B$24&lt;=5,-0.37,IF($B$24&lt;=20,(-0.48-(-0.37))*($B$24-5)/(20-5 )+(-0.37),IF($B$24&lt;=30,(-0.43-(-0.48))*($B$24-20)/(30-20 )+(-0.48),IF($B$24&lt;=45,-0.43,(-0.37-(-0.43))*($B$24-45)/(90-45)+(-0.43)))))</f>
        <v>-0.37</v>
      </c>
      <c r="N11" s="571"/>
      <c r="O11" s="573" t="s">
        <v>269</v>
      </c>
      <c r="P11" s="574">
        <v>-0.37</v>
      </c>
      <c r="Q11" s="571"/>
      <c r="R11" s="571"/>
    </row>
    <row r="12" spans="1:30">
      <c r="A12" s="68" t="s">
        <v>219</v>
      </c>
      <c r="B12" s="217">
        <v>12.5</v>
      </c>
      <c r="C12" s="304" t="s">
        <v>49</v>
      </c>
      <c r="D12" s="64"/>
      <c r="E12" s="64"/>
      <c r="F12" s="64"/>
      <c r="G12" s="64"/>
      <c r="H12" s="69"/>
      <c r="J12" s="574" t="s">
        <v>393</v>
      </c>
      <c r="L12" s="573" t="s">
        <v>270</v>
      </c>
      <c r="M12" s="51">
        <f>IF($B$24&lt;=5,-0.29,IF($B$24&lt;=20,(-0.43-(-0.29))*($B$24-5)/(20-5 )+(-0.29),IF($B$24&lt;=30,(-0.37-(-0.43))*($B$24-20)/(30-20 )+(-0.43),IF($B$24&lt;=45,-0.37,-0.37))))</f>
        <v>-0.28999999999999998</v>
      </c>
      <c r="N12" s="571"/>
      <c r="O12" s="573" t="s">
        <v>270</v>
      </c>
      <c r="P12" s="574">
        <v>-0.45</v>
      </c>
      <c r="Q12" s="571"/>
      <c r="R12" s="571"/>
    </row>
    <row r="13" spans="1:30">
      <c r="A13" s="68" t="s">
        <v>220</v>
      </c>
      <c r="B13" s="217">
        <v>12.5</v>
      </c>
      <c r="C13" s="304" t="s">
        <v>50</v>
      </c>
      <c r="D13" s="64"/>
      <c r="E13" s="64"/>
      <c r="F13" s="64"/>
      <c r="G13" s="64"/>
      <c r="H13" s="69"/>
      <c r="J13" s="574" t="s">
        <v>176</v>
      </c>
      <c r="K13" s="437"/>
      <c r="L13" s="578" t="s">
        <v>275</v>
      </c>
      <c r="M13" s="579" t="s">
        <v>464</v>
      </c>
      <c r="N13" s="437"/>
      <c r="O13" s="578" t="s">
        <v>275</v>
      </c>
      <c r="P13" s="523">
        <v>0.4</v>
      </c>
      <c r="Q13" s="437"/>
      <c r="R13" s="437"/>
    </row>
    <row r="14" spans="1:30">
      <c r="A14" s="68" t="s">
        <v>387</v>
      </c>
      <c r="B14" s="217">
        <v>20</v>
      </c>
      <c r="C14" s="304" t="s">
        <v>51</v>
      </c>
      <c r="D14" s="64"/>
      <c r="E14" s="64"/>
      <c r="F14" s="64"/>
      <c r="G14" s="64"/>
      <c r="H14" s="69"/>
      <c r="K14" s="437"/>
      <c r="L14" s="578" t="s">
        <v>276</v>
      </c>
      <c r="M14" s="579" t="s">
        <v>464</v>
      </c>
      <c r="N14" s="437"/>
      <c r="O14" s="578" t="s">
        <v>276</v>
      </c>
      <c r="P14" s="523">
        <v>-0.28999999999999998</v>
      </c>
      <c r="Q14" s="437"/>
      <c r="R14" s="437"/>
    </row>
    <row r="15" spans="1:30">
      <c r="A15" s="68" t="s">
        <v>388</v>
      </c>
      <c r="B15" s="217">
        <v>60</v>
      </c>
      <c r="C15" s="304" t="s">
        <v>52</v>
      </c>
      <c r="D15" s="64"/>
      <c r="E15" s="64"/>
      <c r="F15" s="272"/>
      <c r="G15" s="64"/>
      <c r="H15" s="69"/>
      <c r="L15" s="573" t="s">
        <v>271</v>
      </c>
      <c r="M15" s="51">
        <f>IF($B$24&lt;=5,0.61,IF($B$24&lt;=20,(0.8-0.61)*($B$24-5)/(20-5 )+0.61,IF($B$24&lt;=30,(0.69-0.8)*($B$24-20)/(30-20 )+0.8,IF($B$24&lt;=45,0.69,0.69))))</f>
        <v>0.61</v>
      </c>
      <c r="N15" s="571"/>
      <c r="O15" s="573" t="s">
        <v>271</v>
      </c>
      <c r="P15" s="574">
        <v>-0.48</v>
      </c>
      <c r="Q15" s="571"/>
      <c r="R15" s="571"/>
    </row>
    <row r="16" spans="1:30">
      <c r="A16" s="68" t="s">
        <v>461</v>
      </c>
      <c r="B16" s="273" t="s">
        <v>462</v>
      </c>
      <c r="C16" s="304" t="s">
        <v>323</v>
      </c>
      <c r="D16" s="64"/>
      <c r="E16" s="64"/>
      <c r="F16" s="337"/>
      <c r="G16" s="338"/>
      <c r="H16" s="69"/>
      <c r="L16" s="573" t="s">
        <v>272</v>
      </c>
      <c r="M16" s="51">
        <f>IF($B$24&lt;=5,-1.07,IF($B$24&lt;=20,(-1.07-(-1.07))*($B$24-5)/(20-5 )+(-1.07),IF($B$24&lt;=30,(0.27-(-1.07))*($B$24-20)/(30-20 )+(-1.07),IF($B$24&lt;=45,0.27,(0.69-0.27)*($B$24-45)/(90-45)+0.27))))</f>
        <v>-1.07</v>
      </c>
      <c r="N16" s="571"/>
      <c r="O16" s="573" t="s">
        <v>272</v>
      </c>
      <c r="P16" s="574">
        <v>-1.07</v>
      </c>
      <c r="Q16" s="571"/>
      <c r="R16" s="571"/>
    </row>
    <row r="17" spans="1:18">
      <c r="A17" s="68" t="s">
        <v>221</v>
      </c>
      <c r="B17" s="217">
        <v>1</v>
      </c>
      <c r="C17" s="345" t="s">
        <v>479</v>
      </c>
      <c r="D17" s="64"/>
      <c r="E17" s="64"/>
      <c r="F17" s="64"/>
      <c r="G17" s="64"/>
      <c r="H17" s="69"/>
      <c r="L17" s="573" t="s">
        <v>273</v>
      </c>
      <c r="M17" s="51">
        <f>IF($B$24&lt;=5,-0.53,IF($B$24&lt;=20,(-0.69-(-0.53))*($B$24-5)/(20-5 )+(-0.53),IF($B$24&lt;=30,(-0.53-(-0.69))*($B$24-20)/(30-20 )+(-0.69),IF($B$24&lt;=45,-0.53,(-0.48-(-0.53))*($B$24-45)/(90-45)+(-0.53)))))</f>
        <v>-0.53</v>
      </c>
      <c r="N17" s="571"/>
      <c r="O17" s="573" t="s">
        <v>273</v>
      </c>
      <c r="P17" s="146">
        <v>-0.53</v>
      </c>
      <c r="Q17" s="571"/>
      <c r="R17" s="571"/>
    </row>
    <row r="18" spans="1:18">
      <c r="A18" s="68" t="s">
        <v>369</v>
      </c>
      <c r="B18" s="217">
        <v>0.85</v>
      </c>
      <c r="C18" s="129" t="s">
        <v>483</v>
      </c>
      <c r="D18" s="64"/>
      <c r="E18" s="64"/>
      <c r="F18" s="64"/>
      <c r="G18" s="64"/>
      <c r="H18" s="69"/>
      <c r="L18" s="573" t="s">
        <v>274</v>
      </c>
      <c r="M18" s="51">
        <f>IF($B$24&lt;=5,-0.43,IF($B$24&lt;=20,(-0.64-(-0.43))*($B$24-5)/(20-5 )+(-0.43),IF($B$24&lt;=30,(-0.48-(-0.64))*($B$24-20)/(30-20 )+(-0.64),IF($B$24&lt;=45,-0.48,-0.48))))</f>
        <v>-0.43</v>
      </c>
      <c r="N18" s="580"/>
      <c r="O18" s="573" t="s">
        <v>274</v>
      </c>
      <c r="P18" s="146">
        <v>-0.48</v>
      </c>
      <c r="Q18" s="571"/>
      <c r="R18" s="571"/>
    </row>
    <row r="19" spans="1:18">
      <c r="A19" s="68" t="s">
        <v>20</v>
      </c>
      <c r="B19" s="216" t="s">
        <v>393</v>
      </c>
      <c r="C19" s="127" t="s">
        <v>504</v>
      </c>
      <c r="D19" s="64"/>
      <c r="E19" s="64"/>
      <c r="F19" s="64"/>
      <c r="G19" s="64"/>
      <c r="H19" s="69"/>
      <c r="L19" s="571"/>
      <c r="M19" s="571"/>
      <c r="N19" s="571"/>
      <c r="O19" s="573" t="s">
        <v>514</v>
      </c>
      <c r="P19" s="146">
        <v>0.61</v>
      </c>
      <c r="Q19" s="571"/>
      <c r="R19" s="571"/>
    </row>
    <row r="20" spans="1:18">
      <c r="A20" s="323" t="s">
        <v>402</v>
      </c>
      <c r="B20" s="227" t="s">
        <v>176</v>
      </c>
      <c r="D20" s="64"/>
      <c r="E20" s="336"/>
      <c r="F20" s="64"/>
      <c r="G20" s="64"/>
      <c r="H20" s="69"/>
      <c r="O20" s="573" t="s">
        <v>515</v>
      </c>
      <c r="P20" s="146">
        <v>-0.43</v>
      </c>
      <c r="R20" s="571"/>
    </row>
    <row r="21" spans="1:18">
      <c r="A21" s="63"/>
      <c r="B21" s="64"/>
      <c r="C21" s="70" t="str">
        <f>IF($B$13&gt;$B$12,"hr MUST BE &gt;= he !","")</f>
        <v/>
      </c>
      <c r="D21" s="64"/>
      <c r="E21" s="272"/>
      <c r="F21" s="272"/>
      <c r="G21" s="64"/>
      <c r="H21" s="269"/>
      <c r="R21" s="571"/>
    </row>
    <row r="22" spans="1:18">
      <c r="A22" s="65" t="s">
        <v>240</v>
      </c>
      <c r="B22" s="50"/>
      <c r="C22" s="71"/>
      <c r="D22" s="64"/>
      <c r="E22" s="64"/>
      <c r="F22" s="64"/>
      <c r="G22" s="64"/>
      <c r="H22" s="334"/>
      <c r="L22" s="350" t="s">
        <v>518</v>
      </c>
      <c r="M22" s="335"/>
      <c r="N22" s="335"/>
      <c r="O22" s="581"/>
      <c r="P22" s="574"/>
      <c r="Q22" s="571"/>
      <c r="R22" s="571"/>
    </row>
    <row r="23" spans="1:18">
      <c r="A23" s="63"/>
      <c r="B23" s="64"/>
      <c r="C23" s="64"/>
      <c r="D23" s="64"/>
      <c r="E23" s="64"/>
      <c r="F23" s="272"/>
      <c r="G23" s="64"/>
      <c r="H23" s="69"/>
      <c r="L23" s="571" t="s">
        <v>24</v>
      </c>
      <c r="M23" s="571"/>
      <c r="N23" s="513"/>
      <c r="O23" s="577" t="s">
        <v>23</v>
      </c>
      <c r="P23" s="571"/>
      <c r="Q23" s="571"/>
      <c r="R23" s="571"/>
    </row>
    <row r="24" spans="1:18">
      <c r="A24" s="68" t="s">
        <v>350</v>
      </c>
      <c r="B24" s="219">
        <f>$Q$3</f>
        <v>0</v>
      </c>
      <c r="C24" s="64" t="s">
        <v>397</v>
      </c>
      <c r="D24" s="64"/>
      <c r="E24" s="72"/>
      <c r="F24" s="272"/>
      <c r="G24" s="64"/>
      <c r="H24" s="69"/>
      <c r="L24" s="582" t="s">
        <v>287</v>
      </c>
      <c r="M24" s="365">
        <f>IF($M$10&lt;0,0.5*$B$14,"N.A.")</f>
        <v>10</v>
      </c>
      <c r="N24" s="50"/>
      <c r="O24" s="582" t="s">
        <v>146</v>
      </c>
      <c r="P24" s="365">
        <f>IF($P$10&lt;0,0.5*$B$15,"N.A.")</f>
        <v>30</v>
      </c>
      <c r="Q24" s="571"/>
      <c r="R24" s="577"/>
    </row>
    <row r="25" spans="1:18">
      <c r="A25" s="68" t="s">
        <v>222</v>
      </c>
      <c r="B25" s="220">
        <f>$Q$4</f>
        <v>12.5</v>
      </c>
      <c r="C25" s="71" t="str">
        <f>IF($B$24&lt;=10,"ft. (h = he, for angle &lt;=10 deg.)","ft. (h = (hr+he)/2, for angle &gt;10 deg.)")</f>
        <v>ft. (h = he, for angle &lt;=10 deg.)</v>
      </c>
      <c r="D25" s="64"/>
      <c r="E25" s="64"/>
      <c r="F25" s="94"/>
      <c r="G25" s="94"/>
      <c r="H25" s="69"/>
      <c r="L25" s="583" t="s">
        <v>145</v>
      </c>
      <c r="M25" s="365">
        <f>IF($M$10&lt;0,2.5*$B$13,"N.A.")</f>
        <v>31.25</v>
      </c>
      <c r="N25" s="51"/>
      <c r="O25" s="583" t="s">
        <v>145</v>
      </c>
      <c r="P25" s="365">
        <f>IF($P$10&lt;0,2.5*$B$13,"N.A.")</f>
        <v>31.25</v>
      </c>
      <c r="Q25" s="571"/>
      <c r="R25" s="584"/>
    </row>
    <row r="26" spans="1:18">
      <c r="A26" s="63"/>
      <c r="B26" s="64"/>
      <c r="C26" s="64"/>
      <c r="D26" s="64"/>
      <c r="E26" s="64"/>
      <c r="F26" s="64"/>
      <c r="G26" s="64"/>
      <c r="H26" s="69"/>
      <c r="L26" s="439" t="s">
        <v>288</v>
      </c>
      <c r="M26" s="365">
        <f>IF($M$10&lt;0,IF($M$24&lt;=$M$25,$M$24,$M$25),"N.A.")</f>
        <v>10</v>
      </c>
      <c r="N26" s="51"/>
      <c r="O26" s="439" t="s">
        <v>288</v>
      </c>
      <c r="P26" s="365">
        <f>IF($P$10&lt;0,IF($P$24&lt;=$P$25,$P$24,$P$25),"N.A.")</f>
        <v>30</v>
      </c>
      <c r="Q26" s="571"/>
      <c r="R26" s="571"/>
    </row>
    <row r="27" spans="1:18">
      <c r="A27" s="63" t="s">
        <v>342</v>
      </c>
      <c r="B27" s="64"/>
      <c r="C27" s="64"/>
      <c r="D27" s="64"/>
      <c r="E27" s="64"/>
      <c r="F27" s="64"/>
      <c r="G27" s="64"/>
      <c r="H27" s="69"/>
      <c r="L27" s="571"/>
      <c r="M27" s="571"/>
      <c r="N27" s="571"/>
      <c r="O27" s="571"/>
      <c r="P27" s="571"/>
      <c r="Q27" s="571"/>
      <c r="R27" s="571"/>
    </row>
    <row r="28" spans="1:18">
      <c r="A28" s="97" t="s">
        <v>284</v>
      </c>
      <c r="B28" s="98" t="str">
        <f>IF($M$4="Yes","Yes, O.K.","No, Violation!")</f>
        <v>Yes, O.K.</v>
      </c>
      <c r="C28" s="99"/>
      <c r="D28" s="71" t="s">
        <v>438</v>
      </c>
      <c r="E28" s="64"/>
      <c r="F28" s="64"/>
      <c r="G28" s="67" t="str">
        <f>IF($M$5="Yes","Yes, O.K.","No, Violation!")</f>
        <v>Yes, O.K.</v>
      </c>
      <c r="H28" s="69"/>
      <c r="L28" s="571" t="s">
        <v>503</v>
      </c>
      <c r="M28" s="571"/>
      <c r="N28" s="571"/>
      <c r="O28" s="571"/>
      <c r="P28" s="571"/>
      <c r="Q28" s="580"/>
      <c r="R28" s="571"/>
    </row>
    <row r="29" spans="1:18">
      <c r="A29" s="63"/>
      <c r="B29" s="64"/>
      <c r="C29" s="64"/>
      <c r="D29" s="64"/>
      <c r="E29" s="64"/>
      <c r="F29" s="64"/>
      <c r="G29" s="64"/>
      <c r="H29" s="69"/>
      <c r="L29" s="583" t="s">
        <v>256</v>
      </c>
      <c r="M29" s="50">
        <f>IF($B$19="Y",0.18,0.55)</f>
        <v>0.18</v>
      </c>
      <c r="N29" s="577"/>
      <c r="O29" s="571"/>
      <c r="P29" s="571"/>
      <c r="Q29" s="585"/>
      <c r="R29" s="571"/>
    </row>
    <row r="30" spans="1:18">
      <c r="A30" s="294" t="s">
        <v>502</v>
      </c>
      <c r="B30" s="64"/>
      <c r="C30" s="64"/>
      <c r="D30" s="64"/>
      <c r="E30" s="64"/>
      <c r="F30" s="64"/>
      <c r="G30" s="64"/>
      <c r="H30" s="69"/>
      <c r="L30" s="583" t="s">
        <v>257</v>
      </c>
      <c r="M30" s="50">
        <f>IF($B$19="Y",-0.18,-0.55)</f>
        <v>-0.18</v>
      </c>
      <c r="N30" s="577"/>
      <c r="O30" s="571"/>
      <c r="P30" s="571"/>
      <c r="Q30" s="56"/>
      <c r="R30" s="571"/>
    </row>
    <row r="31" spans="1:18">
      <c r="A31" s="63" t="s">
        <v>321</v>
      </c>
      <c r="B31" s="64"/>
      <c r="C31" s="64"/>
      <c r="D31" s="64"/>
      <c r="E31" s="64"/>
      <c r="F31" s="64"/>
      <c r="G31" s="64"/>
      <c r="H31" s="69"/>
      <c r="L31" s="571"/>
      <c r="M31" s="571"/>
      <c r="N31" s="571"/>
      <c r="O31" s="571"/>
      <c r="P31" s="571"/>
      <c r="Q31" s="571"/>
      <c r="R31" s="571"/>
    </row>
    <row r="32" spans="1:18">
      <c r="A32" s="542" t="s">
        <v>503</v>
      </c>
      <c r="B32" s="64"/>
      <c r="C32" s="64"/>
      <c r="D32" s="64"/>
      <c r="E32" s="53"/>
      <c r="F32" s="64"/>
      <c r="G32" s="64"/>
      <c r="H32" s="100"/>
      <c r="L32" s="571" t="s">
        <v>352</v>
      </c>
      <c r="M32" s="571"/>
      <c r="N32" s="571"/>
      <c r="O32" s="571"/>
      <c r="P32" s="571"/>
      <c r="Q32" s="571"/>
      <c r="R32" s="571"/>
    </row>
    <row r="33" spans="1:18">
      <c r="A33" s="101" t="s">
        <v>262</v>
      </c>
      <c r="B33" s="219">
        <f>$M$29</f>
        <v>0.18</v>
      </c>
      <c r="C33" s="64" t="s">
        <v>331</v>
      </c>
      <c r="D33" s="64"/>
      <c r="E33" s="64"/>
      <c r="F33" s="64"/>
      <c r="G33" s="64"/>
      <c r="H33" s="69"/>
      <c r="L33" s="586" t="s">
        <v>353</v>
      </c>
      <c r="M33" s="146">
        <f>IF($B$11="B",7,IF($B$11="C",9.5,IF($B$11="D",11.5,"Error!")))</f>
        <v>9.5</v>
      </c>
      <c r="N33" s="577" t="s">
        <v>488</v>
      </c>
      <c r="O33" s="571"/>
      <c r="P33" s="571"/>
      <c r="Q33" s="571"/>
      <c r="R33" s="571"/>
    </row>
    <row r="34" spans="1:18">
      <c r="A34" s="101" t="s">
        <v>263</v>
      </c>
      <c r="B34" s="220">
        <f>$M$30</f>
        <v>-0.18</v>
      </c>
      <c r="C34" s="64" t="s">
        <v>332</v>
      </c>
      <c r="D34" s="64"/>
      <c r="E34" s="64"/>
      <c r="F34" s="64"/>
      <c r="G34" s="64"/>
      <c r="H34" s="69"/>
      <c r="L34" s="573" t="s">
        <v>174</v>
      </c>
      <c r="M34" s="587">
        <f>IF($B$11="B",1200,IF($B$11="C",900,IF($B$11="D",700,"Error!")))</f>
        <v>900</v>
      </c>
      <c r="N34" s="577" t="s">
        <v>488</v>
      </c>
      <c r="O34" s="571"/>
      <c r="P34" s="571"/>
      <c r="Q34" s="571"/>
      <c r="R34" s="571"/>
    </row>
    <row r="35" spans="1:18">
      <c r="A35" s="63"/>
      <c r="B35" s="64"/>
      <c r="C35" s="64"/>
      <c r="D35" s="64"/>
      <c r="E35" s="64"/>
      <c r="F35" s="64"/>
      <c r="G35" s="64"/>
      <c r="H35" s="69"/>
      <c r="L35" s="573" t="s">
        <v>175</v>
      </c>
      <c r="M35" s="146">
        <f>IF($B$11="B",IF($Q$4&lt;30,2.01*(30/$M$34)^(2/$M$33),2.01*($Q$4/$M$34)^(2/$M$33)),IF(OR($B$11="C",$B$11="D"),IF($Q$4&lt;15,2.01*(15/$M$34)^(2/$M$33),2.01*($Q$4/$M$34)^(2/$M$33))))</f>
        <v>0.84888415207790313</v>
      </c>
      <c r="N35" s="571" t="s">
        <v>508</v>
      </c>
      <c r="O35" s="51"/>
      <c r="P35" s="571"/>
      <c r="Q35" s="571"/>
      <c r="R35" s="571"/>
    </row>
    <row r="36" spans="1:18">
      <c r="A36" s="538" t="s">
        <v>506</v>
      </c>
      <c r="B36" s="64"/>
      <c r="C36" s="64"/>
      <c r="D36" s="64"/>
      <c r="E36" s="64"/>
      <c r="F36" s="71"/>
      <c r="G36" s="80"/>
      <c r="H36" s="69"/>
      <c r="L36" s="573" t="s">
        <v>266</v>
      </c>
      <c r="M36" s="146">
        <f>0.00256*$M$35*$B$17*$B$18*$B$9^2</f>
        <v>22.350780170550358</v>
      </c>
      <c r="N36" s="577" t="s">
        <v>509</v>
      </c>
      <c r="O36" s="571"/>
      <c r="P36" s="571"/>
      <c r="Q36" s="571"/>
      <c r="R36" s="571"/>
    </row>
    <row r="37" spans="1:18">
      <c r="A37" s="538" t="s">
        <v>507</v>
      </c>
      <c r="B37" s="64"/>
      <c r="C37" s="64"/>
      <c r="D37" s="64"/>
      <c r="E37" s="64"/>
      <c r="F37" s="71" t="str">
        <f>IF($B$11="B","(Note: z not &lt; 30' for Exp. B)","")</f>
        <v/>
      </c>
      <c r="G37" s="80"/>
      <c r="H37" s="69"/>
      <c r="N37" s="571"/>
      <c r="O37" s="571"/>
      <c r="P37" s="571"/>
      <c r="Q37" s="571"/>
      <c r="R37" s="571"/>
    </row>
    <row r="38" spans="1:18">
      <c r="A38" s="103" t="s">
        <v>346</v>
      </c>
      <c r="B38" s="224">
        <f>$M$33</f>
        <v>9.5</v>
      </c>
      <c r="C38" s="127" t="s">
        <v>488</v>
      </c>
      <c r="D38" s="71"/>
      <c r="E38" s="71"/>
      <c r="G38" s="80"/>
      <c r="H38" s="69"/>
      <c r="L38" s="571" t="s">
        <v>519</v>
      </c>
      <c r="M38" s="571"/>
      <c r="N38" s="87"/>
      <c r="O38" s="571"/>
      <c r="P38" s="571"/>
      <c r="Q38" s="571"/>
      <c r="R38" s="571"/>
    </row>
    <row r="39" spans="1:18">
      <c r="A39" s="68" t="s">
        <v>174</v>
      </c>
      <c r="B39" s="228">
        <f>$M$34</f>
        <v>900</v>
      </c>
      <c r="C39" s="127" t="s">
        <v>488</v>
      </c>
      <c r="D39" s="64"/>
      <c r="E39" s="64"/>
      <c r="F39" s="64"/>
      <c r="G39" s="64"/>
      <c r="H39" s="69"/>
      <c r="L39" s="571"/>
      <c r="M39" s="573" t="s">
        <v>246</v>
      </c>
      <c r="N39" s="575">
        <f>IF($B$14&lt;=$B$15,$B$14,$B$15)</f>
        <v>20</v>
      </c>
      <c r="O39" s="571"/>
      <c r="P39" s="571"/>
      <c r="Q39" s="571"/>
      <c r="R39" s="571"/>
    </row>
    <row r="40" spans="1:18">
      <c r="A40" s="68" t="s">
        <v>175</v>
      </c>
      <c r="B40" s="226">
        <f>$M$35</f>
        <v>0.84888415207790313</v>
      </c>
      <c r="C40" s="64" t="s">
        <v>259</v>
      </c>
      <c r="D40" s="64"/>
      <c r="E40" s="64"/>
      <c r="F40" s="83"/>
      <c r="G40" s="80"/>
      <c r="H40" s="69"/>
      <c r="L40" s="571"/>
      <c r="M40" s="583" t="s">
        <v>247</v>
      </c>
      <c r="N40" s="575">
        <f>0.1*$N$39</f>
        <v>2</v>
      </c>
      <c r="O40" s="571"/>
      <c r="P40" s="571"/>
      <c r="Q40" s="571"/>
      <c r="R40" s="571"/>
    </row>
    <row r="41" spans="1:18">
      <c r="A41" s="63"/>
      <c r="E41" s="64"/>
      <c r="F41" s="64"/>
      <c r="G41" s="64"/>
      <c r="H41" s="69"/>
      <c r="L41" s="571"/>
      <c r="M41" s="573" t="s">
        <v>199</v>
      </c>
      <c r="N41" s="575">
        <f>IF($N$40&lt;=0.4*$B$25,$N$40,0.4*$B$25)</f>
        <v>2</v>
      </c>
      <c r="O41" s="571"/>
      <c r="P41" s="571"/>
      <c r="Q41" s="571"/>
      <c r="R41" s="571"/>
    </row>
    <row r="42" spans="1:18">
      <c r="A42" s="309" t="s">
        <v>545</v>
      </c>
      <c r="B42" s="64"/>
      <c r="C42" s="64"/>
      <c r="D42" s="64"/>
      <c r="E42" s="64"/>
      <c r="F42" s="64"/>
      <c r="G42" s="64"/>
      <c r="H42" s="69"/>
      <c r="L42" s="571"/>
      <c r="M42" s="573" t="s">
        <v>241</v>
      </c>
      <c r="N42" s="575">
        <f>IF($N$41&gt;=0.04*$N$39,$N$41,0.04*$N$39)</f>
        <v>2</v>
      </c>
      <c r="O42" s="571"/>
      <c r="P42" s="146"/>
      <c r="Q42" s="571"/>
      <c r="R42" s="571"/>
    </row>
    <row r="43" spans="1:18">
      <c r="A43" s="68" t="s">
        <v>266</v>
      </c>
      <c r="B43" s="78">
        <f>$M$36</f>
        <v>22.350780170550358</v>
      </c>
      <c r="C43" s="64" t="s">
        <v>437</v>
      </c>
      <c r="D43" s="310" t="s">
        <v>491</v>
      </c>
      <c r="E43" s="64"/>
      <c r="F43" s="64"/>
      <c r="G43" s="80"/>
      <c r="H43" s="69"/>
      <c r="K43" s="146"/>
      <c r="L43" s="571"/>
      <c r="M43" s="573" t="s">
        <v>210</v>
      </c>
      <c r="N43" s="575">
        <f>IF($N$42&gt;=3,$N$42,3)</f>
        <v>3</v>
      </c>
      <c r="O43" s="571"/>
      <c r="P43" s="588"/>
      <c r="Q43" s="571"/>
      <c r="R43" s="571"/>
    </row>
    <row r="44" spans="1:18">
      <c r="A44" s="309" t="s">
        <v>556</v>
      </c>
      <c r="B44" s="64"/>
      <c r="C44" s="105"/>
      <c r="D44" s="90"/>
      <c r="E44" s="106"/>
      <c r="F44" s="107"/>
      <c r="G44" s="90"/>
      <c r="H44" s="69"/>
      <c r="L44" s="571"/>
      <c r="M44" s="573" t="s">
        <v>198</v>
      </c>
      <c r="N44" s="575">
        <f>$N$43</f>
        <v>3</v>
      </c>
      <c r="O44" s="571"/>
      <c r="P44" s="571"/>
      <c r="Q44" s="571"/>
      <c r="R44" s="571"/>
    </row>
    <row r="45" spans="1:18">
      <c r="A45" s="541" t="s">
        <v>521</v>
      </c>
      <c r="B45" s="64"/>
      <c r="C45" s="64"/>
      <c r="D45" s="90"/>
      <c r="E45" s="64"/>
      <c r="F45" s="90"/>
      <c r="G45" s="64"/>
      <c r="H45" s="69"/>
      <c r="L45" s="571"/>
      <c r="M45" s="573" t="s">
        <v>283</v>
      </c>
      <c r="N45" s="575">
        <f>2*$N$44</f>
        <v>6</v>
      </c>
      <c r="O45" s="571"/>
      <c r="P45" s="571"/>
      <c r="Q45" s="571"/>
      <c r="R45" s="571"/>
    </row>
    <row r="46" spans="1:18">
      <c r="A46" s="63"/>
      <c r="B46" s="64"/>
      <c r="C46" s="64"/>
      <c r="D46" s="64"/>
      <c r="E46" s="64"/>
      <c r="F46" s="90"/>
      <c r="G46" s="90"/>
      <c r="H46" s="69"/>
      <c r="R46" s="571"/>
    </row>
    <row r="47" spans="1:18">
      <c r="A47" s="166" t="s">
        <v>520</v>
      </c>
      <c r="B47" s="64"/>
      <c r="C47" s="64"/>
      <c r="D47" s="87"/>
      <c r="E47" s="64"/>
      <c r="F47" s="64"/>
      <c r="G47" s="64"/>
      <c r="H47" s="69"/>
      <c r="R47" s="571"/>
    </row>
    <row r="48" spans="1:18">
      <c r="A48" s="68" t="s">
        <v>285</v>
      </c>
      <c r="B48" s="224">
        <f>$N$44</f>
        <v>3</v>
      </c>
      <c r="C48" s="71" t="s">
        <v>200</v>
      </c>
      <c r="D48" s="64"/>
      <c r="E48" s="64"/>
      <c r="F48" s="64"/>
      <c r="G48" s="80"/>
      <c r="H48" s="109"/>
      <c r="O48" s="571"/>
      <c r="P48" s="571"/>
      <c r="Q48" s="571"/>
      <c r="R48" s="571"/>
    </row>
    <row r="49" spans="1:18">
      <c r="A49" s="101" t="s">
        <v>286</v>
      </c>
      <c r="B49" s="226">
        <f>$N$45</f>
        <v>6</v>
      </c>
      <c r="C49" s="71" t="s">
        <v>200</v>
      </c>
      <c r="D49" s="64"/>
      <c r="E49" s="49"/>
      <c r="F49" s="64"/>
      <c r="G49" s="90"/>
      <c r="H49" s="100"/>
      <c r="R49" s="571"/>
    </row>
    <row r="50" spans="1:18">
      <c r="A50" s="63"/>
      <c r="B50" s="64"/>
      <c r="C50" s="64"/>
      <c r="D50" s="64"/>
      <c r="E50" s="64"/>
      <c r="F50" s="64"/>
      <c r="G50" s="64"/>
      <c r="H50" s="69"/>
      <c r="R50" s="571"/>
    </row>
    <row r="51" spans="1:18">
      <c r="A51" s="63"/>
      <c r="B51" s="64"/>
      <c r="C51" s="64"/>
      <c r="D51" s="64"/>
      <c r="E51" s="64"/>
      <c r="F51" s="64"/>
      <c r="G51" s="57"/>
      <c r="H51" s="281"/>
      <c r="R51" s="571"/>
    </row>
    <row r="52" spans="1:18">
      <c r="A52" s="88"/>
      <c r="B52" s="73"/>
      <c r="C52" s="73"/>
      <c r="D52" s="73"/>
      <c r="E52" s="73"/>
      <c r="F52" s="73"/>
      <c r="G52" s="282"/>
      <c r="H52" s="283"/>
      <c r="R52" s="571"/>
    </row>
    <row r="53" spans="1:18">
      <c r="A53" s="455" t="s">
        <v>510</v>
      </c>
      <c r="B53" s="43"/>
      <c r="C53" s="43"/>
      <c r="D53" s="110"/>
      <c r="E53" s="79" t="s">
        <v>511</v>
      </c>
      <c r="F53" s="110"/>
      <c r="G53" s="74"/>
      <c r="H53" s="111"/>
      <c r="R53" s="571"/>
    </row>
    <row r="54" spans="1:18">
      <c r="A54" s="112" t="s">
        <v>161</v>
      </c>
      <c r="B54" s="81" t="s">
        <v>277</v>
      </c>
      <c r="C54" s="76" t="s">
        <v>357</v>
      </c>
      <c r="D54" s="113"/>
      <c r="E54" s="112" t="s">
        <v>161</v>
      </c>
      <c r="F54" s="307" t="s">
        <v>307</v>
      </c>
      <c r="G54" s="76" t="s">
        <v>357</v>
      </c>
      <c r="H54" s="113"/>
      <c r="R54" s="571"/>
    </row>
    <row r="55" spans="1:18">
      <c r="A55" s="305"/>
      <c r="B55" s="114"/>
      <c r="C55" s="277" t="s">
        <v>278</v>
      </c>
      <c r="D55" s="77" t="s">
        <v>279</v>
      </c>
      <c r="E55" s="305"/>
      <c r="F55" s="308"/>
      <c r="G55" s="277" t="s">
        <v>278</v>
      </c>
      <c r="H55" s="277" t="s">
        <v>279</v>
      </c>
      <c r="R55" s="571"/>
    </row>
    <row r="56" spans="1:18">
      <c r="A56" s="230" t="s">
        <v>293</v>
      </c>
      <c r="B56" s="221">
        <f>$M$9</f>
        <v>0.4</v>
      </c>
      <c r="C56" s="221">
        <f>$M$36*($B56-$M$29)</f>
        <v>4.9171716375210792</v>
      </c>
      <c r="D56" s="221">
        <f>$M$36*($B56-$M$30)</f>
        <v>12.96345249891921</v>
      </c>
      <c r="E56" s="230" t="s">
        <v>293</v>
      </c>
      <c r="F56" s="224">
        <f>$P9</f>
        <v>-0.45</v>
      </c>
      <c r="G56" s="224">
        <f t="shared" ref="G56:G67" si="0">$M$36*($F56-$M$29)</f>
        <v>-14.080991507446726</v>
      </c>
      <c r="H56" s="224">
        <f t="shared" ref="H56:H67" si="1">$M$36*($F56-$M$30)</f>
        <v>-6.0347106460485973</v>
      </c>
      <c r="R56" s="571"/>
    </row>
    <row r="57" spans="1:18">
      <c r="A57" s="231" t="s">
        <v>294</v>
      </c>
      <c r="B57" s="222">
        <f>$M$10</f>
        <v>-0.69</v>
      </c>
      <c r="C57" s="222">
        <f>$M$36*($B57-$M$29)</f>
        <v>-19.445178748378808</v>
      </c>
      <c r="D57" s="222">
        <f>$M$36*($B57-$M$30)</f>
        <v>-11.398897886980683</v>
      </c>
      <c r="E57" s="231" t="s">
        <v>294</v>
      </c>
      <c r="F57" s="229">
        <f>$P$10</f>
        <v>-0.69</v>
      </c>
      <c r="G57" s="229">
        <f t="shared" si="0"/>
        <v>-19.445178748378808</v>
      </c>
      <c r="H57" s="229">
        <f t="shared" si="1"/>
        <v>-11.398897886980683</v>
      </c>
      <c r="R57" s="571"/>
    </row>
    <row r="58" spans="1:18">
      <c r="A58" s="231" t="s">
        <v>295</v>
      </c>
      <c r="B58" s="222">
        <f>$M$11</f>
        <v>-0.37</v>
      </c>
      <c r="C58" s="222">
        <f>$M$36*($B58-$M$29)</f>
        <v>-12.292929093802698</v>
      </c>
      <c r="D58" s="222">
        <f>$M$36*($B58-$M$30)</f>
        <v>-4.246648232404568</v>
      </c>
      <c r="E58" s="231" t="s">
        <v>295</v>
      </c>
      <c r="F58" s="229">
        <f>$P$11</f>
        <v>-0.37</v>
      </c>
      <c r="G58" s="229">
        <f t="shared" si="0"/>
        <v>-12.292929093802698</v>
      </c>
      <c r="H58" s="229">
        <f t="shared" si="1"/>
        <v>-4.246648232404568</v>
      </c>
      <c r="R58" s="571"/>
    </row>
    <row r="59" spans="1:18">
      <c r="A59" s="231" t="s">
        <v>296</v>
      </c>
      <c r="B59" s="222">
        <f>$M$12</f>
        <v>-0.28999999999999998</v>
      </c>
      <c r="C59" s="222">
        <f>$M$36*($B59-$M$29)</f>
        <v>-10.504866680158667</v>
      </c>
      <c r="D59" s="222">
        <f>$M$36*($B59-$M$30)</f>
        <v>-2.4585858187605392</v>
      </c>
      <c r="E59" s="231" t="s">
        <v>296</v>
      </c>
      <c r="F59" s="229">
        <f>$P$12</f>
        <v>-0.45</v>
      </c>
      <c r="G59" s="229">
        <f t="shared" si="0"/>
        <v>-14.080991507446726</v>
      </c>
      <c r="H59" s="229">
        <f t="shared" si="1"/>
        <v>-6.0347106460485973</v>
      </c>
      <c r="R59" s="571"/>
    </row>
    <row r="60" spans="1:18">
      <c r="A60" s="295" t="s">
        <v>301</v>
      </c>
      <c r="B60" s="297" t="str">
        <f>$M$13</f>
        <v>---</v>
      </c>
      <c r="C60" s="543" t="s">
        <v>464</v>
      </c>
      <c r="D60" s="543" t="s">
        <v>464</v>
      </c>
      <c r="E60" s="295" t="s">
        <v>301</v>
      </c>
      <c r="F60" s="297">
        <f>$P$13</f>
        <v>0.4</v>
      </c>
      <c r="G60" s="297">
        <f t="shared" si="0"/>
        <v>4.9171716375210792</v>
      </c>
      <c r="H60" s="297">
        <f t="shared" si="1"/>
        <v>12.96345249891921</v>
      </c>
      <c r="R60" s="571"/>
    </row>
    <row r="61" spans="1:18">
      <c r="A61" s="296" t="s">
        <v>302</v>
      </c>
      <c r="B61" s="298" t="str">
        <f>$M$14</f>
        <v>---</v>
      </c>
      <c r="C61" s="543" t="s">
        <v>464</v>
      </c>
      <c r="D61" s="543" t="s">
        <v>464</v>
      </c>
      <c r="E61" s="296" t="s">
        <v>302</v>
      </c>
      <c r="F61" s="298">
        <f>$P$14</f>
        <v>-0.28999999999999998</v>
      </c>
      <c r="G61" s="297">
        <f t="shared" si="0"/>
        <v>-10.504866680158667</v>
      </c>
      <c r="H61" s="297">
        <f t="shared" si="1"/>
        <v>-2.4585858187605392</v>
      </c>
      <c r="R61" s="571"/>
    </row>
    <row r="62" spans="1:18">
      <c r="A62" s="230" t="s">
        <v>297</v>
      </c>
      <c r="B62" s="233">
        <f>$M$15</f>
        <v>0.61</v>
      </c>
      <c r="C62" s="221">
        <f>$M$36*($B62-$M$29)</f>
        <v>9.6108354733366532</v>
      </c>
      <c r="D62" s="233">
        <f>$M$36*($B62-$M$30)</f>
        <v>17.657116334734784</v>
      </c>
      <c r="E62" s="230" t="s">
        <v>297</v>
      </c>
      <c r="F62" s="236">
        <f>$P$15</f>
        <v>-0.48</v>
      </c>
      <c r="G62" s="224">
        <f t="shared" si="0"/>
        <v>-14.751514912563234</v>
      </c>
      <c r="H62" s="224">
        <f t="shared" si="1"/>
        <v>-6.7052340511651076</v>
      </c>
      <c r="R62" s="571"/>
    </row>
    <row r="63" spans="1:18">
      <c r="A63" s="231" t="s">
        <v>298</v>
      </c>
      <c r="B63" s="234">
        <f>$M$16</f>
        <v>-1.07</v>
      </c>
      <c r="C63" s="222">
        <f>$M$36*($B63-$M$29)</f>
        <v>-27.938475213187949</v>
      </c>
      <c r="D63" s="234">
        <f>$M$36*($B63-$M$30)</f>
        <v>-19.892194351789822</v>
      </c>
      <c r="E63" s="231" t="s">
        <v>298</v>
      </c>
      <c r="F63" s="237">
        <f>$P$16</f>
        <v>-1.07</v>
      </c>
      <c r="G63" s="229">
        <f t="shared" si="0"/>
        <v>-27.938475213187949</v>
      </c>
      <c r="H63" s="229">
        <f t="shared" si="1"/>
        <v>-19.892194351789822</v>
      </c>
      <c r="R63" s="571"/>
    </row>
    <row r="64" spans="1:18">
      <c r="A64" s="231" t="s">
        <v>299</v>
      </c>
      <c r="B64" s="234">
        <f>$M$17</f>
        <v>-0.53</v>
      </c>
      <c r="C64" s="222">
        <f>$M$36*($B64-$M$29)</f>
        <v>-15.869053921090753</v>
      </c>
      <c r="D64" s="234">
        <f>$M$36*($B64-$M$30)</f>
        <v>-7.8227730596926257</v>
      </c>
      <c r="E64" s="231" t="s">
        <v>299</v>
      </c>
      <c r="F64" s="237">
        <f>$P$17</f>
        <v>-0.53</v>
      </c>
      <c r="G64" s="229">
        <f t="shared" si="0"/>
        <v>-15.869053921090753</v>
      </c>
      <c r="H64" s="229">
        <f t="shared" si="1"/>
        <v>-7.8227730596926257</v>
      </c>
      <c r="I64" s="55"/>
      <c r="L64" s="571"/>
      <c r="M64" s="571"/>
      <c r="N64" s="571"/>
      <c r="O64" s="571"/>
      <c r="P64" s="584"/>
      <c r="Q64" s="571"/>
      <c r="R64" s="571"/>
    </row>
    <row r="65" spans="1:18">
      <c r="A65" s="544" t="s">
        <v>300</v>
      </c>
      <c r="B65" s="545">
        <f>$M$18</f>
        <v>-0.43</v>
      </c>
      <c r="C65" s="546">
        <f>$M$36*($B65-$M$29)</f>
        <v>-13.633975904035719</v>
      </c>
      <c r="D65" s="545">
        <f>$M$36*($B65-$M$30)</f>
        <v>-5.5876950426375895</v>
      </c>
      <c r="E65" s="544" t="s">
        <v>300</v>
      </c>
      <c r="F65" s="547">
        <f>$P$18</f>
        <v>-0.48</v>
      </c>
      <c r="G65" s="548">
        <f t="shared" si="0"/>
        <v>-14.751514912563234</v>
      </c>
      <c r="H65" s="548">
        <f t="shared" si="1"/>
        <v>-6.7052340511651076</v>
      </c>
      <c r="L65" s="571"/>
      <c r="M65" s="146"/>
      <c r="N65" s="571"/>
      <c r="O65" s="571"/>
      <c r="P65" s="571"/>
      <c r="Q65" s="571"/>
      <c r="R65" s="571"/>
    </row>
    <row r="66" spans="1:18">
      <c r="A66" s="551" t="s">
        <v>516</v>
      </c>
      <c r="B66" s="552" t="s">
        <v>464</v>
      </c>
      <c r="C66" s="554" t="s">
        <v>464</v>
      </c>
      <c r="D66" s="552" t="s">
        <v>464</v>
      </c>
      <c r="E66" s="551" t="s">
        <v>516</v>
      </c>
      <c r="F66" s="549">
        <f>$P$19</f>
        <v>0.61</v>
      </c>
      <c r="G66" s="550">
        <f t="shared" si="0"/>
        <v>9.6108354733366532</v>
      </c>
      <c r="H66" s="550">
        <f t="shared" si="1"/>
        <v>17.657116334734784</v>
      </c>
      <c r="L66" s="571"/>
      <c r="M66" s="146"/>
      <c r="N66" s="571"/>
      <c r="O66" s="571"/>
      <c r="P66" s="571"/>
      <c r="Q66" s="571"/>
      <c r="R66" s="571"/>
    </row>
    <row r="67" spans="1:18">
      <c r="A67" s="306" t="s">
        <v>517</v>
      </c>
      <c r="B67" s="553" t="s">
        <v>464</v>
      </c>
      <c r="C67" s="555" t="s">
        <v>464</v>
      </c>
      <c r="D67" s="553" t="s">
        <v>464</v>
      </c>
      <c r="E67" s="306" t="s">
        <v>517</v>
      </c>
      <c r="F67" s="238">
        <f>$P$20</f>
        <v>-0.43</v>
      </c>
      <c r="G67" s="226">
        <f t="shared" si="0"/>
        <v>-13.633975904035719</v>
      </c>
      <c r="H67" s="226">
        <f t="shared" si="1"/>
        <v>-5.5876950426375895</v>
      </c>
      <c r="L67" s="571"/>
      <c r="M67" s="571"/>
      <c r="N67" s="571"/>
      <c r="O67" s="571"/>
      <c r="P67" s="589"/>
      <c r="Q67" s="571"/>
      <c r="R67" s="571"/>
    </row>
    <row r="68" spans="1:18">
      <c r="A68" s="63"/>
      <c r="B68" s="64"/>
      <c r="C68" s="64"/>
      <c r="D68" s="64"/>
      <c r="E68" s="64"/>
      <c r="F68" s="64"/>
      <c r="G68" s="64"/>
      <c r="H68" s="69"/>
      <c r="L68" s="571"/>
      <c r="M68" s="571"/>
      <c r="N68" s="571"/>
      <c r="O68" s="571"/>
      <c r="P68" s="571"/>
      <c r="Q68" s="571"/>
      <c r="R68" s="571"/>
    </row>
    <row r="69" spans="1:18">
      <c r="A69" s="63" t="s">
        <v>468</v>
      </c>
      <c r="B69" s="64"/>
      <c r="C69" s="64"/>
      <c r="D69" s="64"/>
      <c r="E69" s="64"/>
      <c r="F69" s="64"/>
      <c r="G69" s="64"/>
      <c r="H69" s="69"/>
      <c r="L69" s="571"/>
      <c r="M69" s="571"/>
      <c r="N69" s="571"/>
      <c r="O69" s="571"/>
      <c r="P69" s="571"/>
      <c r="Q69" s="571"/>
      <c r="R69" s="571"/>
    </row>
    <row r="70" spans="1:18">
      <c r="A70" s="116" t="s">
        <v>526</v>
      </c>
      <c r="B70" s="64"/>
      <c r="C70" s="64"/>
      <c r="D70" s="64"/>
      <c r="E70" s="55" t="s">
        <v>525</v>
      </c>
      <c r="F70" s="64"/>
      <c r="G70" s="64"/>
      <c r="H70" s="69"/>
      <c r="L70" s="50"/>
      <c r="M70" s="51"/>
      <c r="N70" s="51"/>
      <c r="O70" s="51"/>
      <c r="P70" s="56"/>
      <c r="Q70" s="571"/>
      <c r="R70" s="571"/>
    </row>
    <row r="71" spans="1:18">
      <c r="A71" s="68" t="s">
        <v>144</v>
      </c>
      <c r="B71" s="78">
        <f>$M$26</f>
        <v>10</v>
      </c>
      <c r="C71" s="64" t="s">
        <v>200</v>
      </c>
      <c r="D71" s="117"/>
      <c r="E71" s="64"/>
      <c r="F71" s="83" t="s">
        <v>144</v>
      </c>
      <c r="G71" s="78">
        <f>$P$26</f>
        <v>30</v>
      </c>
      <c r="H71" s="69" t="s">
        <v>200</v>
      </c>
      <c r="L71" s="571"/>
      <c r="M71" s="571"/>
      <c r="N71" s="571"/>
      <c r="O71" s="571"/>
      <c r="P71" s="56"/>
      <c r="Q71" s="571"/>
      <c r="R71" s="571"/>
    </row>
    <row r="72" spans="1:18">
      <c r="A72" s="118" t="s">
        <v>147</v>
      </c>
      <c r="B72" s="95"/>
      <c r="C72" s="95"/>
      <c r="D72" s="95"/>
      <c r="E72" s="95"/>
      <c r="F72" s="95"/>
      <c r="G72" s="95"/>
      <c r="H72" s="119"/>
      <c r="L72" s="571"/>
      <c r="M72" s="571"/>
      <c r="N72" s="571"/>
      <c r="O72" s="571"/>
      <c r="P72" s="590"/>
      <c r="Q72" s="571"/>
      <c r="R72" s="571"/>
    </row>
    <row r="73" spans="1:18">
      <c r="A73" s="63"/>
      <c r="B73" s="64"/>
      <c r="C73" s="64"/>
      <c r="D73" s="64"/>
      <c r="E73" s="73"/>
      <c r="F73" s="73"/>
      <c r="G73" s="73"/>
      <c r="H73" s="89"/>
      <c r="L73" s="50"/>
      <c r="M73" s="51"/>
      <c r="N73" s="51"/>
      <c r="O73" s="51"/>
      <c r="P73" s="590"/>
      <c r="Q73" s="571"/>
      <c r="R73" s="571"/>
    </row>
    <row r="74" spans="1:18">
      <c r="A74" s="455" t="s">
        <v>523</v>
      </c>
      <c r="B74" s="74"/>
      <c r="C74" s="74"/>
      <c r="D74" s="110"/>
      <c r="E74" s="79" t="s">
        <v>527</v>
      </c>
      <c r="F74" s="110"/>
      <c r="G74" s="74"/>
      <c r="H74" s="111"/>
      <c r="L74" s="50"/>
      <c r="M74" s="51"/>
      <c r="N74" s="51"/>
      <c r="O74" s="51"/>
      <c r="P74" s="589"/>
      <c r="Q74" s="571"/>
      <c r="R74" s="571"/>
    </row>
    <row r="75" spans="1:18">
      <c r="A75" s="112" t="s">
        <v>161</v>
      </c>
      <c r="B75" s="81" t="s">
        <v>277</v>
      </c>
      <c r="C75" s="76" t="s">
        <v>280</v>
      </c>
      <c r="D75" s="113"/>
      <c r="E75" s="112" t="s">
        <v>161</v>
      </c>
      <c r="F75" s="307" t="s">
        <v>277</v>
      </c>
      <c r="G75" s="76" t="s">
        <v>280</v>
      </c>
      <c r="H75" s="113"/>
      <c r="L75" s="50"/>
      <c r="M75" s="51"/>
      <c r="N75" s="51"/>
      <c r="O75" s="51"/>
      <c r="P75" s="590"/>
      <c r="Q75" s="571"/>
      <c r="R75" s="571"/>
    </row>
    <row r="76" spans="1:18">
      <c r="A76" s="305"/>
      <c r="B76" s="114"/>
      <c r="C76" s="277" t="s">
        <v>278</v>
      </c>
      <c r="D76" s="277" t="s">
        <v>279</v>
      </c>
      <c r="E76" s="305"/>
      <c r="F76" s="308"/>
      <c r="G76" s="277" t="s">
        <v>278</v>
      </c>
      <c r="H76" s="277" t="s">
        <v>279</v>
      </c>
      <c r="L76" s="50"/>
      <c r="M76" s="51"/>
      <c r="N76" s="51"/>
      <c r="O76" s="51"/>
      <c r="P76" s="590"/>
      <c r="Q76" s="571"/>
      <c r="R76" s="571"/>
    </row>
    <row r="77" spans="1:18">
      <c r="A77" s="303" t="s">
        <v>469</v>
      </c>
      <c r="B77" s="299" t="s">
        <v>464</v>
      </c>
      <c r="C77" s="302">
        <f>0.25*$C56</f>
        <v>1.2292929093802698</v>
      </c>
      <c r="D77" s="302">
        <f>0.25*$D56</f>
        <v>3.2408631247298025</v>
      </c>
      <c r="E77" s="303" t="s">
        <v>469</v>
      </c>
      <c r="F77" s="299" t="s">
        <v>464</v>
      </c>
      <c r="G77" s="302">
        <f t="shared" ref="G77:G82" si="2">0.25*$G56</f>
        <v>-3.5202478768616814</v>
      </c>
      <c r="H77" s="302">
        <f t="shared" ref="H77:H82" si="3">0.25*$H56</f>
        <v>-1.5086776615121493</v>
      </c>
      <c r="L77" s="50"/>
      <c r="M77" s="51"/>
      <c r="N77" s="51"/>
      <c r="O77" s="51"/>
      <c r="P77" s="590"/>
      <c r="Q77" s="571"/>
      <c r="R77" s="571"/>
    </row>
    <row r="78" spans="1:18">
      <c r="A78" s="295" t="s">
        <v>470</v>
      </c>
      <c r="B78" s="300" t="s">
        <v>464</v>
      </c>
      <c r="C78" s="297">
        <f>0.25*$C57</f>
        <v>-4.861294687094702</v>
      </c>
      <c r="D78" s="297">
        <f>0.25*$D57</f>
        <v>-2.8497244717451706</v>
      </c>
      <c r="E78" s="295" t="s">
        <v>470</v>
      </c>
      <c r="F78" s="300" t="s">
        <v>464</v>
      </c>
      <c r="G78" s="297">
        <f t="shared" si="2"/>
        <v>-4.861294687094702</v>
      </c>
      <c r="H78" s="297">
        <f t="shared" si="3"/>
        <v>-2.8497244717451706</v>
      </c>
      <c r="L78" s="335"/>
      <c r="M78" s="335"/>
      <c r="N78" s="335"/>
      <c r="O78" s="335"/>
      <c r="P78" s="590"/>
      <c r="Q78" s="571"/>
      <c r="R78" s="571"/>
    </row>
    <row r="79" spans="1:18">
      <c r="A79" s="295" t="s">
        <v>471</v>
      </c>
      <c r="B79" s="301" t="s">
        <v>464</v>
      </c>
      <c r="C79" s="297">
        <f>0.25*$C58</f>
        <v>-3.0732322734506745</v>
      </c>
      <c r="D79" s="297">
        <f>0.25*$D58</f>
        <v>-1.061662058101142</v>
      </c>
      <c r="E79" s="295" t="s">
        <v>471</v>
      </c>
      <c r="F79" s="301" t="s">
        <v>464</v>
      </c>
      <c r="G79" s="297">
        <f t="shared" si="2"/>
        <v>-3.0732322734506745</v>
      </c>
      <c r="H79" s="297">
        <f t="shared" si="3"/>
        <v>-1.061662058101142</v>
      </c>
      <c r="L79" s="591"/>
      <c r="M79" s="335"/>
      <c r="N79" s="335"/>
      <c r="O79" s="581"/>
      <c r="P79" s="590"/>
      <c r="Q79" s="571"/>
      <c r="R79" s="571"/>
    </row>
    <row r="80" spans="1:18">
      <c r="A80" s="556" t="s">
        <v>472</v>
      </c>
      <c r="B80" s="557" t="s">
        <v>464</v>
      </c>
      <c r="C80" s="558">
        <f>0.25*$C59</f>
        <v>-2.6262166700396667</v>
      </c>
      <c r="D80" s="558">
        <f>0.25*$D59</f>
        <v>-0.61464645469013479</v>
      </c>
      <c r="E80" s="556" t="s">
        <v>472</v>
      </c>
      <c r="F80" s="557" t="s">
        <v>464</v>
      </c>
      <c r="G80" s="558">
        <f t="shared" si="2"/>
        <v>-3.5202478768616814</v>
      </c>
      <c r="H80" s="558">
        <f t="shared" si="3"/>
        <v>-1.5086776615121493</v>
      </c>
      <c r="L80" s="50"/>
      <c r="M80" s="50"/>
      <c r="N80" s="513"/>
      <c r="O80" s="51"/>
      <c r="P80" s="590"/>
      <c r="Q80" s="571"/>
      <c r="R80" s="571"/>
    </row>
    <row r="81" spans="1:26">
      <c r="A81" s="567" t="s">
        <v>528</v>
      </c>
      <c r="B81" s="559" t="s">
        <v>464</v>
      </c>
      <c r="C81" s="560" t="s">
        <v>464</v>
      </c>
      <c r="D81" s="559" t="s">
        <v>464</v>
      </c>
      <c r="E81" s="567" t="s">
        <v>528</v>
      </c>
      <c r="F81" s="561" t="s">
        <v>464</v>
      </c>
      <c r="G81" s="562">
        <f t="shared" si="2"/>
        <v>1.2292929093802698</v>
      </c>
      <c r="H81" s="562">
        <f t="shared" si="3"/>
        <v>3.2408631247298025</v>
      </c>
      <c r="T81" s="335"/>
      <c r="U81" s="50"/>
      <c r="V81" s="50"/>
      <c r="W81" s="50"/>
      <c r="X81" s="590"/>
      <c r="Y81" s="571"/>
      <c r="Z81" s="571"/>
    </row>
    <row r="82" spans="1:26">
      <c r="A82" s="568" t="s">
        <v>529</v>
      </c>
      <c r="B82" s="563" t="s">
        <v>464</v>
      </c>
      <c r="C82" s="564" t="s">
        <v>464</v>
      </c>
      <c r="D82" s="563" t="s">
        <v>464</v>
      </c>
      <c r="E82" s="568" t="s">
        <v>529</v>
      </c>
      <c r="F82" s="565" t="s">
        <v>464</v>
      </c>
      <c r="G82" s="566">
        <f t="shared" si="2"/>
        <v>-2.6262166700396667</v>
      </c>
      <c r="H82" s="566">
        <f t="shared" si="3"/>
        <v>-0.61464645469013479</v>
      </c>
      <c r="T82" s="50"/>
      <c r="U82" s="51"/>
      <c r="V82" s="51"/>
      <c r="W82" s="51"/>
      <c r="X82" s="589"/>
      <c r="Y82" s="571"/>
      <c r="Z82" s="571"/>
    </row>
    <row r="83" spans="1:26">
      <c r="A83" s="120"/>
      <c r="B83" s="121"/>
      <c r="C83" s="121"/>
      <c r="D83" s="121"/>
      <c r="E83" s="121"/>
      <c r="F83" s="121"/>
      <c r="G83" s="121"/>
      <c r="H83" s="279"/>
      <c r="T83" s="50"/>
      <c r="U83" s="51"/>
      <c r="V83" s="51"/>
      <c r="W83" s="51"/>
      <c r="X83" s="589"/>
      <c r="Y83" s="571"/>
      <c r="Z83" s="571"/>
    </row>
    <row r="84" spans="1:26">
      <c r="A84" s="116" t="s">
        <v>524</v>
      </c>
      <c r="B84" s="64"/>
      <c r="C84" s="64"/>
      <c r="D84" s="64"/>
      <c r="E84" s="64"/>
      <c r="F84" s="64"/>
      <c r="G84" s="64"/>
      <c r="H84" s="69"/>
      <c r="T84" s="50"/>
      <c r="U84" s="51"/>
      <c r="V84" s="51"/>
      <c r="W84" s="51"/>
      <c r="X84" s="571"/>
      <c r="Y84" s="571"/>
      <c r="Z84" s="571"/>
    </row>
    <row r="85" spans="1:26">
      <c r="A85" s="116" t="s">
        <v>306</v>
      </c>
      <c r="B85" s="49"/>
      <c r="C85" s="49"/>
      <c r="D85" s="91"/>
      <c r="E85" s="55" t="s">
        <v>289</v>
      </c>
      <c r="F85" s="92"/>
      <c r="G85" s="92"/>
      <c r="H85" s="69"/>
      <c r="T85" s="50"/>
      <c r="U85" s="51"/>
      <c r="V85" s="51"/>
      <c r="W85" s="51"/>
      <c r="X85" s="571"/>
      <c r="Y85" s="571"/>
      <c r="Z85" s="571"/>
    </row>
    <row r="86" spans="1:26">
      <c r="A86" s="116" t="s">
        <v>304</v>
      </c>
      <c r="B86" s="57"/>
      <c r="C86" s="52"/>
      <c r="D86" s="90"/>
      <c r="E86" s="55" t="s">
        <v>290</v>
      </c>
      <c r="F86" s="92"/>
      <c r="G86" s="92"/>
      <c r="H86" s="69"/>
      <c r="T86" s="50"/>
      <c r="U86" s="51"/>
      <c r="V86" s="51"/>
      <c r="W86" s="51"/>
      <c r="X86" s="571"/>
      <c r="Y86" s="571"/>
      <c r="Z86" s="571"/>
    </row>
    <row r="87" spans="1:26">
      <c r="A87" s="116" t="s">
        <v>303</v>
      </c>
      <c r="B87" s="57"/>
      <c r="C87" s="57"/>
      <c r="D87" s="57"/>
      <c r="E87" s="55" t="s">
        <v>291</v>
      </c>
      <c r="F87" s="92"/>
      <c r="G87" s="92"/>
      <c r="H87" s="69"/>
      <c r="T87" s="50"/>
      <c r="U87" s="51"/>
      <c r="V87" s="51"/>
      <c r="W87" s="51"/>
      <c r="X87" s="571"/>
      <c r="Y87" s="571"/>
      <c r="Z87" s="571"/>
    </row>
    <row r="88" spans="1:26">
      <c r="A88" s="116" t="s">
        <v>305</v>
      </c>
      <c r="B88" s="49"/>
      <c r="C88" s="49"/>
      <c r="D88" s="49"/>
      <c r="E88" s="55" t="s">
        <v>292</v>
      </c>
      <c r="F88" s="92"/>
      <c r="G88" s="92"/>
      <c r="H88" s="69"/>
      <c r="T88" s="50"/>
      <c r="U88" s="51"/>
      <c r="V88" s="51"/>
      <c r="W88" s="51"/>
      <c r="X88" s="571"/>
      <c r="Y88" s="571"/>
      <c r="Z88" s="571"/>
    </row>
    <row r="89" spans="1:26">
      <c r="A89" s="116" t="s">
        <v>41</v>
      </c>
      <c r="B89" s="57"/>
      <c r="C89" s="57"/>
      <c r="D89" s="57"/>
      <c r="E89" s="55" t="s">
        <v>531</v>
      </c>
      <c r="F89" s="92"/>
      <c r="G89" s="92"/>
      <c r="H89" s="69"/>
      <c r="T89" s="50"/>
      <c r="U89" s="51"/>
      <c r="V89" s="51"/>
      <c r="W89" s="51"/>
      <c r="X89" s="571"/>
      <c r="Y89" s="571"/>
      <c r="Z89" s="571"/>
    </row>
    <row r="90" spans="1:26">
      <c r="A90" s="116" t="s">
        <v>42</v>
      </c>
      <c r="B90" s="64"/>
      <c r="C90" s="92"/>
      <c r="D90" s="91"/>
      <c r="E90" s="55" t="s">
        <v>43</v>
      </c>
      <c r="F90" s="92"/>
      <c r="G90" s="92"/>
      <c r="H90" s="69"/>
      <c r="T90" s="50"/>
      <c r="U90" s="51"/>
      <c r="V90" s="51"/>
      <c r="W90" s="51"/>
      <c r="X90" s="571"/>
      <c r="Y90" s="571"/>
      <c r="Z90" s="571"/>
    </row>
    <row r="91" spans="1:26">
      <c r="A91" s="116" t="s">
        <v>44</v>
      </c>
      <c r="B91" s="64"/>
      <c r="C91" s="64"/>
      <c r="D91" s="64"/>
      <c r="E91" s="64" t="s">
        <v>45</v>
      </c>
      <c r="F91" s="64"/>
      <c r="G91" s="64"/>
      <c r="H91" s="69"/>
      <c r="T91" s="50"/>
      <c r="U91" s="51"/>
      <c r="V91" s="51"/>
      <c r="W91" s="51"/>
      <c r="X91" s="571"/>
      <c r="Y91" s="571"/>
      <c r="Z91" s="571"/>
    </row>
    <row r="92" spans="1:26">
      <c r="A92" s="116" t="s">
        <v>530</v>
      </c>
      <c r="B92" s="64"/>
      <c r="C92" s="64"/>
      <c r="D92" s="64"/>
      <c r="E92" s="64"/>
      <c r="F92" s="64"/>
      <c r="G92" s="64"/>
      <c r="H92" s="69"/>
      <c r="T92" s="50"/>
      <c r="U92" s="51"/>
      <c r="V92" s="51"/>
      <c r="W92" s="51"/>
      <c r="X92" s="571"/>
      <c r="Y92" s="571"/>
      <c r="Z92" s="571"/>
    </row>
    <row r="93" spans="1:26">
      <c r="A93" s="63" t="s">
        <v>309</v>
      </c>
      <c r="B93" s="92"/>
      <c r="C93" s="64"/>
      <c r="D93" s="64"/>
      <c r="E93" s="64"/>
      <c r="F93" s="64"/>
      <c r="G93" s="64"/>
      <c r="H93" s="69"/>
      <c r="T93" s="50"/>
      <c r="U93" s="51"/>
      <c r="V93" s="51"/>
      <c r="W93" s="51"/>
      <c r="X93" s="571"/>
      <c r="Y93" s="571"/>
      <c r="Z93" s="571"/>
    </row>
    <row r="94" spans="1:26">
      <c r="A94" s="63" t="s">
        <v>36</v>
      </c>
      <c r="B94" s="64"/>
      <c r="C94" s="64"/>
      <c r="D94" s="64"/>
      <c r="E94" s="64"/>
      <c r="F94" s="64"/>
      <c r="G94" s="64"/>
      <c r="H94" s="69"/>
      <c r="T94" s="571"/>
      <c r="U94" s="571"/>
      <c r="V94" s="571"/>
      <c r="W94" s="571"/>
      <c r="X94" s="571"/>
      <c r="Y94" s="571"/>
      <c r="Z94" s="571"/>
    </row>
    <row r="95" spans="1:26">
      <c r="A95" s="63" t="s">
        <v>35</v>
      </c>
      <c r="B95" s="64"/>
      <c r="C95" s="64"/>
      <c r="D95" s="64"/>
      <c r="E95" s="64"/>
      <c r="F95" s="64"/>
      <c r="G95" s="64"/>
      <c r="H95" s="69"/>
      <c r="T95" s="571"/>
      <c r="U95" s="571"/>
      <c r="V95" s="571"/>
      <c r="W95" s="571"/>
      <c r="X95" s="571"/>
      <c r="Y95" s="571"/>
      <c r="Z95" s="571"/>
    </row>
    <row r="96" spans="1:26">
      <c r="A96" s="63" t="s">
        <v>37</v>
      </c>
      <c r="B96" s="64"/>
      <c r="C96" s="64"/>
      <c r="D96" s="64"/>
      <c r="E96" s="64"/>
      <c r="F96" s="64"/>
      <c r="G96" s="80"/>
      <c r="H96" s="123"/>
      <c r="T96" s="571"/>
      <c r="U96" s="571"/>
      <c r="V96" s="571"/>
      <c r="W96" s="571"/>
      <c r="X96" s="571"/>
      <c r="Y96" s="571"/>
      <c r="Z96" s="571"/>
    </row>
    <row r="97" spans="1:26">
      <c r="A97" s="63" t="s">
        <v>34</v>
      </c>
      <c r="B97" s="64"/>
      <c r="C97" s="64"/>
      <c r="D97" s="64"/>
      <c r="E97" s="64"/>
      <c r="F97" s="64"/>
      <c r="G97" s="64"/>
      <c r="H97" s="69"/>
      <c r="T97" s="571"/>
      <c r="U97" s="571"/>
      <c r="V97" s="571"/>
      <c r="W97" s="571"/>
      <c r="X97" s="571"/>
      <c r="Y97" s="571"/>
      <c r="Z97" s="571"/>
    </row>
    <row r="98" spans="1:26">
      <c r="A98" s="63" t="s">
        <v>38</v>
      </c>
      <c r="B98" s="64"/>
      <c r="C98" s="64"/>
      <c r="D98" s="64"/>
      <c r="E98" s="64"/>
      <c r="F98" s="64"/>
      <c r="G98" s="64"/>
      <c r="H98" s="69"/>
      <c r="T98" s="571"/>
      <c r="U98" s="571"/>
      <c r="V98" s="571"/>
      <c r="W98" s="571"/>
      <c r="X98" s="571"/>
      <c r="Y98" s="571"/>
      <c r="Z98" s="571"/>
    </row>
    <row r="99" spans="1:26">
      <c r="A99" s="63" t="s">
        <v>39</v>
      </c>
      <c r="B99" s="64"/>
      <c r="C99" s="64"/>
      <c r="D99" s="64"/>
      <c r="E99" s="64"/>
      <c r="F99" s="64"/>
      <c r="G99" s="64"/>
      <c r="H99" s="69"/>
    </row>
    <row r="100" spans="1:26">
      <c r="A100" s="63" t="s">
        <v>40</v>
      </c>
      <c r="B100" s="64"/>
      <c r="C100" s="64"/>
      <c r="D100" s="64"/>
      <c r="E100" s="64"/>
      <c r="F100" s="64"/>
      <c r="G100" s="64"/>
      <c r="H100" s="69"/>
    </row>
    <row r="101" spans="1:26">
      <c r="A101" s="166" t="s">
        <v>522</v>
      </c>
      <c r="B101" s="64"/>
      <c r="C101" s="64"/>
      <c r="D101" s="64"/>
      <c r="E101" s="64"/>
      <c r="F101" s="64"/>
      <c r="G101" s="64"/>
      <c r="H101" s="69"/>
    </row>
    <row r="102" spans="1:26">
      <c r="A102" s="63"/>
      <c r="B102" s="64"/>
      <c r="C102" s="64"/>
      <c r="D102" s="64"/>
      <c r="E102" s="64"/>
      <c r="F102" s="64"/>
      <c r="G102" s="64"/>
      <c r="H102" s="69"/>
    </row>
    <row r="103" spans="1:26">
      <c r="A103" s="63"/>
      <c r="B103" s="64"/>
      <c r="C103" s="64"/>
      <c r="D103" s="64"/>
      <c r="E103" s="64"/>
      <c r="F103" s="64"/>
      <c r="G103" s="64"/>
      <c r="H103" s="69"/>
    </row>
    <row r="104" spans="1:26">
      <c r="A104" s="569"/>
      <c r="B104" s="570"/>
      <c r="C104" s="73"/>
      <c r="D104" s="73"/>
      <c r="E104" s="73"/>
      <c r="F104" s="73"/>
      <c r="G104" s="73"/>
      <c r="H104" s="89"/>
    </row>
    <row r="105" spans="1:26">
      <c r="A105" s="289" t="s">
        <v>0</v>
      </c>
      <c r="B105" s="284"/>
      <c r="C105" s="284"/>
      <c r="D105" s="284"/>
      <c r="E105" s="284"/>
      <c r="F105" s="284"/>
      <c r="G105" s="284"/>
      <c r="H105" s="285"/>
    </row>
    <row r="106" spans="1:26">
      <c r="A106" s="290" t="s">
        <v>1</v>
      </c>
      <c r="B106" s="286"/>
      <c r="C106" s="286"/>
      <c r="D106" s="286"/>
      <c r="E106" s="286"/>
      <c r="F106" s="286"/>
      <c r="G106" s="286"/>
      <c r="H106" s="287"/>
    </row>
    <row r="107" spans="1:26">
      <c r="A107" s="291" t="s">
        <v>46</v>
      </c>
      <c r="B107" s="310"/>
      <c r="C107" s="310"/>
      <c r="D107" s="310"/>
      <c r="E107" s="310"/>
      <c r="F107" s="310"/>
      <c r="G107" s="310"/>
      <c r="H107" s="311"/>
    </row>
    <row r="108" spans="1:26">
      <c r="A108" s="309"/>
      <c r="B108" s="310"/>
      <c r="C108" s="310"/>
      <c r="D108" s="310"/>
      <c r="E108" s="310"/>
      <c r="F108" s="310"/>
      <c r="G108" s="310"/>
      <c r="H108" s="311"/>
    </row>
    <row r="109" spans="1:26">
      <c r="A109" s="309"/>
      <c r="B109" s="310"/>
      <c r="C109" s="310"/>
      <c r="D109" s="310"/>
      <c r="E109" s="310"/>
      <c r="F109" s="310"/>
      <c r="G109" s="310"/>
      <c r="H109" s="311"/>
    </row>
    <row r="110" spans="1:26">
      <c r="A110" s="309"/>
      <c r="B110" s="310"/>
      <c r="C110" s="310"/>
      <c r="D110" s="310"/>
      <c r="E110" s="310"/>
      <c r="F110" s="310"/>
      <c r="G110" s="310"/>
      <c r="H110" s="311"/>
    </row>
    <row r="111" spans="1:26">
      <c r="A111" s="309"/>
      <c r="B111" s="310"/>
      <c r="C111" s="310"/>
      <c r="D111" s="310"/>
      <c r="E111" s="310"/>
      <c r="F111" s="310"/>
      <c r="G111" s="310"/>
      <c r="H111" s="311"/>
    </row>
    <row r="112" spans="1:26">
      <c r="A112" s="309"/>
      <c r="B112" s="310"/>
      <c r="C112" s="310"/>
      <c r="D112" s="310"/>
      <c r="E112" s="310"/>
      <c r="F112" s="310"/>
      <c r="G112" s="310"/>
      <c r="H112" s="311"/>
    </row>
    <row r="113" spans="1:8">
      <c r="A113" s="309"/>
      <c r="B113" s="310"/>
      <c r="C113" s="310"/>
      <c r="D113" s="310"/>
      <c r="E113" s="310"/>
      <c r="F113" s="310"/>
      <c r="G113" s="310"/>
      <c r="H113" s="311"/>
    </row>
    <row r="114" spans="1:8">
      <c r="A114" s="309"/>
      <c r="B114" s="310"/>
      <c r="C114" s="310"/>
      <c r="D114" s="310"/>
      <c r="E114" s="310"/>
      <c r="F114" s="310"/>
      <c r="G114" s="310"/>
      <c r="H114" s="311"/>
    </row>
    <row r="115" spans="1:8">
      <c r="A115" s="309"/>
      <c r="B115" s="310"/>
      <c r="C115" s="310"/>
      <c r="D115" s="310"/>
      <c r="E115" s="310"/>
      <c r="F115" s="310"/>
      <c r="G115" s="310"/>
      <c r="H115" s="311"/>
    </row>
    <row r="116" spans="1:8">
      <c r="A116" s="309"/>
      <c r="B116" s="310"/>
      <c r="C116" s="310"/>
      <c r="D116" s="310"/>
      <c r="E116" s="310"/>
      <c r="F116" s="310"/>
      <c r="G116" s="310"/>
      <c r="H116" s="311"/>
    </row>
    <row r="117" spans="1:8">
      <c r="A117" s="309"/>
      <c r="B117" s="310"/>
      <c r="C117" s="310"/>
      <c r="D117" s="310"/>
      <c r="E117" s="310"/>
      <c r="F117" s="310"/>
      <c r="G117" s="310"/>
      <c r="H117" s="311"/>
    </row>
    <row r="118" spans="1:8">
      <c r="A118" s="309"/>
      <c r="B118" s="310"/>
      <c r="C118" s="310"/>
      <c r="D118" s="310"/>
      <c r="E118" s="310"/>
      <c r="F118" s="310"/>
      <c r="G118" s="310"/>
      <c r="H118" s="311"/>
    </row>
    <row r="119" spans="1:8">
      <c r="A119" s="309"/>
      <c r="B119" s="310"/>
      <c r="C119" s="310"/>
      <c r="D119" s="310"/>
      <c r="E119" s="310"/>
      <c r="F119" s="310"/>
      <c r="G119" s="310"/>
      <c r="H119" s="311"/>
    </row>
    <row r="120" spans="1:8">
      <c r="A120" s="309"/>
      <c r="B120" s="310"/>
      <c r="C120" s="310"/>
      <c r="D120" s="310"/>
      <c r="E120" s="310"/>
      <c r="F120" s="310"/>
      <c r="G120" s="310"/>
      <c r="H120" s="311"/>
    </row>
    <row r="121" spans="1:8">
      <c r="A121" s="309"/>
      <c r="B121" s="310"/>
      <c r="C121" s="310"/>
      <c r="D121" s="310"/>
      <c r="E121" s="310"/>
      <c r="F121" s="310"/>
      <c r="G121" s="310"/>
      <c r="H121" s="311"/>
    </row>
    <row r="122" spans="1:8">
      <c r="A122" s="309"/>
      <c r="B122" s="310"/>
      <c r="C122" s="310"/>
      <c r="D122" s="310"/>
      <c r="E122" s="310"/>
      <c r="F122" s="310"/>
      <c r="G122" s="310"/>
      <c r="H122" s="311"/>
    </row>
    <row r="123" spans="1:8">
      <c r="A123" s="309"/>
      <c r="B123" s="310"/>
      <c r="C123" s="310"/>
      <c r="D123" s="310"/>
      <c r="E123" s="310"/>
      <c r="F123" s="310"/>
      <c r="G123" s="310"/>
      <c r="H123" s="311"/>
    </row>
    <row r="124" spans="1:8">
      <c r="A124" s="309"/>
      <c r="B124" s="310"/>
      <c r="C124" s="310"/>
      <c r="D124" s="310"/>
      <c r="E124" s="310"/>
      <c r="F124" s="310"/>
      <c r="G124" s="310"/>
      <c r="H124" s="311"/>
    </row>
    <row r="125" spans="1:8">
      <c r="A125" s="309"/>
      <c r="B125" s="310"/>
      <c r="C125" s="310"/>
      <c r="D125" s="310"/>
      <c r="E125" s="310"/>
      <c r="F125" s="310"/>
      <c r="G125" s="310"/>
      <c r="H125" s="311"/>
    </row>
    <row r="126" spans="1:8">
      <c r="A126" s="309"/>
      <c r="B126" s="310"/>
      <c r="C126" s="310"/>
      <c r="D126" s="310"/>
      <c r="E126" s="310"/>
      <c r="F126" s="310"/>
      <c r="G126" s="310"/>
      <c r="H126" s="311"/>
    </row>
    <row r="127" spans="1:8">
      <c r="A127" s="309"/>
      <c r="B127" s="310"/>
      <c r="C127" s="310"/>
      <c r="D127" s="310"/>
      <c r="E127" s="310"/>
      <c r="F127" s="310"/>
      <c r="G127" s="310"/>
      <c r="H127" s="311"/>
    </row>
    <row r="128" spans="1:8">
      <c r="A128" s="309"/>
      <c r="B128" s="310"/>
      <c r="C128" s="310"/>
      <c r="D128" s="310"/>
      <c r="E128" s="310"/>
      <c r="F128" s="310"/>
      <c r="G128" s="310"/>
      <c r="H128" s="311"/>
    </row>
    <row r="129" spans="1:8">
      <c r="A129" s="309"/>
      <c r="B129" s="310"/>
      <c r="C129" s="310"/>
      <c r="D129" s="310"/>
      <c r="E129" s="310"/>
      <c r="F129" s="310"/>
      <c r="G129" s="310"/>
      <c r="H129" s="311"/>
    </row>
    <row r="130" spans="1:8">
      <c r="A130" s="309"/>
      <c r="B130" s="310"/>
      <c r="C130" s="310"/>
      <c r="D130" s="310"/>
      <c r="E130" s="310"/>
      <c r="F130" s="310"/>
      <c r="G130" s="310"/>
      <c r="H130" s="311"/>
    </row>
    <row r="131" spans="1:8">
      <c r="A131" s="309"/>
      <c r="B131" s="310"/>
      <c r="C131" s="310"/>
      <c r="D131" s="310"/>
      <c r="E131" s="310"/>
      <c r="F131" s="310"/>
      <c r="G131" s="310"/>
      <c r="H131" s="311"/>
    </row>
    <row r="132" spans="1:8">
      <c r="A132" s="309"/>
      <c r="B132" s="310"/>
      <c r="C132" s="310"/>
      <c r="D132" s="310"/>
      <c r="E132" s="310"/>
      <c r="F132" s="310"/>
      <c r="G132" s="310"/>
      <c r="H132" s="311"/>
    </row>
    <row r="133" spans="1:8">
      <c r="A133" s="309"/>
      <c r="B133" s="310"/>
      <c r="C133" s="310"/>
      <c r="D133" s="310"/>
      <c r="E133" s="310"/>
      <c r="F133" s="310"/>
      <c r="G133" s="310"/>
      <c r="H133" s="311"/>
    </row>
    <row r="134" spans="1:8">
      <c r="A134" s="309"/>
      <c r="B134" s="310"/>
      <c r="C134" s="310"/>
      <c r="D134" s="310"/>
      <c r="E134" s="310"/>
      <c r="F134" s="310"/>
      <c r="G134" s="310"/>
      <c r="H134" s="311"/>
    </row>
    <row r="135" spans="1:8">
      <c r="A135" s="309"/>
      <c r="B135" s="310"/>
      <c r="C135" s="310"/>
      <c r="D135" s="310"/>
      <c r="E135" s="310"/>
      <c r="F135" s="310"/>
      <c r="G135" s="310"/>
      <c r="H135" s="311"/>
    </row>
    <row r="136" spans="1:8">
      <c r="A136" s="309"/>
      <c r="B136" s="310"/>
      <c r="C136" s="310"/>
      <c r="D136" s="310"/>
      <c r="E136" s="310"/>
      <c r="F136" s="310"/>
      <c r="G136" s="310"/>
      <c r="H136" s="311"/>
    </row>
    <row r="137" spans="1:8">
      <c r="A137" s="309"/>
      <c r="B137" s="310"/>
      <c r="C137" s="310"/>
      <c r="D137" s="310"/>
      <c r="E137" s="310"/>
      <c r="F137" s="310"/>
      <c r="G137" s="310"/>
      <c r="H137" s="311"/>
    </row>
    <row r="138" spans="1:8">
      <c r="A138" s="309"/>
      <c r="B138" s="310"/>
      <c r="C138" s="310"/>
      <c r="D138" s="310"/>
      <c r="E138" s="310"/>
      <c r="F138" s="310"/>
      <c r="G138" s="310"/>
      <c r="H138" s="311"/>
    </row>
    <row r="139" spans="1:8">
      <c r="A139" s="309"/>
      <c r="B139" s="310"/>
      <c r="C139" s="310"/>
      <c r="D139" s="310"/>
      <c r="E139" s="310"/>
      <c r="F139" s="310"/>
      <c r="G139" s="310"/>
      <c r="H139" s="311"/>
    </row>
    <row r="140" spans="1:8">
      <c r="A140" s="309"/>
      <c r="B140" s="310"/>
      <c r="C140" s="310"/>
      <c r="D140" s="310"/>
      <c r="E140" s="310"/>
      <c r="F140" s="310"/>
      <c r="G140" s="310"/>
      <c r="H140" s="311"/>
    </row>
    <row r="141" spans="1:8">
      <c r="A141" s="309"/>
      <c r="B141" s="310"/>
      <c r="C141" s="310"/>
      <c r="D141" s="310"/>
      <c r="E141" s="310"/>
      <c r="F141" s="310"/>
      <c r="G141" s="310"/>
      <c r="H141" s="311"/>
    </row>
    <row r="142" spans="1:8">
      <c r="A142" s="309"/>
      <c r="B142" s="312"/>
      <c r="C142" s="312"/>
      <c r="D142" s="312"/>
      <c r="E142" s="312"/>
      <c r="F142" s="312"/>
      <c r="G142" s="312"/>
      <c r="H142" s="313"/>
    </row>
    <row r="143" spans="1:8">
      <c r="A143" s="309"/>
      <c r="B143" s="310"/>
      <c r="C143" s="310"/>
      <c r="D143" s="310"/>
      <c r="E143" s="310"/>
      <c r="F143" s="310"/>
      <c r="G143" s="310"/>
      <c r="H143" s="311"/>
    </row>
    <row r="144" spans="1:8">
      <c r="A144" s="314"/>
      <c r="B144" s="315"/>
      <c r="C144" s="315"/>
      <c r="D144" s="315"/>
      <c r="E144" s="315"/>
      <c r="F144" s="315"/>
      <c r="G144" s="315"/>
      <c r="H144" s="316"/>
    </row>
    <row r="145" spans="1:8">
      <c r="A145" s="309"/>
      <c r="B145" s="310"/>
      <c r="C145" s="310"/>
      <c r="D145" s="310"/>
      <c r="E145" s="310"/>
      <c r="F145" s="310"/>
      <c r="G145" s="310"/>
      <c r="H145" s="288"/>
    </row>
    <row r="146" spans="1:8">
      <c r="A146" s="309"/>
      <c r="B146" s="310"/>
      <c r="C146" s="310"/>
      <c r="D146" s="310"/>
      <c r="E146" s="310"/>
      <c r="F146" s="310"/>
      <c r="G146" s="317"/>
      <c r="H146" s="318"/>
    </row>
    <row r="147" spans="1:8">
      <c r="A147" s="309"/>
      <c r="B147" s="310"/>
      <c r="C147" s="310"/>
      <c r="D147" s="310"/>
      <c r="E147" s="310"/>
      <c r="F147" s="310"/>
      <c r="G147" s="317"/>
      <c r="H147" s="319"/>
    </row>
    <row r="148" spans="1:8">
      <c r="A148" s="309"/>
      <c r="B148" s="310"/>
      <c r="C148" s="310"/>
      <c r="D148" s="310"/>
      <c r="E148" s="310"/>
      <c r="F148" s="310"/>
      <c r="G148" s="310"/>
      <c r="H148" s="311"/>
    </row>
    <row r="149" spans="1:8">
      <c r="A149" s="309"/>
      <c r="B149" s="310"/>
      <c r="C149" s="310"/>
      <c r="D149" s="310"/>
      <c r="E149" s="310"/>
      <c r="F149" s="310"/>
      <c r="G149" s="310"/>
      <c r="H149" s="311"/>
    </row>
    <row r="150" spans="1:8">
      <c r="A150" s="309"/>
      <c r="B150" s="310"/>
      <c r="C150" s="310"/>
      <c r="D150" s="310"/>
      <c r="E150" s="310"/>
      <c r="F150" s="310"/>
      <c r="G150" s="310"/>
      <c r="H150" s="311"/>
    </row>
    <row r="151" spans="1:8">
      <c r="A151" s="309"/>
      <c r="B151" s="310"/>
      <c r="C151" s="310"/>
      <c r="D151" s="310"/>
      <c r="E151" s="310"/>
      <c r="F151" s="310"/>
      <c r="G151" s="310"/>
      <c r="H151" s="311"/>
    </row>
    <row r="152" spans="1:8">
      <c r="A152" s="309"/>
      <c r="B152" s="310"/>
      <c r="C152" s="310"/>
      <c r="D152" s="310"/>
      <c r="E152" s="310"/>
      <c r="F152" s="310"/>
      <c r="G152" s="310"/>
      <c r="H152" s="311"/>
    </row>
    <row r="153" spans="1:8">
      <c r="A153" s="309"/>
      <c r="B153" s="310"/>
      <c r="C153" s="310"/>
      <c r="D153" s="310"/>
      <c r="E153" s="310"/>
      <c r="F153" s="310"/>
      <c r="G153" s="310"/>
      <c r="H153" s="311"/>
    </row>
    <row r="154" spans="1:8">
      <c r="A154" s="309"/>
      <c r="B154" s="310"/>
      <c r="C154" s="310"/>
      <c r="D154" s="310"/>
      <c r="E154" s="310"/>
      <c r="F154" s="310"/>
      <c r="G154" s="310"/>
      <c r="H154" s="311"/>
    </row>
    <row r="155" spans="1:8">
      <c r="A155" s="309"/>
      <c r="B155" s="310"/>
      <c r="C155" s="310"/>
      <c r="D155" s="310"/>
      <c r="E155" s="310"/>
      <c r="F155" s="310"/>
      <c r="G155" s="310"/>
      <c r="H155" s="311"/>
    </row>
    <row r="156" spans="1:8">
      <c r="A156" s="320"/>
      <c r="B156" s="321"/>
      <c r="C156" s="321"/>
      <c r="D156" s="321"/>
      <c r="E156" s="321"/>
      <c r="F156" s="321"/>
      <c r="G156" s="321"/>
      <c r="H156" s="322"/>
    </row>
  </sheetData>
  <sheetProtection sheet="1" objects="1" scenarios="1"/>
  <mergeCells count="1">
    <mergeCell ref="AA1:AB1"/>
  </mergeCells>
  <phoneticPr fontId="42" type="noConversion"/>
  <dataValidations count="6">
    <dataValidation type="list" allowBlank="1" showInputMessage="1" showErrorMessage="1" errorTitle="Warning!" error="Invalid roof type (must input either G or M)" sqref="B16">
      <formula1>$J$10:$J$11</formula1>
    </dataValidation>
    <dataValidation type="list" allowBlank="1" showInputMessage="1" showErrorMessage="1" errorTitle="Warning!" error="Invalid reply (must input either Y or N)" sqref="B19">
      <formula1>$J$12:$J$13</formula1>
    </dataValidation>
    <dataValidation type="list" allowBlank="1" showInputMessage="1" showErrorMessage="1" prompt="Is location in a hurricane prone or non-hurricane prone region?" sqref="B20">
      <formula1>$J$12:$J$13</formula1>
    </dataValidation>
    <dataValidation type="decimal" operator="greaterThanOrEqual" allowBlank="1" showInputMessage="1" showErrorMessage="1" errorTitle="Warning!" error="Minimum design wind speed = 100 mph" sqref="B9">
      <formula1>100</formula1>
    </dataValidation>
    <dataValidation type="list" allowBlank="1" showInputMessage="1" showErrorMessage="1" errorTitle="Warning!" error="Invalid building category_x000a_Must input either I, II, III, or IV" sqref="B10">
      <formula1>$J$3:$J$6</formula1>
    </dataValidation>
    <dataValidation type="list" allowBlank="1" showInputMessage="1" showErrorMessage="1" errorTitle="Warning!" error="Invalid exposure category_x000a_Must input either B, C, or D" sqref="B11">
      <formula1>$J$7:$J$9</formula1>
    </dataValidation>
  </dataValidations>
  <pageMargins left="1" right="0.5" top="1" bottom="1" header="0.5" footer="0.5"/>
  <pageSetup scale="90" orientation="portrait" horizontalDpi="4294967292" r:id="rId1"/>
  <headerFooter alignWithMargins="0">
    <oddHeader>&amp;R"ASCE710W.xls" Program
Version 2.2</oddHeader>
    <oddFooter>&amp;C&amp;P of 3&amp;R&amp;D  &amp;T</oddFooter>
  </headerFooter>
  <rowBreaks count="2" manualBreakCount="2">
    <brk id="52" max="7" man="1"/>
    <brk id="104" max="7"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08"/>
  <sheetViews>
    <sheetView showGridLines="0" zoomScaleNormal="100" workbookViewId="0">
      <selection activeCell="A160" sqref="A160"/>
    </sheetView>
  </sheetViews>
  <sheetFormatPr defaultColWidth="9.109375" defaultRowHeight="13.2"/>
  <cols>
    <col min="1" max="1" width="19" style="85" customWidth="1"/>
    <col min="2" max="2" width="11.6640625" style="85" customWidth="1"/>
    <col min="3" max="3" width="11.109375" style="85" customWidth="1"/>
    <col min="4" max="4" width="13.33203125" style="85" customWidth="1"/>
    <col min="5" max="6" width="12" style="85" customWidth="1"/>
    <col min="7" max="7" width="12.109375" style="85" customWidth="1"/>
    <col min="8" max="10" width="9.109375" hidden="1" customWidth="1"/>
    <col min="11" max="11" width="20" hidden="1" customWidth="1"/>
    <col min="12" max="12" width="9.109375" hidden="1" customWidth="1"/>
    <col min="13" max="13" width="10.6640625" hidden="1" customWidth="1"/>
    <col min="14" max="14" width="13.33203125" hidden="1" customWidth="1"/>
    <col min="15" max="16" width="9.109375" style="1" hidden="1" customWidth="1"/>
    <col min="17" max="17" width="8.44140625" style="1" hidden="1" customWidth="1"/>
    <col min="18" max="19" width="9.109375" style="1" hidden="1" customWidth="1"/>
    <col min="20" max="25" width="9.109375" style="23" hidden="1" customWidth="1"/>
    <col min="26" max="26" width="9.109375" style="25" hidden="1" customWidth="1"/>
    <col min="27" max="28" width="11.6640625" style="1" customWidth="1"/>
    <col min="29" max="29" width="9.6640625" style="1" customWidth="1"/>
    <col min="30" max="16384" width="9.109375" style="1"/>
  </cols>
  <sheetData>
    <row r="1" spans="1:28" ht="15.6">
      <c r="A1" s="42" t="s">
        <v>441</v>
      </c>
      <c r="B1" s="43"/>
      <c r="C1" s="43"/>
      <c r="D1" s="43"/>
      <c r="E1" s="43"/>
      <c r="F1" s="43"/>
      <c r="G1" s="58"/>
      <c r="I1" s="599"/>
      <c r="J1" s="600"/>
      <c r="K1" s="601" t="s">
        <v>243</v>
      </c>
      <c r="L1" s="600"/>
      <c r="M1" s="600"/>
      <c r="N1" s="600"/>
      <c r="O1" s="600"/>
      <c r="P1" s="600"/>
      <c r="Q1" s="599"/>
      <c r="R1" s="600"/>
      <c r="AA1" s="649" t="str">
        <f>Doc!K1</f>
        <v>Version 2.4 Updated 10/20/15</v>
      </c>
      <c r="AB1" s="650"/>
    </row>
    <row r="2" spans="1:28">
      <c r="A2" s="44" t="s">
        <v>532</v>
      </c>
      <c r="B2" s="45"/>
      <c r="C2" s="46"/>
      <c r="D2" s="46"/>
      <c r="E2" s="46"/>
      <c r="F2" s="46"/>
      <c r="G2" s="60"/>
      <c r="I2" s="599"/>
      <c r="J2" s="600"/>
      <c r="K2" s="600"/>
      <c r="L2" s="600"/>
      <c r="M2" s="600"/>
      <c r="N2" s="600"/>
      <c r="O2" s="600"/>
      <c r="P2" s="600"/>
      <c r="Q2" s="599"/>
      <c r="R2" s="600"/>
    </row>
    <row r="3" spans="1:28">
      <c r="A3" s="61" t="s">
        <v>557</v>
      </c>
      <c r="B3" s="125"/>
      <c r="C3" s="48"/>
      <c r="D3" s="48"/>
      <c r="E3" s="48"/>
      <c r="F3" s="48"/>
      <c r="G3" s="62"/>
      <c r="I3" s="602" t="s">
        <v>435</v>
      </c>
      <c r="J3" s="600"/>
      <c r="K3" s="600" t="s">
        <v>392</v>
      </c>
      <c r="L3" s="600"/>
      <c r="M3" s="600"/>
      <c r="N3" s="600"/>
      <c r="O3" s="603" t="s">
        <v>585</v>
      </c>
      <c r="P3" s="604">
        <f>IF($B$17="Gable",DEGREES(ATAN(($B$13-$B$14)/($B$15/2))),DEGREES(ATAN(($B$13-$B$14)/($B$15))))</f>
        <v>45</v>
      </c>
      <c r="Q3" s="599"/>
      <c r="R3" s="600"/>
    </row>
    <row r="4" spans="1:28">
      <c r="A4" s="192" t="s">
        <v>156</v>
      </c>
      <c r="B4" s="181"/>
      <c r="C4" s="195"/>
      <c r="D4" s="194" t="s">
        <v>448</v>
      </c>
      <c r="E4" s="196"/>
      <c r="F4" s="197"/>
      <c r="G4" s="198"/>
      <c r="I4" s="602" t="s">
        <v>436</v>
      </c>
      <c r="J4" s="600"/>
      <c r="K4" s="600" t="s">
        <v>197</v>
      </c>
      <c r="L4" s="600"/>
      <c r="M4" s="600"/>
      <c r="N4" s="600"/>
      <c r="O4" s="603" t="s">
        <v>222</v>
      </c>
      <c r="P4" s="604">
        <f>IF($B$28&lt;=10,$B$14,$B$14+($B$13-$B$14)/2)</f>
        <v>32.5</v>
      </c>
      <c r="Q4" s="599"/>
      <c r="R4" s="600"/>
    </row>
    <row r="5" spans="1:28">
      <c r="A5" s="66" t="s">
        <v>157</v>
      </c>
      <c r="B5" s="200"/>
      <c r="C5" s="187"/>
      <c r="D5" s="193" t="s">
        <v>447</v>
      </c>
      <c r="E5" s="199"/>
      <c r="F5" s="194" t="s">
        <v>446</v>
      </c>
      <c r="G5" s="261"/>
      <c r="I5" s="605" t="s">
        <v>433</v>
      </c>
      <c r="J5" s="600"/>
      <c r="K5" s="603" t="s">
        <v>390</v>
      </c>
      <c r="L5" s="606">
        <f>IF($B$9="Normal",$B$15,$B$16)</f>
        <v>30</v>
      </c>
      <c r="M5" s="607" t="s">
        <v>200</v>
      </c>
      <c r="N5" s="600"/>
      <c r="O5" s="603" t="s">
        <v>260</v>
      </c>
      <c r="P5" s="608">
        <f>$L$5/$L$6</f>
        <v>0.75</v>
      </c>
      <c r="Q5" s="599"/>
      <c r="R5" s="600"/>
    </row>
    <row r="6" spans="1:28">
      <c r="A6" s="63"/>
      <c r="B6" s="96"/>
      <c r="C6" s="96"/>
      <c r="D6" s="96"/>
      <c r="E6" s="253"/>
      <c r="F6" s="57"/>
      <c r="G6" s="254"/>
      <c r="I6" s="605" t="s">
        <v>424</v>
      </c>
      <c r="J6" s="600"/>
      <c r="K6" s="603" t="s">
        <v>391</v>
      </c>
      <c r="L6" s="606">
        <f>IF($B$9="Normal",$B$16,$B$15)</f>
        <v>40</v>
      </c>
      <c r="M6" s="607" t="s">
        <v>200</v>
      </c>
      <c r="N6" s="600"/>
      <c r="O6" s="603" t="s">
        <v>261</v>
      </c>
      <c r="P6" s="608">
        <f>$P$4/$L$5</f>
        <v>1.0833333333333333</v>
      </c>
      <c r="Q6" s="599"/>
      <c r="R6" s="600"/>
    </row>
    <row r="7" spans="1:28">
      <c r="A7" s="65" t="s">
        <v>217</v>
      </c>
      <c r="B7" s="96"/>
      <c r="C7" s="96"/>
      <c r="D7" s="96"/>
      <c r="E7" s="335"/>
      <c r="F7" s="50"/>
      <c r="G7" s="260"/>
      <c r="I7" s="605" t="s">
        <v>425</v>
      </c>
      <c r="J7" s="600"/>
      <c r="K7" s="600"/>
      <c r="L7" s="600"/>
      <c r="M7" s="600"/>
      <c r="N7" s="600"/>
      <c r="O7" s="600"/>
      <c r="P7" s="600"/>
      <c r="Q7" s="599"/>
      <c r="R7" s="600"/>
    </row>
    <row r="8" spans="1:28">
      <c r="A8" s="65"/>
      <c r="B8" s="96"/>
      <c r="C8" s="201"/>
      <c r="D8" s="96"/>
      <c r="E8" s="64"/>
      <c r="F8" s="64"/>
      <c r="G8" s="69"/>
      <c r="I8" s="605" t="s">
        <v>426</v>
      </c>
      <c r="J8" s="600"/>
      <c r="K8" s="600" t="s">
        <v>649</v>
      </c>
      <c r="L8" s="600"/>
      <c r="M8" s="600"/>
      <c r="N8" s="600"/>
      <c r="O8" s="600"/>
      <c r="P8" s="600"/>
      <c r="Q8" s="599"/>
      <c r="R8" s="600"/>
    </row>
    <row r="9" spans="1:28">
      <c r="A9" s="68" t="s">
        <v>19</v>
      </c>
      <c r="B9" s="215" t="s">
        <v>435</v>
      </c>
      <c r="C9" s="64" t="s">
        <v>363</v>
      </c>
      <c r="D9" s="64"/>
      <c r="E9" s="64"/>
      <c r="F9" s="64"/>
      <c r="G9" s="69"/>
      <c r="I9" s="602" t="s">
        <v>389</v>
      </c>
      <c r="J9" s="600"/>
      <c r="K9" s="603" t="s">
        <v>168</v>
      </c>
      <c r="L9" s="604">
        <v>0.8</v>
      </c>
      <c r="M9" s="607"/>
      <c r="N9" s="603" t="s">
        <v>196</v>
      </c>
      <c r="O9" s="609">
        <f>$L$6*IF($B$29/2&lt;=$L$5,$B$29/2,$L$5)</f>
        <v>650</v>
      </c>
      <c r="P9" s="607" t="s">
        <v>258</v>
      </c>
      <c r="Q9" s="599"/>
      <c r="R9" s="600"/>
    </row>
    <row r="10" spans="1:28">
      <c r="A10" s="68" t="s">
        <v>218</v>
      </c>
      <c r="B10" s="216">
        <v>130</v>
      </c>
      <c r="C10" s="310" t="s">
        <v>555</v>
      </c>
      <c r="D10" s="64"/>
      <c r="E10" s="64"/>
      <c r="F10" s="64"/>
      <c r="G10" s="269"/>
      <c r="I10" s="602" t="s">
        <v>224</v>
      </c>
      <c r="J10" s="600"/>
      <c r="K10" s="603" t="s">
        <v>169</v>
      </c>
      <c r="L10" s="604">
        <f>IF($L$5/$L$6&gt;=4,-0.2,IF($L$5/$L$6&gt;=2,(-0.2-(-0.3))*($L$5/$L$6-2)/(4-2 )+(-0.3),IF($L$5/$L$6&gt;=1,(-0.3-(-0.5))*($L$5/$L$6-1)/(2-1 )+(-0.5),-0.5)))</f>
        <v>-0.5</v>
      </c>
      <c r="M10" s="607"/>
      <c r="N10" s="603" t="s">
        <v>195</v>
      </c>
      <c r="O10" s="604">
        <f>IF($O$9&gt;=1000,0.8,IF($O$9&gt;=250,(0.8-0.9)*($O$9-250)/(1000-250)+0.9,IF($O$9&gt;100,(0.9-1)*($O$9-100)/(250-100)+1,1)))</f>
        <v>0.84666666666666668</v>
      </c>
      <c r="P10" s="607" t="s">
        <v>258</v>
      </c>
      <c r="Q10" s="599"/>
      <c r="R10" s="600"/>
    </row>
    <row r="11" spans="1:28">
      <c r="A11" s="68" t="s">
        <v>458</v>
      </c>
      <c r="B11" s="268" t="s">
        <v>424</v>
      </c>
      <c r="C11" s="64" t="s">
        <v>558</v>
      </c>
      <c r="D11" s="64"/>
      <c r="E11" s="64"/>
      <c r="F11" s="64"/>
      <c r="G11" s="270"/>
      <c r="I11" s="602" t="s">
        <v>427</v>
      </c>
      <c r="J11" s="600"/>
      <c r="K11" s="603" t="s">
        <v>170</v>
      </c>
      <c r="L11" s="604">
        <v>-0.7</v>
      </c>
      <c r="M11" s="607"/>
      <c r="N11" s="600"/>
      <c r="O11" s="600"/>
      <c r="P11" s="600"/>
      <c r="Q11" s="599"/>
      <c r="R11" s="600"/>
    </row>
    <row r="12" spans="1:28">
      <c r="A12" s="68" t="s">
        <v>460</v>
      </c>
      <c r="B12" s="216" t="s">
        <v>389</v>
      </c>
      <c r="C12" s="129" t="s">
        <v>482</v>
      </c>
      <c r="D12" s="64"/>
      <c r="E12" s="64"/>
      <c r="F12" s="64"/>
      <c r="G12" s="69"/>
      <c r="I12" s="602" t="s">
        <v>463</v>
      </c>
      <c r="J12" s="600"/>
      <c r="K12" s="600"/>
      <c r="L12" s="600"/>
      <c r="M12" s="600"/>
      <c r="N12" s="600"/>
      <c r="O12" s="600"/>
      <c r="P12" s="600"/>
      <c r="Q12" s="599"/>
      <c r="R12" s="600"/>
    </row>
    <row r="13" spans="1:28">
      <c r="A13" s="68" t="s">
        <v>219</v>
      </c>
      <c r="B13" s="217">
        <v>40</v>
      </c>
      <c r="C13" s="304" t="s">
        <v>49</v>
      </c>
      <c r="D13" s="64"/>
      <c r="E13" s="64"/>
      <c r="F13" s="64"/>
      <c r="G13" s="69"/>
      <c r="I13" s="602" t="s">
        <v>462</v>
      </c>
      <c r="J13" s="600"/>
      <c r="K13" s="600" t="s">
        <v>584</v>
      </c>
      <c r="L13" s="600"/>
      <c r="M13" s="607"/>
      <c r="N13" s="600"/>
      <c r="O13" s="600"/>
      <c r="P13" s="600"/>
      <c r="Q13" s="599"/>
      <c r="R13" s="600"/>
    </row>
    <row r="14" spans="1:28">
      <c r="A14" s="68" t="s">
        <v>220</v>
      </c>
      <c r="B14" s="217">
        <v>25</v>
      </c>
      <c r="C14" s="304" t="s">
        <v>50</v>
      </c>
      <c r="D14" s="70" t="str">
        <f>IF($B$14&gt;$B$13,"    hr MUST BE &gt;= he !","")</f>
        <v/>
      </c>
      <c r="E14" s="64"/>
      <c r="F14" s="64"/>
      <c r="G14" s="69"/>
      <c r="I14" s="602" t="s">
        <v>393</v>
      </c>
      <c r="J14" s="600"/>
      <c r="K14" s="600" t="s">
        <v>244</v>
      </c>
      <c r="L14" s="600"/>
      <c r="M14" s="600"/>
      <c r="N14" s="600" t="s">
        <v>245</v>
      </c>
      <c r="O14" s="600"/>
      <c r="P14" s="600"/>
      <c r="Q14" s="599"/>
      <c r="R14" s="600"/>
    </row>
    <row r="15" spans="1:28">
      <c r="A15" s="68" t="s">
        <v>387</v>
      </c>
      <c r="B15" s="217">
        <v>30</v>
      </c>
      <c r="C15" s="304" t="s">
        <v>51</v>
      </c>
      <c r="D15" s="64"/>
      <c r="E15" s="272"/>
      <c r="F15" s="64"/>
      <c r="G15" s="69"/>
      <c r="I15" s="602" t="s">
        <v>176</v>
      </c>
      <c r="J15" s="600"/>
      <c r="K15" s="600" t="s">
        <v>586</v>
      </c>
      <c r="L15" s="600"/>
      <c r="M15" s="610"/>
      <c r="N15" s="600" t="s">
        <v>586</v>
      </c>
      <c r="O15" s="600"/>
      <c r="P15" s="600"/>
      <c r="Q15" s="599"/>
      <c r="R15" s="600"/>
    </row>
    <row r="16" spans="1:28">
      <c r="A16" s="68" t="s">
        <v>388</v>
      </c>
      <c r="B16" s="217">
        <v>40</v>
      </c>
      <c r="C16" s="304" t="s">
        <v>52</v>
      </c>
      <c r="D16" s="64"/>
      <c r="E16" s="337"/>
      <c r="F16" s="338"/>
      <c r="G16" s="69"/>
      <c r="I16" s="599"/>
      <c r="J16" s="610"/>
      <c r="K16" s="603" t="s">
        <v>177</v>
      </c>
      <c r="L16" s="610">
        <f>IF($B$28=45,0,IF($B$28&gt;=35,0,IF($B$28&gt;=30,(0-(-0.2))*($B$28-30)/(35-30)+(-0.2),IF($B$28&gt;=25,-0.2,IF($B$28&gt;=20,(-0.2-(-0.3))*($B$28-20)/(25-20)+(-0.3),IF($B$28&gt;=15,(-0.3-(-0.5))*($B$28-15)/(20-15)+(-0.5),IF($B$28&gt;=10,(-0.5-(-0.7))*($B$28-10)/(15-10)+(-0.7),"N.A.")))))))</f>
        <v>0</v>
      </c>
      <c r="M16" s="610">
        <f>IF($B$28=45,0.4,IF($B$28&gt;=35,(0.4-0.4)*($B$28-35)/(45-35)+0.4,IF($B$28&gt;=30,(0.4-0.3)*($B$28-30)/(35-30)+0.3,IF($B$28&gt;=25,0.3,IF($B$28&gt;=20,(0.3-0.2)*($B$28-20)/(25-20)+0.2,IF($B$28&gt;=15,(0.2-0)*($B$28-15)/(20-15)+0,IF($B$28&gt;=10,(0-(-0.18))*($B$28-10)/(15-10)+(-0.18),"N.A.")))))))</f>
        <v>0.4</v>
      </c>
      <c r="N16" s="600"/>
      <c r="O16" s="603" t="s">
        <v>177</v>
      </c>
      <c r="P16" s="610">
        <f>IF($B$28&gt;=20,-0.6,IF($B$28&gt;=15,(-0.6-(-0.5))*($B$28-15)/(20-15)+(-0.5),IF($B$28&gt;=10,(-0.5-(-0.3))*($B$28-10)/(15-10)+(-0.3),"N.A.")))</f>
        <v>-0.6</v>
      </c>
      <c r="Q16" s="599"/>
      <c r="R16" s="600"/>
    </row>
    <row r="17" spans="1:18">
      <c r="A17" s="68" t="s">
        <v>461</v>
      </c>
      <c r="B17" s="216" t="s">
        <v>463</v>
      </c>
      <c r="C17" s="64" t="s">
        <v>323</v>
      </c>
      <c r="D17" s="64"/>
      <c r="E17" s="64"/>
      <c r="F17" s="64"/>
      <c r="G17" s="69"/>
      <c r="I17" s="599"/>
      <c r="J17" s="610"/>
      <c r="K17" s="603" t="s">
        <v>178</v>
      </c>
      <c r="L17" s="610">
        <f>IF($B$28=45,0,IF($B$28&gt;=35,(0-(-0.2))*($B$28-35)/(45-35)+(-0.2),IF($B$28&gt;=30,-0.2,IF($B$28&gt;=25,(-0.2-(-0.3))*($B$28-25)/(30-25)+(-0.3),IF($B$28&gt;=20,(-0.3-(-0.4))*($B$28-20)/(25-20)+(-0.4),IF($B$28&gt;=15,(-0.4-(-0.7))*($B$28-15)/(20-15)+(-0.7),IF($B$28&gt;=10,(-0.7-(-0.9))*($B$28-10)/(15-10)+(-0.9),"N.A.")))))))</f>
        <v>0</v>
      </c>
      <c r="M17" s="610">
        <f>IF($B$28=45,0.4,IF($B$28&gt;=35,(0.4-0.3)*($B$28-35)/(45-35)+0.3,IF($B$28&gt;=30,(0.3-0.2)*($B$28-30)/(35-30)+0.2,IF($B$28&gt;=25,0.2,IF($B$28&gt;=20,(0.2-0)*($B$28-20)/(25-20)+0,IF($B$28&gt;=15,(0-(-0.18))*($B$28-15)/(20-15)+(-0.18),IF($B$28&gt;=10,(-0.18-(-0.18))*($B$28-10)/(15-10)+(-0.18),"N.A.")))))))</f>
        <v>0.4</v>
      </c>
      <c r="N17" s="600"/>
      <c r="O17" s="603" t="s">
        <v>178</v>
      </c>
      <c r="P17" s="610">
        <f>IF($B$28&gt;=20,-0.6,IF($B$28&gt;=15,(-0.6-(-0.5))*($B$28-15)/(20-15)+(-0.5),IF($B$28&gt;=10,-0.5,"N.A.")))</f>
        <v>-0.6</v>
      </c>
      <c r="Q17" s="599"/>
      <c r="R17" s="600"/>
    </row>
    <row r="18" spans="1:18">
      <c r="A18" s="68" t="s">
        <v>221</v>
      </c>
      <c r="B18" s="217">
        <v>1</v>
      </c>
      <c r="C18" s="71" t="s">
        <v>560</v>
      </c>
      <c r="D18" s="64"/>
      <c r="E18" s="64"/>
      <c r="F18" s="64"/>
      <c r="G18" s="69"/>
      <c r="I18" s="599"/>
      <c r="J18" s="610"/>
      <c r="K18" s="603" t="s">
        <v>179</v>
      </c>
      <c r="L18" s="610">
        <f>IF($B$28=45,0,IF($B$28&gt;=35,(0-(-0.2))*($B$28-35)/(45-35)+(-0.2),IF($B$28&gt;=30,(-0.2-(-0.3))*($B$28-30)/(35-30)+(-0.3),IF($B$28&gt;=25,(-0.3-(-0.5))*($B$28-25)/(30-25)+(-0.5),IF($B$28&gt;=20,(-0.5-(-0.7))*($B$28-20)/(25-20)+(-0.7),IF($B$28&gt;=15,(-0.7-(-1))*($B$28-15)/(20-15)+(-1),IF($B$28&gt;=10,(-1-(-1.3*$O$10))*($B$28-10)/(15-10)+(-1.3*$O$10),"N.A.")))))))</f>
        <v>0</v>
      </c>
      <c r="M18" s="610">
        <f>IF($B$28=45,0,IF($B$28&gt;=35,(0.3-(0.2))*($B$28-35)/(45-35)+(0.2),IF($B$28&gt;=30,(0.2-(0.2))*($B$28-30)/(35-30)+(0.2),IF($B$28&gt;=25,(0.2-(0))*($B$28-25)/(30-25)+(0),IF($B$28&gt;=20,(0-(-0.18))*($B$28-20)/(25-20)+(-0.18),IF($B$28&gt;=15,(-0.18-(-0.18))*($B$28-15)/(20-15)+(-0.18),IF($B$28&gt;=10,(-0.18-(-0.18))*($B$28-10)/(15-10)+(-0.18),"N.A.")))))))</f>
        <v>0</v>
      </c>
      <c r="N18" s="600"/>
      <c r="O18" s="603" t="s">
        <v>179</v>
      </c>
      <c r="P18" s="610">
        <f>IF($B$28&gt;=20,-0.6,IF($B$28&gt;=15,-0.6,IF($B$28&gt;=10,(-0.6-(-0.7))*($B$28-10)/(15-10)+(-0.7),"N.A.")))</f>
        <v>-0.6</v>
      </c>
      <c r="Q18" s="599"/>
      <c r="R18" s="600"/>
    </row>
    <row r="19" spans="1:18">
      <c r="A19" s="68" t="s">
        <v>369</v>
      </c>
      <c r="B19" s="217">
        <v>0.85</v>
      </c>
      <c r="C19" s="129" t="s">
        <v>559</v>
      </c>
      <c r="D19" s="64"/>
      <c r="E19" s="64"/>
      <c r="F19" s="64"/>
      <c r="G19" s="69"/>
      <c r="I19" s="599"/>
      <c r="J19" s="600"/>
      <c r="K19" s="603" t="s">
        <v>181</v>
      </c>
      <c r="L19" s="606">
        <f>IF($B$28&gt;=10,$B$29/$L$5,"N.A.")</f>
        <v>1.0833333333333333</v>
      </c>
      <c r="M19" s="606">
        <f>IF($B$28&gt;=10,$B$29/$L$5,"N.A.")</f>
        <v>1.0833333333333333</v>
      </c>
      <c r="N19" s="600"/>
      <c r="O19" s="603" t="s">
        <v>181</v>
      </c>
      <c r="P19" s="606">
        <f>IF($B$28&gt;=10,$B$29/$L$5,"N.A.")</f>
        <v>1.0833333333333333</v>
      </c>
      <c r="Q19" s="599"/>
      <c r="R19" s="600"/>
    </row>
    <row r="20" spans="1:18">
      <c r="A20" s="68" t="s">
        <v>20</v>
      </c>
      <c r="B20" s="216" t="s">
        <v>393</v>
      </c>
      <c r="C20" s="293" t="s">
        <v>473</v>
      </c>
      <c r="D20" s="64"/>
      <c r="E20" s="64"/>
      <c r="F20" s="64"/>
      <c r="G20" s="69"/>
      <c r="I20" s="599"/>
      <c r="J20" s="600"/>
      <c r="K20" s="603" t="s">
        <v>180</v>
      </c>
      <c r="L20" s="604">
        <f>IF($B$28&gt;=10,IF($B$29/$L$5&gt;=1,$L$18,IF($B$29/$L$5&gt;=0.5,($L$18-($L$17))*($B$29/$L$5-0.5)/(1-0.5 )+($L$17),IF($B$29/$L$5&gt;0.25,($L$17-($L$16))*($B$29/$L$5-0.25)/(0.5-0.25 )+($L$16),$L$16))),"N.A.")</f>
        <v>0</v>
      </c>
      <c r="M20" s="604">
        <f>IF($B$28&gt;=10,IF($B$29/$L$5&gt;=1,$M$18,IF($B$29/$L$5&gt;=0.5,($M$18-($M$17))*($B$29/$L$5-0.5)/(1-0.5 )+($M$17),IF($B$29/$L$5&gt;0.25,($M$17-($M$16))*($B$29/$L$5-0.25)/(0.5-0.25 )+($M$16),$M$16))),"N.A.")</f>
        <v>0</v>
      </c>
      <c r="N20" s="600"/>
      <c r="O20" s="603" t="s">
        <v>180</v>
      </c>
      <c r="P20" s="604">
        <f>IF($B$28&gt;=10,IF($B$29/$L$5&gt;=1,$P$18,IF($B$29/$L$5&gt;=0.5,($P$18-($P$17))*($B$29/$L$5-0.5)/(1-0.5 )+($P$17),IF($B$29/$L$5&gt;0.25,($P$17-($P$16))*($B$29/$L$5-0.25)/(0.5-0.25 )+($P$16),$P$16))),"N.A.")</f>
        <v>-0.6</v>
      </c>
      <c r="Q20" s="599"/>
      <c r="R20" s="600"/>
    </row>
    <row r="21" spans="1:18">
      <c r="A21" s="323" t="s">
        <v>402</v>
      </c>
      <c r="B21" s="216" t="s">
        <v>176</v>
      </c>
      <c r="C21" s="64"/>
      <c r="D21" s="64"/>
      <c r="E21" s="272"/>
      <c r="F21" s="64"/>
      <c r="G21" s="269"/>
      <c r="I21" s="599"/>
      <c r="J21" s="600"/>
      <c r="K21" s="600"/>
      <c r="L21" s="600"/>
      <c r="M21" s="600"/>
      <c r="N21" s="600"/>
      <c r="O21" s="600"/>
      <c r="P21" s="600"/>
      <c r="Q21" s="599"/>
      <c r="R21" s="600"/>
    </row>
    <row r="22" spans="1:18">
      <c r="A22" s="126" t="s">
        <v>347</v>
      </c>
      <c r="B22" s="239">
        <v>0.05</v>
      </c>
      <c r="C22" s="127" t="s">
        <v>454</v>
      </c>
      <c r="D22" s="64"/>
      <c r="E22" s="64"/>
      <c r="F22" s="64"/>
      <c r="G22" s="334"/>
      <c r="I22" s="599"/>
      <c r="J22" s="600"/>
      <c r="K22" s="600" t="s">
        <v>587</v>
      </c>
      <c r="L22" s="604"/>
      <c r="M22" s="600"/>
      <c r="N22" s="607" t="s">
        <v>588</v>
      </c>
      <c r="O22" s="600"/>
      <c r="P22" s="604"/>
      <c r="Q22" s="599"/>
      <c r="R22" s="600"/>
    </row>
    <row r="23" spans="1:18">
      <c r="A23" s="128" t="s">
        <v>316</v>
      </c>
      <c r="B23" s="240">
        <v>3.5000000000000003E-2</v>
      </c>
      <c r="C23" s="129" t="s">
        <v>455</v>
      </c>
      <c r="D23" s="64"/>
      <c r="E23" s="272"/>
      <c r="F23" s="64"/>
      <c r="G23" s="69"/>
      <c r="I23" s="599"/>
      <c r="J23" s="607" t="str">
        <f>IF($B$28&lt;10,"for 0 to h/2","")</f>
        <v/>
      </c>
      <c r="K23" s="603" t="s">
        <v>182</v>
      </c>
      <c r="L23" s="604" t="str">
        <f>IF($B$9="Normal",IF($B$28&lt;10,IF($B$29/$L$5&gt;=1,-1.3*$O$10,IF($B$29/$L$5&gt;0.5,(-1.3*$O$10-(-0.9))*($B$29/$L$5-0.5)/(1-0.5)+(-0.9),-0.9)),"N.A."),"N.A.")</f>
        <v>N.A.</v>
      </c>
      <c r="M23" s="604" t="str">
        <f>IF($B$9="Normal",IF($B$28&lt;10,IF($B$29/$L$5&gt;=1,-0.18,IF($B$29/$L$5&gt;0.5,-0.18,-0.18)),"N.A."),"N.A.")</f>
        <v>N.A.</v>
      </c>
      <c r="N23" s="603"/>
      <c r="O23" s="603" t="s">
        <v>182</v>
      </c>
      <c r="P23" s="604" t="str">
        <f>IF($B$9="Parallel",IF($B$29/$L$5&gt;=1,-1.3*$O$10,IF($B$29/$L$5&gt;0.5,(-1.3*$O$10-(-0.9))*($B$29/$L$5-0.5)/(1-0.5)+(-0.9),-0.9)),"N.A.")</f>
        <v>N.A.</v>
      </c>
      <c r="Q23" s="604" t="str">
        <f>IF($B$9="Parallel",IF($B$29/$L$5&gt;=1,-0.18,IF($B$29/$L$5&gt;0.5,-0.18,-0.18)),"N.A.")</f>
        <v>N.A.</v>
      </c>
      <c r="R23" s="600"/>
    </row>
    <row r="24" spans="1:18">
      <c r="A24" s="63"/>
      <c r="B24" s="64"/>
      <c r="C24" s="310" t="s">
        <v>345</v>
      </c>
      <c r="D24" s="64"/>
      <c r="E24" s="272"/>
      <c r="F24" s="64"/>
      <c r="G24" s="69"/>
      <c r="I24" s="599"/>
      <c r="J24" s="611" t="str">
        <f>IF($B$28&lt;10,"for h/2 to h","")</f>
        <v/>
      </c>
      <c r="K24" s="603" t="s">
        <v>183</v>
      </c>
      <c r="L24" s="604" t="str">
        <f>IF($B$9="Normal",IF($B$28&lt;10,IF($L$5&gt;$B$29/2,IF($B$29/$L$5&gt;=1,-0.7,IF($B$29/$L$5&gt;0.5,(-0.7-(-0.9))*($B$29/$L$5-0.5)/(1-0.5)+(-0.9),-0.9)),"N.A."),"N.A."),"N.A.")</f>
        <v>N.A.</v>
      </c>
      <c r="M24" s="604" t="str">
        <f>IF($B$9="Normal",IF($B$28&lt;10,IF($L$5&gt;$B$29/2,IF($B$29/$L$5&gt;=1,-0.18,IF($B$29/$L$5&gt;0.5,-0.18,-0.18)),"N.A."),"N.A."),"N.A.")</f>
        <v>N.A.</v>
      </c>
      <c r="N24" s="603"/>
      <c r="O24" s="603" t="s">
        <v>183</v>
      </c>
      <c r="P24" s="604" t="str">
        <f>IF($B$9="Parallel",IF($L$5&gt;$B$29/2,IF($B$29/$L$5&gt;=1,-0.7,IF($B$29/$L$5&gt;0.5,(-0.7-(-0.9))*($B$29/$L$5-0.5)/(1-0.5)+(-0.9),-0.9)),"N.A."),"N.A.")</f>
        <v>N.A.</v>
      </c>
      <c r="Q24" s="604" t="str">
        <f>IF($B$9="Parallel",IF($L$5&gt;$B$29/2,IF($B$29/$L$5&gt;=1,-0.18,IF($B$29/$L$5&gt;0.5,-0.18,-0.18)),"N.A."),"N.A.")</f>
        <v>N.A.</v>
      </c>
      <c r="R24" s="600"/>
    </row>
    <row r="25" spans="1:18">
      <c r="A25" s="63"/>
      <c r="B25" s="64"/>
      <c r="C25" s="64"/>
      <c r="D25" s="64"/>
      <c r="E25" s="94"/>
      <c r="F25" s="94"/>
      <c r="G25" s="69"/>
      <c r="I25" s="599"/>
      <c r="J25" s="600" t="str">
        <f>IF($B$28&lt;10,"for h to 2*h","")</f>
        <v/>
      </c>
      <c r="K25" s="603" t="s">
        <v>184</v>
      </c>
      <c r="L25" s="604" t="str">
        <f>IF($B$9="Normal",IF($B$28&lt;10,IF($L$5&gt;$B$29,IF($B$29/$L$5&gt;=1,-0.7,IF($B$29/$L$5&gt;0.5,(-0.7-(-0.5))*($B$29/$L$5-0.5)/(1-0.5)+(-0.5),-0.5)),"N.A."),"N.A."),"N.A.")</f>
        <v>N.A.</v>
      </c>
      <c r="M25" s="604" t="str">
        <f>IF($B$9="Normal",IF($B$28&lt;10,IF($L$5&gt;$B$29,IF($B$29/$L$5&gt;=1,-0.18,IF($B$29/$L$5&gt;0.5,-0.18,-0.18)),"N.A."),"N.A."),"N.A.")</f>
        <v>N.A.</v>
      </c>
      <c r="N25" s="603"/>
      <c r="O25" s="603" t="s">
        <v>184</v>
      </c>
      <c r="P25" s="604" t="str">
        <f>IF($B$9="Parallel",IF($L$5&gt;$B$29,IF($B$29/$L$5&gt;=1,-0.7,IF($B$29/$L$5&gt;0.5,(-0.7-(-0.5))*($B$29/$L$5-0.5)/(1-0.5)+(-0.5),-0.5)),"N.A."),"N.A.")</f>
        <v>N.A.</v>
      </c>
      <c r="Q25" s="604" t="str">
        <f>IF($B$9="Parallel",IF($L$5&gt;$B$29,IF($B$29/$L$5&gt;=1,-0.18,IF($B$29/$L$5&gt;0.5,-0.18,-0.18)),"N.A."),"N.A.")</f>
        <v>N.A.</v>
      </c>
      <c r="R25" s="600"/>
    </row>
    <row r="26" spans="1:18">
      <c r="A26" s="65" t="s">
        <v>240</v>
      </c>
      <c r="B26" s="50"/>
      <c r="C26" s="71"/>
      <c r="D26" s="64"/>
      <c r="E26" s="64"/>
      <c r="F26" s="64"/>
      <c r="G26" s="69"/>
      <c r="I26" s="600"/>
      <c r="J26" s="600" t="str">
        <f>IF($B$28&lt;10,"for &gt; 2*h","")</f>
        <v/>
      </c>
      <c r="K26" s="603" t="s">
        <v>185</v>
      </c>
      <c r="L26" s="604" t="str">
        <f>IF($B$9="Normal",IF($B$28&lt;10,IF($L$5&gt;=2*$B$29,IF($B$29/$L$5&gt;=1,-0.7,IF($B$29/$L$5&gt;0.5,(-0.7-(-0.3))*($B$29/$L$5-0.5)/(1-0.5)+(-0.3),-0.3)),"N.A."),"N.A."),"N.A.")</f>
        <v>N.A.</v>
      </c>
      <c r="M26" s="604" t="str">
        <f>IF($B$9="Normal",IF($B$28&lt;10,IF($L$5&gt;=2*$B$29,IF($B$29/$L$5&gt;=1,-0.18,IF($B$29/$L$5&gt;0.5,-0.18,-0.18)),"N.A."),"N.A."),"N.A.")</f>
        <v>N.A.</v>
      </c>
      <c r="N26" s="603"/>
      <c r="O26" s="603" t="s">
        <v>185</v>
      </c>
      <c r="P26" s="604" t="str">
        <f>IF($B$9="Parallel",IF($L$5&gt;=2*$B$29,IF($B$29/$L$5&gt;=1,-0.7,IF($B$29/$L$5&gt;0.5,(-0.7-(-0.3))*($B$29/$L$5-0.5)/(1-0.5)+(-0.3),-0.3)),"N.A."),"N.A.")</f>
        <v>N.A.</v>
      </c>
      <c r="Q26" s="604" t="str">
        <f>IF($B$9="Parallel",IF($L$5&gt;=2*$B$29,IF($B$29/$L$5&gt;=1,-0.18,IF($B$29/$L$5&gt;0.5,-0.18,-0.18)),"N.A."),"N.A.")</f>
        <v>N.A.</v>
      </c>
      <c r="R26" s="600"/>
    </row>
    <row r="27" spans="1:18">
      <c r="A27" s="63"/>
      <c r="B27" s="64"/>
      <c r="C27" s="64"/>
      <c r="D27" s="64"/>
      <c r="E27" s="64"/>
      <c r="F27" s="64"/>
      <c r="G27" s="69"/>
      <c r="I27" s="600"/>
      <c r="J27" s="600"/>
      <c r="K27" s="600"/>
      <c r="L27" s="600"/>
      <c r="M27" s="600"/>
      <c r="N27" s="600"/>
      <c r="O27" s="600"/>
      <c r="P27" s="600"/>
      <c r="Q27" s="599"/>
      <c r="R27" s="600"/>
    </row>
    <row r="28" spans="1:18">
      <c r="A28" s="68" t="s">
        <v>350</v>
      </c>
      <c r="B28" s="219">
        <f>$P$3</f>
        <v>45</v>
      </c>
      <c r="C28" s="64" t="s">
        <v>397</v>
      </c>
      <c r="D28" s="64"/>
      <c r="E28" s="64"/>
      <c r="F28" s="64"/>
      <c r="G28" s="69"/>
      <c r="I28" s="600"/>
      <c r="J28" s="600"/>
      <c r="K28" s="600" t="s">
        <v>474</v>
      </c>
      <c r="L28" s="600"/>
      <c r="M28" s="600"/>
      <c r="N28" s="600"/>
      <c r="O28" s="600"/>
      <c r="P28" s="600"/>
      <c r="Q28" s="599"/>
      <c r="R28" s="600"/>
    </row>
    <row r="29" spans="1:18">
      <c r="A29" s="68" t="s">
        <v>222</v>
      </c>
      <c r="B29" s="225">
        <f>$P$4</f>
        <v>32.5</v>
      </c>
      <c r="C29" s="71" t="str">
        <f>IF($B$28&lt;=10,"ft. (h = he, for roof angle &lt;=10 deg.)","ft. (h = (hr+he)/2, for roof angle &gt;10 deg.)")</f>
        <v>ft. (h = (hr+he)/2, for roof angle &gt;10 deg.)</v>
      </c>
      <c r="D29" s="64"/>
      <c r="E29" s="64"/>
      <c r="F29" s="167"/>
      <c r="G29" s="168" t="str">
        <f>IF($B$9="Normal","L = "&amp;$B$15&amp;" ft.","L = "&amp;$B$16&amp;" ft.")</f>
        <v>L = 30 ft.</v>
      </c>
      <c r="I29" s="600"/>
      <c r="J29" s="600"/>
      <c r="K29" s="612" t="s">
        <v>256</v>
      </c>
      <c r="L29" s="613">
        <f>IF($B$20="Y",0.18,0.55)</f>
        <v>0.18</v>
      </c>
      <c r="M29" s="607"/>
      <c r="N29" s="600"/>
      <c r="O29" s="600"/>
      <c r="P29" s="600"/>
      <c r="Q29" s="599"/>
      <c r="R29" s="600"/>
    </row>
    <row r="30" spans="1:18">
      <c r="A30" s="68" t="s">
        <v>168</v>
      </c>
      <c r="B30" s="225">
        <f>$L$9</f>
        <v>0.8</v>
      </c>
      <c r="C30" s="53" t="s">
        <v>575</v>
      </c>
      <c r="D30" s="64"/>
      <c r="E30" s="130"/>
      <c r="F30" s="169"/>
      <c r="G30" s="170" t="str">
        <f>IF($B$9="Normal","B = "&amp;$B$16&amp;" ft.","B = "&amp;$B$15&amp;" ft.")</f>
        <v>B = 40 ft.</v>
      </c>
      <c r="I30" s="600"/>
      <c r="J30" s="600"/>
      <c r="K30" s="612" t="s">
        <v>257</v>
      </c>
      <c r="L30" s="613">
        <f>IF($B$20="Y",-0.18,-0.55)</f>
        <v>-0.18</v>
      </c>
      <c r="M30" s="607"/>
      <c r="N30" s="600"/>
      <c r="O30" s="600"/>
      <c r="P30" s="600"/>
      <c r="Q30" s="599"/>
      <c r="R30" s="600"/>
    </row>
    <row r="31" spans="1:18">
      <c r="A31" s="68" t="s">
        <v>169</v>
      </c>
      <c r="B31" s="225">
        <f>$L$10</f>
        <v>-0.5</v>
      </c>
      <c r="C31" s="71" t="s">
        <v>575</v>
      </c>
      <c r="D31" s="64"/>
      <c r="E31" s="131"/>
      <c r="F31" s="56"/>
      <c r="G31" s="132"/>
      <c r="I31" s="600"/>
      <c r="J31" s="600"/>
      <c r="K31" s="600"/>
      <c r="L31" s="600"/>
      <c r="M31" s="600"/>
      <c r="N31" s="600"/>
      <c r="O31" s="600"/>
      <c r="P31" s="600"/>
      <c r="Q31" s="599"/>
      <c r="R31" s="600"/>
    </row>
    <row r="32" spans="1:18">
      <c r="A32" s="68" t="s">
        <v>170</v>
      </c>
      <c r="B32" s="225">
        <f>$L$11</f>
        <v>-0.7</v>
      </c>
      <c r="C32" s="71" t="s">
        <v>576</v>
      </c>
      <c r="D32" s="64"/>
      <c r="E32" s="64"/>
      <c r="F32" s="64"/>
      <c r="G32" s="69"/>
      <c r="I32" s="600"/>
      <c r="J32" s="600"/>
      <c r="K32" s="600" t="s">
        <v>589</v>
      </c>
      <c r="L32" s="600"/>
      <c r="M32" s="600"/>
      <c r="N32" s="600"/>
      <c r="O32" s="600"/>
      <c r="P32" s="600"/>
      <c r="Q32" s="599"/>
      <c r="R32" s="600"/>
    </row>
    <row r="33" spans="1:18">
      <c r="A33" s="68" t="str">
        <f>IF($B$9="Normal",IF($B$28&lt;10,"Roof Cp (zone #1) =","Windward Roof Cp ="),"Roof Cp (zone #1) =")</f>
        <v>Windward Roof Cp =</v>
      </c>
      <c r="B33" s="225">
        <f>IF($B$9="Normal",IF($B$28&lt;10,$L$23,$L$20),$P$23)</f>
        <v>0</v>
      </c>
      <c r="C33" s="224" t="str">
        <f>IF($B$9="Normal",IF($B$28&lt;10,$M$23,""),$Q$23)</f>
        <v/>
      </c>
      <c r="D33" s="71" t="s">
        <v>576</v>
      </c>
      <c r="E33" s="71" t="str">
        <f>IF($B$9="Normal",IF($B$28&lt;10,"(zone #1 for 0 to h/2)","(Condition #1)"),"(zone #1 for 0 to h/2)")</f>
        <v>(Condition #1)</v>
      </c>
      <c r="F33" s="64"/>
      <c r="G33" s="69"/>
      <c r="I33" s="600"/>
      <c r="J33" s="600"/>
      <c r="K33" s="614" t="s">
        <v>590</v>
      </c>
      <c r="L33" s="610">
        <f>IF($B$12="A",5,IF($B$12="B",7,IF($B$12="C",9.5,IF($B$12="D",11.5,"Error!"))))</f>
        <v>7</v>
      </c>
      <c r="M33" s="615" t="s">
        <v>488</v>
      </c>
      <c r="N33" s="600"/>
      <c r="O33" s="600"/>
      <c r="P33" s="600"/>
      <c r="Q33" s="599"/>
      <c r="R33" s="600"/>
    </row>
    <row r="34" spans="1:18">
      <c r="A34" s="68" t="str">
        <f>IF($B$9="Normal",IF($B$28&lt;10,"Roof Cp (zone #2) =","Windward Roof Cp ="),"Roof Cp (zone #2) =")</f>
        <v>Windward Roof Cp =</v>
      </c>
      <c r="B34" s="225">
        <f>IF($B$9="Normal",IF($B$28&lt;10,$L$24,$M$20),$P$24)</f>
        <v>0</v>
      </c>
      <c r="C34" s="229" t="str">
        <f>IF($B$9="Normal",IF($B$28&lt;10,$M$24,""),$Q$24)</f>
        <v/>
      </c>
      <c r="D34" s="71" t="s">
        <v>576</v>
      </c>
      <c r="E34" s="105" t="str">
        <f>IF($B$9="Normal",IF($B$28&lt;10,"(zone #2 for h/2 to h)","(Condition #2)"),"(zone #2 for h/2 to h)")</f>
        <v>(Condition #2)</v>
      </c>
      <c r="F34" s="64"/>
      <c r="G34" s="69"/>
      <c r="I34" s="600"/>
      <c r="J34" s="600"/>
      <c r="K34" s="603" t="s">
        <v>174</v>
      </c>
      <c r="L34" s="616">
        <f>IF($B$12="A",1500,IF($B$12="B",1200,IF($B$12="C",900,IF($B$12="D",700,"Error!"))))</f>
        <v>1200</v>
      </c>
      <c r="M34" s="615" t="s">
        <v>488</v>
      </c>
      <c r="N34" s="600"/>
      <c r="O34" s="600"/>
      <c r="P34" s="600"/>
      <c r="Q34" s="599"/>
      <c r="R34" s="600"/>
    </row>
    <row r="35" spans="1:18">
      <c r="A35" s="68" t="str">
        <f>IF($B$9="Normal",IF($B$28&lt;10,"Roof Cp (zone #3) =","Leeward Roof Cp ="),"Roof Cp (zone #3) =")</f>
        <v>Leeward Roof Cp =</v>
      </c>
      <c r="B35" s="225">
        <f>IF($B$9="Normal",IF($B$28&lt;10,$L$25,$P$20),$P$25)</f>
        <v>-0.6</v>
      </c>
      <c r="C35" s="229" t="str">
        <f>IF($B$9="Normal",IF($B$28&lt;10,$M$25,""),$Q$25)</f>
        <v/>
      </c>
      <c r="D35" s="71" t="s">
        <v>576</v>
      </c>
      <c r="E35" s="64" t="str">
        <f>IF($B$9="Normal",IF($B$28&lt;10,"(zone #3 for h to 2*h)",""),"(zone #3 for h to 2*h)")</f>
        <v/>
      </c>
      <c r="F35" s="64"/>
      <c r="G35" s="69"/>
      <c r="I35" s="600"/>
      <c r="J35" s="600"/>
      <c r="K35" s="603" t="s">
        <v>175</v>
      </c>
      <c r="L35" s="610">
        <f>IF($P$4&lt;15,2.01*(15/$L$34)^(2/$L$33),2.01*($P$4/$L$34)^(2/$L$33))</f>
        <v>0.71679779664886523</v>
      </c>
      <c r="M35" s="600" t="s">
        <v>578</v>
      </c>
      <c r="N35" s="600"/>
      <c r="O35" s="600"/>
      <c r="P35" s="600"/>
      <c r="Q35" s="599"/>
      <c r="R35" s="600"/>
    </row>
    <row r="36" spans="1:18">
      <c r="A36" s="68" t="str">
        <f>IF($B$9="Normal",IF($B$28&lt;10,"Roof Cp (zone #4) =",""),"Roof Cp (zone #4) =")</f>
        <v/>
      </c>
      <c r="B36" s="225" t="str">
        <f>IF($B$9="Normal",IF($B$28&lt;10,$L$26,""),$P$26)</f>
        <v/>
      </c>
      <c r="C36" s="226" t="str">
        <f>IF($B$9="Normal",IF($B$28&lt;10,$M$26,""),$Q$26)</f>
        <v/>
      </c>
      <c r="D36" s="71" t="s">
        <v>576</v>
      </c>
      <c r="E36" s="64" t="str">
        <f>IF($B$9="Normal",IF($B$28&lt;10,"(zone #4 for &gt; 2*h)",""),"(zone #4 for &gt; 2*h)")</f>
        <v/>
      </c>
      <c r="F36" s="64"/>
      <c r="G36" s="69"/>
      <c r="I36" s="600"/>
      <c r="J36" s="600"/>
      <c r="K36" s="603" t="s">
        <v>266</v>
      </c>
      <c r="L36" s="610">
        <f>0.00256*$L$35*$B$18*$B$19*$B$10^2</f>
        <v>26.359808893084033</v>
      </c>
      <c r="M36" s="600"/>
      <c r="N36" s="600"/>
      <c r="O36" s="600"/>
      <c r="P36" s="600"/>
      <c r="Q36" s="599"/>
      <c r="R36" s="600"/>
    </row>
    <row r="37" spans="1:18">
      <c r="A37" s="101" t="s">
        <v>262</v>
      </c>
      <c r="B37" s="225">
        <f>$L$29</f>
        <v>0.18</v>
      </c>
      <c r="C37" s="53" t="s">
        <v>577</v>
      </c>
      <c r="D37" s="64" t="s">
        <v>331</v>
      </c>
      <c r="E37" s="64"/>
      <c r="F37" s="64"/>
      <c r="G37" s="69"/>
      <c r="I37" s="600"/>
      <c r="J37" s="600"/>
      <c r="K37" s="599"/>
      <c r="L37" s="599"/>
      <c r="M37" s="600"/>
      <c r="N37" s="600"/>
      <c r="O37" s="600"/>
      <c r="P37" s="600"/>
      <c r="Q37" s="599"/>
      <c r="R37" s="600"/>
    </row>
    <row r="38" spans="1:18">
      <c r="A38" s="101" t="s">
        <v>263</v>
      </c>
      <c r="B38" s="220">
        <f>$L$30</f>
        <v>-0.18</v>
      </c>
      <c r="C38" s="53" t="s">
        <v>577</v>
      </c>
      <c r="D38" s="64" t="s">
        <v>332</v>
      </c>
      <c r="E38" s="64"/>
      <c r="F38" s="64"/>
      <c r="G38" s="69"/>
      <c r="I38" s="600"/>
      <c r="J38" s="600"/>
      <c r="K38" s="600"/>
      <c r="L38" s="600"/>
      <c r="M38" s="600"/>
      <c r="N38" s="600"/>
      <c r="O38" s="600"/>
      <c r="P38" s="600"/>
      <c r="Q38" s="599"/>
      <c r="R38" s="600"/>
    </row>
    <row r="39" spans="1:18">
      <c r="A39" s="63"/>
      <c r="B39" s="64"/>
      <c r="C39" s="64"/>
      <c r="D39" s="64"/>
      <c r="E39" s="64"/>
      <c r="F39" s="64"/>
      <c r="G39" s="69"/>
      <c r="I39" s="600"/>
      <c r="J39" s="600"/>
      <c r="K39" s="603"/>
      <c r="L39" s="608"/>
      <c r="M39" s="600"/>
      <c r="N39" s="600"/>
      <c r="O39" s="600"/>
      <c r="P39" s="600"/>
      <c r="Q39" s="599"/>
      <c r="R39" s="600"/>
    </row>
    <row r="40" spans="1:18">
      <c r="A40" s="102" t="s">
        <v>579</v>
      </c>
      <c r="B40" s="64"/>
      <c r="C40" s="64"/>
      <c r="D40" s="64"/>
      <c r="E40" s="64"/>
      <c r="F40" s="83"/>
      <c r="G40" s="100"/>
      <c r="I40" s="600"/>
      <c r="J40" s="600"/>
      <c r="K40" s="600"/>
      <c r="L40" s="600"/>
      <c r="M40" s="600"/>
      <c r="N40" s="600"/>
      <c r="O40" s="600"/>
      <c r="P40" s="600"/>
      <c r="Q40" s="599"/>
      <c r="R40" s="600"/>
    </row>
    <row r="41" spans="1:18">
      <c r="A41" s="103" t="s">
        <v>346</v>
      </c>
      <c r="B41" s="84">
        <f>$L$33</f>
        <v>7</v>
      </c>
      <c r="C41" s="83" t="s">
        <v>174</v>
      </c>
      <c r="D41" s="133">
        <f>$L$34</f>
        <v>1200</v>
      </c>
      <c r="E41" s="71" t="s">
        <v>488</v>
      </c>
      <c r="F41" s="64"/>
      <c r="G41" s="100"/>
      <c r="I41" s="1"/>
      <c r="J41" s="1"/>
      <c r="K41" s="13"/>
      <c r="L41" s="13"/>
      <c r="M41" s="13"/>
      <c r="N41" s="13"/>
      <c r="O41" s="13"/>
      <c r="P41" s="13"/>
      <c r="Q41" s="24"/>
    </row>
    <row r="42" spans="1:18">
      <c r="A42" s="68" t="s">
        <v>175</v>
      </c>
      <c r="B42" s="78">
        <f>$L$35</f>
        <v>0.71679779664886523</v>
      </c>
      <c r="C42" s="64" t="s">
        <v>259</v>
      </c>
      <c r="D42" s="64"/>
      <c r="E42" s="64"/>
      <c r="F42" s="83"/>
      <c r="G42" s="100"/>
      <c r="I42" s="1"/>
      <c r="J42" s="1"/>
      <c r="K42" s="13"/>
      <c r="L42" s="13"/>
      <c r="M42" s="13"/>
      <c r="N42" s="13"/>
      <c r="O42" s="13"/>
      <c r="P42" s="13"/>
      <c r="Q42" s="24"/>
    </row>
    <row r="43" spans="1:18">
      <c r="A43" s="598"/>
      <c r="B43" s="146"/>
      <c r="C43" s="105"/>
      <c r="D43" s="64"/>
      <c r="E43" s="64"/>
      <c r="F43" s="64"/>
      <c r="G43" s="69"/>
      <c r="I43" s="1"/>
      <c r="J43" s="1"/>
      <c r="K43" s="13"/>
      <c r="L43" s="13"/>
      <c r="M43" s="13"/>
      <c r="N43" s="13"/>
      <c r="O43" s="13"/>
      <c r="P43" s="13"/>
      <c r="Q43" s="24"/>
    </row>
    <row r="44" spans="1:18">
      <c r="A44" s="63" t="s">
        <v>580</v>
      </c>
      <c r="B44" s="64"/>
      <c r="C44" s="64"/>
      <c r="D44" s="64"/>
      <c r="E44" s="64"/>
      <c r="F44" s="83"/>
      <c r="G44" s="100"/>
      <c r="I44" s="1"/>
      <c r="J44" s="1"/>
      <c r="K44" s="13"/>
      <c r="L44" s="13"/>
      <c r="M44" s="13"/>
      <c r="N44" s="13"/>
      <c r="O44" s="13"/>
      <c r="P44" s="13"/>
      <c r="Q44" s="24"/>
    </row>
    <row r="45" spans="1:18">
      <c r="A45" s="68" t="s">
        <v>266</v>
      </c>
      <c r="B45" s="224">
        <f>$L$36</f>
        <v>26.359808893084033</v>
      </c>
      <c r="C45" s="64" t="s">
        <v>437</v>
      </c>
      <c r="D45" s="64" t="s">
        <v>491</v>
      </c>
      <c r="E45" s="64"/>
      <c r="F45" s="64"/>
      <c r="G45" s="134"/>
      <c r="I45" s="1"/>
      <c r="J45" s="1"/>
      <c r="K45" s="13"/>
      <c r="L45" s="13"/>
      <c r="M45" s="13"/>
      <c r="N45" s="13"/>
      <c r="O45" s="13"/>
      <c r="P45" s="13"/>
      <c r="Q45" s="24"/>
    </row>
    <row r="46" spans="1:18">
      <c r="A46" s="135" t="str">
        <f>IF($B$15&lt;=$B$16,"Ratio h/L =","Ratio h/B =")</f>
        <v>Ratio h/L =</v>
      </c>
      <c r="B46" s="241">
        <f>$P$6</f>
        <v>1.0833333333333333</v>
      </c>
      <c r="C46" s="83" t="s">
        <v>264</v>
      </c>
      <c r="D46" s="136">
        <f>$B$139</f>
        <v>2.0990338144328793</v>
      </c>
      <c r="E46" s="64" t="s">
        <v>265</v>
      </c>
      <c r="F46" s="107" t="str">
        <f>IF($B$108="No","(f &gt;= 1, Rigid structure)","(f &lt; 1, Flexible structure)")</f>
        <v>(f &gt;= 1, Rigid structure)</v>
      </c>
      <c r="G46" s="69"/>
      <c r="I46" s="1"/>
      <c r="J46" s="1"/>
      <c r="K46" s="13"/>
      <c r="L46" s="13"/>
      <c r="M46" s="13"/>
      <c r="N46" s="13"/>
      <c r="O46" s="13"/>
      <c r="P46" s="13"/>
      <c r="Q46" s="24"/>
    </row>
    <row r="47" spans="1:18">
      <c r="A47" s="68" t="s">
        <v>225</v>
      </c>
      <c r="B47" s="242">
        <f>$B$152</f>
        <v>0.85</v>
      </c>
      <c r="C47" s="71" t="s">
        <v>561</v>
      </c>
      <c r="D47" s="64"/>
      <c r="E47" s="64"/>
      <c r="F47" s="90"/>
      <c r="G47" s="134"/>
      <c r="I47" s="1"/>
      <c r="J47" s="1"/>
      <c r="K47" s="13"/>
      <c r="L47" s="13"/>
      <c r="M47" s="13"/>
      <c r="N47" s="13"/>
      <c r="O47" s="13"/>
      <c r="P47" s="13"/>
      <c r="Q47" s="24"/>
    </row>
    <row r="48" spans="1:18">
      <c r="A48" s="309" t="s">
        <v>581</v>
      </c>
      <c r="B48" s="64"/>
      <c r="C48" s="105"/>
      <c r="D48" s="92"/>
      <c r="E48" s="106"/>
      <c r="F48" s="90"/>
      <c r="G48" s="69"/>
      <c r="I48" s="1"/>
      <c r="J48" s="1"/>
      <c r="K48" s="13"/>
      <c r="L48" s="13"/>
      <c r="M48" s="13"/>
      <c r="N48" s="13"/>
      <c r="O48" s="13"/>
      <c r="P48" s="13"/>
      <c r="Q48" s="24"/>
    </row>
    <row r="49" spans="1:29">
      <c r="A49" s="314" t="s">
        <v>582</v>
      </c>
      <c r="B49" s="64"/>
      <c r="C49" s="64"/>
      <c r="D49" s="90"/>
      <c r="E49" s="64"/>
      <c r="F49" s="64"/>
      <c r="G49" s="134"/>
      <c r="I49" s="1"/>
      <c r="J49" s="1"/>
      <c r="K49" s="13"/>
      <c r="L49" s="13"/>
      <c r="M49" s="13"/>
      <c r="N49" s="13"/>
      <c r="O49" s="13"/>
      <c r="P49" s="13"/>
      <c r="Q49" s="24"/>
    </row>
    <row r="50" spans="1:29">
      <c r="A50" s="314" t="s">
        <v>583</v>
      </c>
      <c r="B50" s="64"/>
      <c r="C50" s="64"/>
      <c r="D50" s="90"/>
      <c r="E50" s="64"/>
      <c r="F50" s="64"/>
      <c r="G50" s="69"/>
      <c r="I50" s="1"/>
      <c r="J50" s="1"/>
      <c r="K50" s="23"/>
      <c r="L50" s="23"/>
      <c r="M50" s="23"/>
      <c r="N50" s="23"/>
      <c r="O50" s="23"/>
      <c r="P50" s="23"/>
      <c r="Q50" s="25"/>
    </row>
    <row r="51" spans="1:29">
      <c r="A51" s="63"/>
      <c r="B51" s="64"/>
      <c r="C51" s="64"/>
      <c r="D51" s="64"/>
      <c r="E51" s="64"/>
      <c r="F51" s="64"/>
      <c r="G51" s="69"/>
      <c r="I51" s="1"/>
      <c r="J51" s="1"/>
      <c r="K51" s="23"/>
      <c r="L51" s="23"/>
      <c r="M51" s="23"/>
      <c r="N51" s="23"/>
      <c r="O51" s="23"/>
      <c r="P51" s="23"/>
      <c r="Q51" s="25"/>
    </row>
    <row r="52" spans="1:29">
      <c r="A52" s="88"/>
      <c r="B52" s="73"/>
      <c r="C52" s="73"/>
      <c r="D52" s="73"/>
      <c r="E52" s="73"/>
      <c r="F52" s="73"/>
      <c r="G52" s="89"/>
      <c r="I52" s="1"/>
      <c r="J52" s="1"/>
      <c r="K52" s="23"/>
      <c r="L52" s="23"/>
      <c r="M52" s="23"/>
      <c r="N52" s="23"/>
      <c r="O52" s="23"/>
      <c r="P52" s="23"/>
      <c r="Q52" s="25"/>
    </row>
    <row r="53" spans="1:29">
      <c r="A53" s="79" t="str">
        <f>IF($B$9="Normal","Normal to Ridge Wind Load Tabulation for MWFRS - Buildings of Any Height","Parallel to Ridge Wind Load Tabulation for MWFRS - Buildings of Any Height")</f>
        <v>Normal to Ridge Wind Load Tabulation for MWFRS - Buildings of Any Height</v>
      </c>
      <c r="B53" s="74"/>
      <c r="C53" s="74"/>
      <c r="D53" s="110"/>
      <c r="E53" s="110"/>
      <c r="F53" s="137"/>
      <c r="G53" s="138"/>
      <c r="I53" s="1"/>
      <c r="J53" s="1"/>
      <c r="K53" s="23"/>
      <c r="L53" s="23"/>
      <c r="M53" s="23"/>
      <c r="N53" s="23"/>
      <c r="O53" s="23"/>
      <c r="P53" s="23"/>
      <c r="Q53" s="25"/>
    </row>
    <row r="54" spans="1:29">
      <c r="A54" s="139" t="s">
        <v>161</v>
      </c>
      <c r="B54" s="139" t="s">
        <v>162</v>
      </c>
      <c r="C54" s="139" t="s">
        <v>158</v>
      </c>
      <c r="D54" s="140" t="s">
        <v>159</v>
      </c>
      <c r="E54" s="139" t="s">
        <v>165</v>
      </c>
      <c r="F54" s="76" t="s">
        <v>444</v>
      </c>
      <c r="G54" s="138"/>
      <c r="I54" s="1"/>
      <c r="J54" s="1"/>
      <c r="K54" s="23"/>
      <c r="L54" s="23"/>
      <c r="M54" s="23"/>
      <c r="N54" s="23"/>
      <c r="O54" s="23"/>
      <c r="P54" s="23"/>
      <c r="Q54" s="25"/>
      <c r="AB54" s="340" t="s">
        <v>48</v>
      </c>
    </row>
    <row r="55" spans="1:29">
      <c r="A55" s="82"/>
      <c r="B55" s="139" t="s">
        <v>163</v>
      </c>
      <c r="C55" s="139"/>
      <c r="D55" s="140" t="s">
        <v>164</v>
      </c>
      <c r="E55" s="173"/>
      <c r="F55" s="112" t="s">
        <v>278</v>
      </c>
      <c r="G55" s="112" t="s">
        <v>279</v>
      </c>
      <c r="I55" s="1"/>
      <c r="J55" s="1"/>
      <c r="K55" s="23"/>
      <c r="L55" s="23"/>
      <c r="M55" s="23"/>
      <c r="N55" s="23"/>
      <c r="O55" s="23"/>
      <c r="P55" s="23"/>
      <c r="Q55" s="25"/>
      <c r="AB55" s="341" t="s">
        <v>176</v>
      </c>
      <c r="AC55" s="343" t="s">
        <v>149</v>
      </c>
    </row>
    <row r="56" spans="1:29">
      <c r="A56" s="139" t="s">
        <v>171</v>
      </c>
      <c r="B56" s="243">
        <f>IF($AB$55="N",0,$AB56)</f>
        <v>0</v>
      </c>
      <c r="C56" s="233">
        <f>IF($B56="","",2.01*(IF($B56&lt;=15,15,$B56)/$L$34)^(2/$L$33))</f>
        <v>0.57471966980766043</v>
      </c>
      <c r="D56" s="221">
        <f t="shared" ref="D56:D83" si="0">IF($B56="","",0.00256*$C56*$B$18*$B$19*$B$10^2)</f>
        <v>21.134971025374831</v>
      </c>
      <c r="E56" s="233">
        <f>IF($B56="","",$B$30)</f>
        <v>0.8</v>
      </c>
      <c r="F56" s="221">
        <f t="shared" ref="F56:F83" si="1">IF($B56="","",$D56*$B$152*$E56-$L$36*$L$29)</f>
        <v>9.62701469649976</v>
      </c>
      <c r="G56" s="221">
        <f t="shared" ref="G56:G83" si="2">IF($B56="","",$D56*$B$152*$E56-$L$36*$L$30)</f>
        <v>19.11654589801001</v>
      </c>
      <c r="I56" s="1"/>
      <c r="J56" s="1"/>
      <c r="K56" s="23"/>
      <c r="L56" s="23"/>
      <c r="M56" s="23"/>
      <c r="N56" s="23"/>
      <c r="O56" s="23"/>
      <c r="P56" s="23"/>
      <c r="Q56" s="25"/>
      <c r="AB56" s="267"/>
    </row>
    <row r="57" spans="1:29">
      <c r="A57" s="141" t="str">
        <f t="shared" ref="A57:A81" si="3">IF($B57=$B$13,"For z = hr:","")</f>
        <v/>
      </c>
      <c r="B57" s="222">
        <f>IF($AB$55="N",IF($B$13&gt;=15,15,IF($B56=$B$13,"",IF($B56="","",$B$13))),IF(OR($AB57="",$AB57&gt;$B$13),"",$AB57))</f>
        <v>15</v>
      </c>
      <c r="C57" s="234">
        <f t="shared" ref="C57:C83" si="4">IF($B57="","",2.01*(IF($B57&lt;=15,15,$B57)/$L$34)^(2/$L$33))</f>
        <v>0.57471966980766043</v>
      </c>
      <c r="D57" s="222">
        <f t="shared" si="0"/>
        <v>21.134971025374831</v>
      </c>
      <c r="E57" s="234">
        <f t="shared" ref="E57:E83" si="5">IF($B57="","",$B$30)</f>
        <v>0.8</v>
      </c>
      <c r="F57" s="222">
        <f t="shared" si="1"/>
        <v>9.62701469649976</v>
      </c>
      <c r="G57" s="222">
        <f t="shared" si="2"/>
        <v>19.11654589801001</v>
      </c>
      <c r="I57" s="1"/>
      <c r="J57" s="1"/>
      <c r="K57" s="23"/>
      <c r="L57" s="23"/>
      <c r="M57" s="23"/>
      <c r="N57" s="23"/>
      <c r="O57" s="23"/>
      <c r="P57" s="23"/>
      <c r="Q57" s="25"/>
      <c r="AB57" s="267"/>
    </row>
    <row r="58" spans="1:29">
      <c r="A58" s="141" t="str">
        <f t="shared" si="3"/>
        <v/>
      </c>
      <c r="B58" s="222">
        <f>IF($AB$55="N",IF($B$13&gt;=20,20,IF($B57=$B$13,"",IF($B57="","",$B$13))),IF(OR($AB58="",$AB58&gt;$B$13),"",$AB58))</f>
        <v>20</v>
      </c>
      <c r="C58" s="234">
        <f t="shared" si="4"/>
        <v>0.62395438765416489</v>
      </c>
      <c r="D58" s="222">
        <f t="shared" si="0"/>
        <v>22.945548233349321</v>
      </c>
      <c r="E58" s="234">
        <f t="shared" si="5"/>
        <v>0.8</v>
      </c>
      <c r="F58" s="222">
        <f t="shared" si="1"/>
        <v>10.858207197922415</v>
      </c>
      <c r="G58" s="222">
        <f t="shared" si="2"/>
        <v>20.347738399432664</v>
      </c>
      <c r="I58" s="1"/>
      <c r="J58" s="1"/>
      <c r="K58" s="23"/>
      <c r="L58" s="23"/>
      <c r="M58" s="23"/>
      <c r="N58" s="23"/>
      <c r="O58" s="23"/>
      <c r="P58" s="23"/>
      <c r="Q58" s="25"/>
      <c r="AB58" s="267"/>
    </row>
    <row r="59" spans="1:29">
      <c r="A59" s="141" t="str">
        <f t="shared" si="3"/>
        <v/>
      </c>
      <c r="B59" s="222">
        <f>IF($AB$55="N",IF($B$13&gt;=25,25,IF($B58=$B$13,"",IF($B58="","",$B$13))),IF(OR($AB59="",$AB59&gt;$B$13),"",$AB59))</f>
        <v>25</v>
      </c>
      <c r="C59" s="234">
        <f t="shared" si="4"/>
        <v>0.66503027728092101</v>
      </c>
      <c r="D59" s="222">
        <f t="shared" si="0"/>
        <v>24.456089428839501</v>
      </c>
      <c r="E59" s="234">
        <f t="shared" si="5"/>
        <v>0.8</v>
      </c>
      <c r="F59" s="222">
        <f t="shared" si="1"/>
        <v>11.885375210855734</v>
      </c>
      <c r="G59" s="222">
        <f t="shared" si="2"/>
        <v>21.374906412365988</v>
      </c>
      <c r="I59" s="1"/>
      <c r="J59" s="1"/>
      <c r="K59" s="23"/>
      <c r="L59" s="23"/>
      <c r="M59" s="23"/>
      <c r="N59" s="23"/>
      <c r="O59" s="23"/>
      <c r="P59" s="23"/>
      <c r="Q59" s="25"/>
      <c r="AB59" s="267"/>
    </row>
    <row r="60" spans="1:29">
      <c r="A60" s="141" t="str">
        <f t="shared" si="3"/>
        <v/>
      </c>
      <c r="B60" s="222">
        <f>IF($AB$55="N",IF($B$13&gt;=30,30,IF($B59=$B$13,"",IF($B59="","",$B$13))),IF(OR($AB60="",$AB60&gt;$B$13),"",$AB60))</f>
        <v>30</v>
      </c>
      <c r="C60" s="234">
        <f t="shared" si="4"/>
        <v>0.70059112483542563</v>
      </c>
      <c r="D60" s="222">
        <f t="shared" si="0"/>
        <v>25.763818261147879</v>
      </c>
      <c r="E60" s="234">
        <f t="shared" si="5"/>
        <v>0.8</v>
      </c>
      <c r="F60" s="222">
        <f t="shared" si="1"/>
        <v>12.774630816825432</v>
      </c>
      <c r="G60" s="222">
        <f t="shared" si="2"/>
        <v>22.264162018335686</v>
      </c>
      <c r="I60" s="1"/>
      <c r="J60" s="1"/>
      <c r="K60" s="23"/>
      <c r="L60" s="23"/>
      <c r="M60" s="23"/>
      <c r="N60" s="23"/>
      <c r="O60" s="23"/>
      <c r="P60" s="23"/>
      <c r="Q60" s="25"/>
      <c r="AB60" s="267"/>
    </row>
    <row r="61" spans="1:29">
      <c r="A61" s="141" t="str">
        <f t="shared" si="3"/>
        <v/>
      </c>
      <c r="B61" s="222">
        <f>IF($AB$55="N",IF($B$13&gt;=35,35,IF($B60=$B$13,"",IF($B60="","",$B$13))),IF(OR($AB61="",$AB61&gt;$B$13),"",$AB61))</f>
        <v>35</v>
      </c>
      <c r="C61" s="234">
        <f t="shared" si="4"/>
        <v>0.73213688226855445</v>
      </c>
      <c r="D61" s="222">
        <f t="shared" si="0"/>
        <v>26.923894563296731</v>
      </c>
      <c r="E61" s="234">
        <f t="shared" si="5"/>
        <v>0.8</v>
      </c>
      <c r="F61" s="222">
        <f t="shared" si="1"/>
        <v>13.563482702286649</v>
      </c>
      <c r="G61" s="222">
        <f t="shared" si="2"/>
        <v>23.053013903796902</v>
      </c>
      <c r="AB61" s="267"/>
    </row>
    <row r="62" spans="1:29">
      <c r="A62" s="141" t="str">
        <f t="shared" si="3"/>
        <v>For z = hr:</v>
      </c>
      <c r="B62" s="222">
        <f>IF($AB$55="N",IF($B$13&gt;=40,40,IF($B61=$B$13,"",IF($B61="","",$B$13))),IF(OR($AB62="",$AB62&gt;$B$13),"",$AB62))</f>
        <v>40</v>
      </c>
      <c r="C62" s="234">
        <f t="shared" si="4"/>
        <v>0.76060891815121934</v>
      </c>
      <c r="D62" s="222">
        <f t="shared" si="0"/>
        <v>27.970936599660202</v>
      </c>
      <c r="E62" s="234">
        <f t="shared" si="5"/>
        <v>0.8</v>
      </c>
      <c r="F62" s="222">
        <f t="shared" si="1"/>
        <v>14.275471287013811</v>
      </c>
      <c r="G62" s="222">
        <f t="shared" si="2"/>
        <v>23.765002488524065</v>
      </c>
      <c r="AB62" s="267"/>
    </row>
    <row r="63" spans="1:29">
      <c r="A63" s="141" t="str">
        <f t="shared" si="3"/>
        <v/>
      </c>
      <c r="B63" s="222" t="str">
        <f>IF($AB$55="N",IF($B$13&gt;=45,45,IF($B62=$B$13,"",IF($B62="","",$B$13))),IF(OR($AB63="",$AB63&gt;$B$13),"",$AB63))</f>
        <v/>
      </c>
      <c r="C63" s="234" t="str">
        <f t="shared" si="4"/>
        <v/>
      </c>
      <c r="D63" s="222" t="str">
        <f t="shared" si="0"/>
        <v/>
      </c>
      <c r="E63" s="234" t="str">
        <f t="shared" si="5"/>
        <v/>
      </c>
      <c r="F63" s="222" t="str">
        <f t="shared" si="1"/>
        <v/>
      </c>
      <c r="G63" s="222" t="str">
        <f t="shared" si="2"/>
        <v/>
      </c>
      <c r="AB63" s="267"/>
    </row>
    <row r="64" spans="1:29">
      <c r="A64" s="141" t="str">
        <f t="shared" si="3"/>
        <v/>
      </c>
      <c r="B64" s="222" t="str">
        <f>IF($AB$55="N",IF($B$13&gt;=50,50,IF($B63=$B$13,"",IF($B63="","",$B$13))),IF(OR($AB64="",$AB64&gt;$B$13),"",$AB64))</f>
        <v/>
      </c>
      <c r="C64" s="234" t="str">
        <f t="shared" si="4"/>
        <v/>
      </c>
      <c r="D64" s="222" t="str">
        <f t="shared" si="0"/>
        <v/>
      </c>
      <c r="E64" s="234" t="str">
        <f t="shared" si="5"/>
        <v/>
      </c>
      <c r="F64" s="222" t="str">
        <f t="shared" si="1"/>
        <v/>
      </c>
      <c r="G64" s="222" t="str">
        <f t="shared" si="2"/>
        <v/>
      </c>
      <c r="AB64" s="267"/>
    </row>
    <row r="65" spans="1:30">
      <c r="A65" s="141" t="str">
        <f t="shared" si="3"/>
        <v/>
      </c>
      <c r="B65" s="222" t="str">
        <f>IF($AB$55="N",IF($B$13&gt;=55,55,IF($B64=$B$13,"",IF($B64="","",$B$13))),IF(OR($AB65="",$AB65&gt;$B$13),"",$AB65))</f>
        <v/>
      </c>
      <c r="C65" s="234" t="str">
        <f t="shared" si="4"/>
        <v/>
      </c>
      <c r="D65" s="222" t="str">
        <f t="shared" si="0"/>
        <v/>
      </c>
      <c r="E65" s="234" t="str">
        <f t="shared" si="5"/>
        <v/>
      </c>
      <c r="F65" s="222" t="str">
        <f t="shared" si="1"/>
        <v/>
      </c>
      <c r="G65" s="222" t="str">
        <f t="shared" si="2"/>
        <v/>
      </c>
      <c r="AB65" s="267"/>
    </row>
    <row r="66" spans="1:30">
      <c r="A66" s="141" t="str">
        <f t="shared" si="3"/>
        <v/>
      </c>
      <c r="B66" s="222" t="str">
        <f>IF($AB$55="N",IF($B$13&gt;=60,60,IF($B65=$B$13,"",IF($B65="","",$B$13))),IF(OR($AB66="",$AB66&gt;$B$13),"",$AB66))</f>
        <v/>
      </c>
      <c r="C66" s="234" t="str">
        <f t="shared" si="4"/>
        <v/>
      </c>
      <c r="D66" s="222" t="str">
        <f t="shared" si="0"/>
        <v/>
      </c>
      <c r="E66" s="234" t="str">
        <f t="shared" si="5"/>
        <v/>
      </c>
      <c r="F66" s="222" t="str">
        <f t="shared" si="1"/>
        <v/>
      </c>
      <c r="G66" s="222" t="str">
        <f t="shared" si="2"/>
        <v/>
      </c>
      <c r="AB66" s="267"/>
    </row>
    <row r="67" spans="1:30">
      <c r="A67" s="141" t="str">
        <f t="shared" si="3"/>
        <v/>
      </c>
      <c r="B67" s="222" t="str">
        <f>IF($AB$55="N",IF($B$13&gt;=70,70,IF($B66=$B$13,"",IF($B66="","",$B$13))),IF(OR($AB67="",$AB67&gt;$B$13),"",$AB67))</f>
        <v/>
      </c>
      <c r="C67" s="234" t="str">
        <f t="shared" si="4"/>
        <v/>
      </c>
      <c r="D67" s="222" t="str">
        <f t="shared" si="0"/>
        <v/>
      </c>
      <c r="E67" s="234" t="str">
        <f t="shared" si="5"/>
        <v/>
      </c>
      <c r="F67" s="222" t="str">
        <f t="shared" si="1"/>
        <v/>
      </c>
      <c r="G67" s="222" t="str">
        <f t="shared" si="2"/>
        <v/>
      </c>
      <c r="AB67" s="267"/>
    </row>
    <row r="68" spans="1:30">
      <c r="A68" s="141" t="str">
        <f t="shared" si="3"/>
        <v/>
      </c>
      <c r="B68" s="222" t="str">
        <f>IF($AB$55="N",IF($B$13&gt;=80,80,IF($B67=$B$13,"",IF($B67="","",$B$13))),IF(OR($AB68="",$AB68&gt;$B$13),"",$AB68))</f>
        <v/>
      </c>
      <c r="C68" s="234" t="str">
        <f t="shared" si="4"/>
        <v/>
      </c>
      <c r="D68" s="222" t="str">
        <f t="shared" si="0"/>
        <v/>
      </c>
      <c r="E68" s="234" t="str">
        <f t="shared" si="5"/>
        <v/>
      </c>
      <c r="F68" s="222" t="str">
        <f t="shared" si="1"/>
        <v/>
      </c>
      <c r="G68" s="222" t="str">
        <f t="shared" si="2"/>
        <v/>
      </c>
      <c r="AB68" s="267"/>
    </row>
    <row r="69" spans="1:30">
      <c r="A69" s="141" t="str">
        <f t="shared" si="3"/>
        <v/>
      </c>
      <c r="B69" s="222" t="str">
        <f>IF($AB$55="N",IF($B$13&gt;=90,90,IF($B68=$B$13,"",IF($B68="","",$B$13))),IF(OR($AB69="",$AB69&gt;$B$13),"",$AB69))</f>
        <v/>
      </c>
      <c r="C69" s="234" t="str">
        <f t="shared" si="4"/>
        <v/>
      </c>
      <c r="D69" s="222" t="str">
        <f t="shared" si="0"/>
        <v/>
      </c>
      <c r="E69" s="234" t="str">
        <f t="shared" si="5"/>
        <v/>
      </c>
      <c r="F69" s="222" t="str">
        <f t="shared" si="1"/>
        <v/>
      </c>
      <c r="G69" s="222" t="str">
        <f t="shared" si="2"/>
        <v/>
      </c>
      <c r="AB69" s="267"/>
    </row>
    <row r="70" spans="1:30">
      <c r="A70" s="141" t="str">
        <f t="shared" si="3"/>
        <v/>
      </c>
      <c r="B70" s="222" t="str">
        <f>IF($AB$55="N",IF($B$13&gt;=100,100,IF($B69=$B$13,"",IF($B69="","",$B$13))),IF(OR($AB70="",$AB70&gt;$B$13),"",$AB70))</f>
        <v/>
      </c>
      <c r="C70" s="234" t="str">
        <f t="shared" si="4"/>
        <v/>
      </c>
      <c r="D70" s="222" t="str">
        <f t="shared" si="0"/>
        <v/>
      </c>
      <c r="E70" s="234" t="str">
        <f t="shared" si="5"/>
        <v/>
      </c>
      <c r="F70" s="222" t="str">
        <f t="shared" si="1"/>
        <v/>
      </c>
      <c r="G70" s="222" t="str">
        <f t="shared" si="2"/>
        <v/>
      </c>
      <c r="AB70" s="267"/>
    </row>
    <row r="71" spans="1:30">
      <c r="A71" s="141" t="str">
        <f t="shared" si="3"/>
        <v/>
      </c>
      <c r="B71" s="222" t="str">
        <f>IF($AB$55="N",IF($B$13&gt;=120,120,IF($B70=$B$13,"",IF($B70="","",$B$13))),IF(OR($AB71="",$AB71&gt;$B$13),"",$AB71))</f>
        <v/>
      </c>
      <c r="C71" s="234" t="str">
        <f t="shared" si="4"/>
        <v/>
      </c>
      <c r="D71" s="222" t="str">
        <f t="shared" si="0"/>
        <v/>
      </c>
      <c r="E71" s="234" t="str">
        <f t="shared" si="5"/>
        <v/>
      </c>
      <c r="F71" s="222" t="str">
        <f t="shared" si="1"/>
        <v/>
      </c>
      <c r="G71" s="222" t="str">
        <f t="shared" si="2"/>
        <v/>
      </c>
      <c r="AB71" s="267"/>
    </row>
    <row r="72" spans="1:30">
      <c r="A72" s="141" t="str">
        <f t="shared" si="3"/>
        <v/>
      </c>
      <c r="B72" s="222" t="str">
        <f>IF($AB$55="N",IF($B$13&gt;=140,140,IF($B71=$B$13,"",IF($B71="","",$B$13))),IF(OR($AB72="",$AB72&gt;$B$13),"",$AB72))</f>
        <v/>
      </c>
      <c r="C72" s="234" t="str">
        <f t="shared" si="4"/>
        <v/>
      </c>
      <c r="D72" s="222" t="str">
        <f t="shared" si="0"/>
        <v/>
      </c>
      <c r="E72" s="234" t="str">
        <f t="shared" si="5"/>
        <v/>
      </c>
      <c r="F72" s="222" t="str">
        <f t="shared" si="1"/>
        <v/>
      </c>
      <c r="G72" s="222" t="str">
        <f t="shared" si="2"/>
        <v/>
      </c>
      <c r="AB72" s="267"/>
    </row>
    <row r="73" spans="1:30">
      <c r="A73" s="141" t="str">
        <f t="shared" si="3"/>
        <v/>
      </c>
      <c r="B73" s="222" t="str">
        <f>IF($AB$55="N",IF($B$13&gt;=160,160,IF($B72=$B$13,"",IF($B72="","",$B$13))),IF(OR($AB73="",$AB73&gt;$B$13),"",$AB73))</f>
        <v/>
      </c>
      <c r="C73" s="234" t="str">
        <f t="shared" si="4"/>
        <v/>
      </c>
      <c r="D73" s="222" t="str">
        <f t="shared" si="0"/>
        <v/>
      </c>
      <c r="E73" s="234" t="str">
        <f t="shared" si="5"/>
        <v/>
      </c>
      <c r="F73" s="222" t="str">
        <f t="shared" si="1"/>
        <v/>
      </c>
      <c r="G73" s="222" t="str">
        <f t="shared" si="2"/>
        <v/>
      </c>
      <c r="AB73" s="267"/>
    </row>
    <row r="74" spans="1:30">
      <c r="A74" s="141" t="str">
        <f t="shared" si="3"/>
        <v/>
      </c>
      <c r="B74" s="222" t="str">
        <f>IF($AB$55="N",IF($B$13&gt;=180,180,IF($B73=$B$13,"",IF($B73="","",$B$13))),IF(OR($AB74="",$AB74&gt;$B$13),"",$AB74))</f>
        <v/>
      </c>
      <c r="C74" s="234" t="str">
        <f t="shared" si="4"/>
        <v/>
      </c>
      <c r="D74" s="222" t="str">
        <f t="shared" si="0"/>
        <v/>
      </c>
      <c r="E74" s="234" t="str">
        <f t="shared" si="5"/>
        <v/>
      </c>
      <c r="F74" s="222" t="str">
        <f t="shared" si="1"/>
        <v/>
      </c>
      <c r="G74" s="222" t="str">
        <f t="shared" si="2"/>
        <v/>
      </c>
      <c r="AB74" s="267"/>
    </row>
    <row r="75" spans="1:30">
      <c r="A75" s="141" t="str">
        <f t="shared" si="3"/>
        <v/>
      </c>
      <c r="B75" s="222" t="str">
        <f>IF($AB$55="N",IF($B$13&gt;=200,200,IF($B74=$B$13,"",IF($B74="","",$B$13))),IF(OR($AB75="",$AB75&gt;$B$13),"",$AB75))</f>
        <v/>
      </c>
      <c r="C75" s="234" t="str">
        <f t="shared" si="4"/>
        <v/>
      </c>
      <c r="D75" s="222" t="str">
        <f t="shared" si="0"/>
        <v/>
      </c>
      <c r="E75" s="234" t="str">
        <f t="shared" si="5"/>
        <v/>
      </c>
      <c r="F75" s="222" t="str">
        <f t="shared" si="1"/>
        <v/>
      </c>
      <c r="G75" s="222" t="str">
        <f t="shared" si="2"/>
        <v/>
      </c>
      <c r="AB75" s="267"/>
    </row>
    <row r="76" spans="1:30">
      <c r="A76" s="141" t="str">
        <f t="shared" si="3"/>
        <v/>
      </c>
      <c r="B76" s="222" t="str">
        <f>IF($AB$55="N",IF($B$13&gt;=250,250,IF($B75=$B$13,"",IF($B75="","",$B$13))),IF(OR($AB76="",$AB76&gt;$B$13),"",$AB76))</f>
        <v/>
      </c>
      <c r="C76" s="234" t="str">
        <f t="shared" si="4"/>
        <v/>
      </c>
      <c r="D76" s="222" t="str">
        <f t="shared" si="0"/>
        <v/>
      </c>
      <c r="E76" s="234" t="str">
        <f t="shared" si="5"/>
        <v/>
      </c>
      <c r="F76" s="222" t="str">
        <f t="shared" si="1"/>
        <v/>
      </c>
      <c r="G76" s="222" t="str">
        <f t="shared" si="2"/>
        <v/>
      </c>
      <c r="AB76" s="267"/>
    </row>
    <row r="77" spans="1:30">
      <c r="A77" s="141" t="str">
        <f t="shared" si="3"/>
        <v/>
      </c>
      <c r="B77" s="222" t="str">
        <f>IF($AB$55="N",IF($B$13&gt;=300,300,IF($B76=$B$13,"",IF($B76="","",$B$13))),IF(OR($AB77="",$AB77&gt;$B$13),"",$AB77))</f>
        <v/>
      </c>
      <c r="C77" s="234" t="str">
        <f t="shared" si="4"/>
        <v/>
      </c>
      <c r="D77" s="222" t="str">
        <f t="shared" si="0"/>
        <v/>
      </c>
      <c r="E77" s="234" t="str">
        <f t="shared" si="5"/>
        <v/>
      </c>
      <c r="F77" s="222" t="str">
        <f t="shared" si="1"/>
        <v/>
      </c>
      <c r="G77" s="222" t="str">
        <f t="shared" si="2"/>
        <v/>
      </c>
      <c r="AB77" s="267"/>
    </row>
    <row r="78" spans="1:30">
      <c r="A78" s="141" t="str">
        <f t="shared" si="3"/>
        <v/>
      </c>
      <c r="B78" s="222" t="str">
        <f>IF($AB$55="N",IF($B$13&gt;=350,350,IF($B77=$B$13,"",IF($B77="","",$B$13))),IF(OR($AB78="",$AB78&gt;$B$13),"",$AB78))</f>
        <v/>
      </c>
      <c r="C78" s="234" t="str">
        <f t="shared" si="4"/>
        <v/>
      </c>
      <c r="D78" s="222" t="str">
        <f t="shared" si="0"/>
        <v/>
      </c>
      <c r="E78" s="234" t="str">
        <f t="shared" si="5"/>
        <v/>
      </c>
      <c r="F78" s="222" t="str">
        <f t="shared" si="1"/>
        <v/>
      </c>
      <c r="G78" s="222" t="str">
        <f t="shared" si="2"/>
        <v/>
      </c>
      <c r="AB78" s="267"/>
    </row>
    <row r="79" spans="1:30">
      <c r="A79" s="141" t="str">
        <f t="shared" si="3"/>
        <v/>
      </c>
      <c r="B79" s="222" t="str">
        <f>IF($AB$55="N",IF($B$13&gt;=400,400,IF($B78=$B$13,"",IF($B78="","",$B$13))),IF(OR($AB79="",$AB79&gt;$B$13),"",$AB79))</f>
        <v/>
      </c>
      <c r="C79" s="234" t="str">
        <f t="shared" si="4"/>
        <v/>
      </c>
      <c r="D79" s="222" t="str">
        <f t="shared" si="0"/>
        <v/>
      </c>
      <c r="E79" s="234" t="str">
        <f t="shared" si="5"/>
        <v/>
      </c>
      <c r="F79" s="222" t="str">
        <f t="shared" si="1"/>
        <v/>
      </c>
      <c r="G79" s="222" t="str">
        <f t="shared" si="2"/>
        <v/>
      </c>
      <c r="AB79" s="267"/>
      <c r="AC79" s="171"/>
      <c r="AD79" s="171"/>
    </row>
    <row r="80" spans="1:30">
      <c r="A80" s="141" t="str">
        <f t="shared" si="3"/>
        <v/>
      </c>
      <c r="B80" s="222" t="str">
        <f>IF($AB$55="N",IF($B$13&gt;=450,450,IF($B79=$B$13,"",IF($B79="","",$B$13))),IF(OR($AB80="",$AB80&gt;$B$13),"",$AB80))</f>
        <v/>
      </c>
      <c r="C80" s="234" t="str">
        <f t="shared" si="4"/>
        <v/>
      </c>
      <c r="D80" s="222" t="str">
        <f t="shared" si="0"/>
        <v/>
      </c>
      <c r="E80" s="234" t="str">
        <f t="shared" si="5"/>
        <v/>
      </c>
      <c r="F80" s="222" t="str">
        <f t="shared" si="1"/>
        <v/>
      </c>
      <c r="G80" s="222" t="str">
        <f t="shared" si="2"/>
        <v/>
      </c>
      <c r="AB80" s="267"/>
      <c r="AC80" s="171"/>
      <c r="AD80" s="171"/>
    </row>
    <row r="81" spans="1:30">
      <c r="A81" s="141" t="str">
        <f t="shared" si="3"/>
        <v/>
      </c>
      <c r="B81" s="222" t="str">
        <f>IF($AB$55="N",IF($B$13&gt;=500,500,IF($B80=$B$13,"",IF($B80="","",$B$13))),IF(OR($AB81="",$AB81&gt;$B$13),"",$AB81))</f>
        <v/>
      </c>
      <c r="C81" s="234" t="str">
        <f t="shared" si="4"/>
        <v/>
      </c>
      <c r="D81" s="222" t="str">
        <f t="shared" si="0"/>
        <v/>
      </c>
      <c r="E81" s="234" t="str">
        <f t="shared" si="5"/>
        <v/>
      </c>
      <c r="F81" s="222" t="str">
        <f t="shared" si="1"/>
        <v/>
      </c>
      <c r="G81" s="222" t="str">
        <f t="shared" si="2"/>
        <v/>
      </c>
      <c r="AB81" s="342"/>
      <c r="AC81" s="171"/>
      <c r="AD81" s="171"/>
    </row>
    <row r="82" spans="1:30">
      <c r="A82" s="141" t="s">
        <v>361</v>
      </c>
      <c r="B82" s="222">
        <f>$B$14</f>
        <v>25</v>
      </c>
      <c r="C82" s="234">
        <f t="shared" si="4"/>
        <v>0.66503027728092101</v>
      </c>
      <c r="D82" s="222">
        <f t="shared" si="0"/>
        <v>24.456089428839501</v>
      </c>
      <c r="E82" s="234">
        <f t="shared" si="5"/>
        <v>0.8</v>
      </c>
      <c r="F82" s="222">
        <f t="shared" si="1"/>
        <v>11.885375210855734</v>
      </c>
      <c r="G82" s="222">
        <f t="shared" si="2"/>
        <v>21.374906412365988</v>
      </c>
      <c r="AC82" s="171"/>
      <c r="AD82" s="171"/>
    </row>
    <row r="83" spans="1:30">
      <c r="A83" s="141" t="s">
        <v>362</v>
      </c>
      <c r="B83" s="223">
        <f>$B$29</f>
        <v>32.5</v>
      </c>
      <c r="C83" s="235">
        <f t="shared" si="4"/>
        <v>0.71679779664886523</v>
      </c>
      <c r="D83" s="223">
        <f t="shared" si="0"/>
        <v>26.359808893084033</v>
      </c>
      <c r="E83" s="235">
        <f t="shared" si="5"/>
        <v>0.8</v>
      </c>
      <c r="F83" s="223">
        <f t="shared" si="1"/>
        <v>13.179904446542015</v>
      </c>
      <c r="G83" s="223">
        <f t="shared" si="2"/>
        <v>22.669435648052268</v>
      </c>
    </row>
    <row r="84" spans="1:30">
      <c r="A84" s="142" t="s">
        <v>172</v>
      </c>
      <c r="B84" s="174" t="s">
        <v>167</v>
      </c>
      <c r="C84" s="143" t="s">
        <v>173</v>
      </c>
      <c r="D84" s="144" t="s">
        <v>173</v>
      </c>
      <c r="E84" s="115">
        <f>$B$31</f>
        <v>-0.5</v>
      </c>
      <c r="F84" s="115">
        <f>$L$36*$B$152*$E84-$L$36*$L$29</f>
        <v>-15.947684380315838</v>
      </c>
      <c r="G84" s="86">
        <f>$L$36*$B$152*$E84-$L$36*$L$30</f>
        <v>-6.4581531788055875</v>
      </c>
    </row>
    <row r="85" spans="1:30">
      <c r="A85" s="81" t="s">
        <v>166</v>
      </c>
      <c r="B85" s="175" t="s">
        <v>167</v>
      </c>
      <c r="C85" s="177" t="s">
        <v>173</v>
      </c>
      <c r="D85" s="176" t="s">
        <v>173</v>
      </c>
      <c r="E85" s="172">
        <f>$B$32</f>
        <v>-0.7</v>
      </c>
      <c r="F85" s="172">
        <f>$L$36*$B$152*$E85-$L$36*$L$29</f>
        <v>-20.428851892140123</v>
      </c>
      <c r="G85" s="84">
        <f>$L$36*$B$152*$E85-$L$36*$L$30</f>
        <v>-10.93932069062987</v>
      </c>
    </row>
    <row r="86" spans="1:30">
      <c r="A86" s="330" t="str">
        <f>IF($B$9="Normal",IF($B$28&lt;10,"Roof (zone #1) cond. 1","Roof (windward) cond. 1"),"Roof (zone #1) cond. 1")</f>
        <v>Roof (windward) cond. 1</v>
      </c>
      <c r="B86" s="244" t="s">
        <v>173</v>
      </c>
      <c r="C86" s="244" t="s">
        <v>173</v>
      </c>
      <c r="D86" s="244" t="s">
        <v>173</v>
      </c>
      <c r="E86" s="219">
        <f>IF($B$9="Normal",IF($B$28&lt;10,$L$23,$L$20),$P$23)</f>
        <v>0</v>
      </c>
      <c r="F86" s="224">
        <f>$L$36*$B$152*$E86-$L$36*$L$29</f>
        <v>-4.7447656007551258</v>
      </c>
      <c r="G86" s="224">
        <f>$L$36*$B$152*$E86-$L$36*$L$30</f>
        <v>4.7447656007551258</v>
      </c>
      <c r="H86" s="327"/>
    </row>
    <row r="87" spans="1:30">
      <c r="A87" s="331" t="str">
        <f>IF($B$9="Normal",IF($B$28&lt;10,"Roof (zone #1) cond. 2",""),"Roof (zone #1) cond. 2")</f>
        <v/>
      </c>
      <c r="B87" s="229" t="str">
        <f>IF($B$9="Normal",IF($B$28&lt;10,"-",""),"-")</f>
        <v/>
      </c>
      <c r="C87" s="229" t="str">
        <f>IF($B$9="Normal",IF($B$28&lt;10,"-",""),"-")</f>
        <v/>
      </c>
      <c r="D87" s="229" t="str">
        <f>IF($B$9="Normal",IF($B$28&lt;10,"-",""),"-")</f>
        <v/>
      </c>
      <c r="E87" s="229" t="str">
        <f>IF($B$9="Normal",IF($B$28&lt;10,$M$23,""),$Q$23)</f>
        <v/>
      </c>
      <c r="F87" s="229" t="str">
        <f>IF($E87="","",$L$36*$B$152*$E87-$L$36*$L$29)</f>
        <v/>
      </c>
      <c r="G87" s="229" t="str">
        <f>IF($E87="","",$L$36*$B$152*$E87-$L$36*$L$30)</f>
        <v/>
      </c>
      <c r="H87" s="327"/>
    </row>
    <row r="88" spans="1:30">
      <c r="A88" s="331" t="str">
        <f>IF($B$9="Normal",IF($B$28&lt;10,IF($L$5&gt;$B$29/2,"Roof (zone #2) cond. 1",""),"Roof (windward) cond. 2"),IF($L$5&gt;$B$29/2,"Roof (zone #2) cond. 1",""))</f>
        <v>Roof (windward) cond. 2</v>
      </c>
      <c r="B88" s="245" t="str">
        <f t="shared" ref="B88:D89" si="6">IF($L$5&gt;$B$29/2,"-","")</f>
        <v>-</v>
      </c>
      <c r="C88" s="245" t="str">
        <f t="shared" si="6"/>
        <v>-</v>
      </c>
      <c r="D88" s="245" t="str">
        <f t="shared" si="6"/>
        <v>-</v>
      </c>
      <c r="E88" s="225">
        <f>IF($B$34="N.A.","",IF($B$9="Normal",IF($B$28&lt;10,$L$24,$M$20),$P$24))</f>
        <v>0</v>
      </c>
      <c r="F88" s="229">
        <f>IF($B$34="N.A.","",IF($B$9="Normal",IF($L$5&gt;$B$29/2,$L$36*$B$152*$E88-$L$36*$L$29,""),$L$36*$B$152*$E88-$L$36*$L$29))</f>
        <v>-4.7447656007551258</v>
      </c>
      <c r="G88" s="229">
        <f>IF($B$34="N.A.","",IF($B$9="Normal",IF($L$5&gt;$B$29/2,$L$36*$B$152*$E88-$L$36*$L$30,""),$L$36*$B$152*$E88-$L$36*$L$30))</f>
        <v>4.7447656007551258</v>
      </c>
      <c r="H88" s="327"/>
    </row>
    <row r="89" spans="1:30">
      <c r="A89" s="331" t="str">
        <f>IF($B$9="Normal",IF($B$28&lt;10,IF($L$5&gt;$B$29/2,"Roof (zone #2) cond. 2",""),""),IF($L$5&gt;$B$29/2,"Roof (zone #2) cond. 2",""))</f>
        <v/>
      </c>
      <c r="B89" s="245" t="str">
        <f t="shared" si="6"/>
        <v>-</v>
      </c>
      <c r="C89" s="245" t="str">
        <f t="shared" si="6"/>
        <v>-</v>
      </c>
      <c r="D89" s="245" t="str">
        <f t="shared" si="6"/>
        <v>-</v>
      </c>
      <c r="E89" s="229" t="str">
        <f>IF($B$34="N.A.","",IF($B$9="Normal",IF($B$28&lt;10,$M$24,""),$Q$24))</f>
        <v/>
      </c>
      <c r="F89" s="229" t="str">
        <f>IF($E89="","",IF($B$34="N.A.","",IF($B$9="Normal",IF($L$5&gt;$B$29/2,$L$36*$B$152*$E89-$L$36*$L$29,""),$L$36*$B$152*$E89-$L$36*$L$29)))</f>
        <v/>
      </c>
      <c r="G89" s="229" t="str">
        <f>IF($E89="","",IF($B$34="N.A.","",IF($B$9="Normal",IF($L$5&gt;$B$29/2,$L$36*$B$152*$E89-$L$36*$L$30,""),$L$36*$B$152*$E89-$L$36*$L$30)))</f>
        <v/>
      </c>
      <c r="H89" s="327"/>
    </row>
    <row r="90" spans="1:30">
      <c r="A90" s="331" t="str">
        <f>IF($B$9="Normal",IF($B$28&lt;10,IF($L$5&gt;$B$29,"Roof (zone #3) cond. 1",""),"Roof (leeward)"),IF($L$5&gt;$B$29,"Roof (zone #3) cond. 1",""))</f>
        <v>Roof (leeward)</v>
      </c>
      <c r="B90" s="245" t="str">
        <f t="shared" ref="B90:D91" si="7">IF($B$28&lt;10,IF($L$5&gt;$B$29,"-",""),"-")</f>
        <v>-</v>
      </c>
      <c r="C90" s="245" t="str">
        <f t="shared" si="7"/>
        <v>-</v>
      </c>
      <c r="D90" s="245" t="str">
        <f t="shared" si="7"/>
        <v>-</v>
      </c>
      <c r="E90" s="225">
        <f>IF($B$35="N.A.","",IF($B$9="Normal",IF($B$28&lt;10,$L$25,$P$20),$P$25))</f>
        <v>-0.6</v>
      </c>
      <c r="F90" s="229">
        <f>IF($B$35="N.A.","",IF($B$9="Normal",IF($B$28&lt;10,IF($L$5&gt;$B$29,$L$36*$B$152*$E90-$L$36*$L$29,""),$L$36*$B$152*$E90-$L$36*$L$29),$L$36*$B$152*$E90-$L$36*$L$29))</f>
        <v>-18.188268136227983</v>
      </c>
      <c r="G90" s="229">
        <f>IF($B$35="N.A.","",IF($B$9="Normal",IF($B$28&lt;10,IF($L$5&gt;$B$29,$L$36*$B$152*$E90-$L$36*$L$30,""),$L$36*$B$152*$E90-$L$36*$L$30),$L$36*$B$152*$E90-$L$36*$L$30))</f>
        <v>-8.6987369347177292</v>
      </c>
    </row>
    <row r="91" spans="1:30">
      <c r="A91" s="331" t="str">
        <f>IF($B$9="Normal",IF($B$28&lt;10,IF($L$5&gt;$B$29,"Roof (zone #3) cond. 2",""),""),IF($L$5&gt;$B$29,"Roof (zone #3) cond. 2",""))</f>
        <v/>
      </c>
      <c r="B91" s="245" t="str">
        <f t="shared" si="7"/>
        <v>-</v>
      </c>
      <c r="C91" s="245" t="str">
        <f t="shared" si="7"/>
        <v>-</v>
      </c>
      <c r="D91" s="245" t="str">
        <f t="shared" si="7"/>
        <v>-</v>
      </c>
      <c r="E91" s="229" t="str">
        <f>IF($B$35="N.A.","",IF($B$9="Normal",IF($B$28&lt;10,$M$25,""),$Q$25))</f>
        <v/>
      </c>
      <c r="F91" s="229" t="str">
        <f>IF($E91="","",IF($B$35="N.A.","",IF($B$9="Normal",IF($B$28&lt;10,IF($L$5&gt;$B$29,$L$36*$B$152*$E91-$L$36*$L$29,""),$L$36*$B$152*$E91-$L$36*$L$29),$L$36*$B$152*$E91-$L$36*$L$29)))</f>
        <v/>
      </c>
      <c r="G91" s="229" t="str">
        <f>IF($E91="","",IF($B$35="N.A.","",IF($B$9="Normal",IF($B$28&lt;10,IF($L$5&gt;$B$29,$L$36*$B$152*$E91-$L$36*$L$30,""),$L$36*$B$152*$E91-$L$36*$L$30),$L$36*$B$152*$E91-$L$36*$L$30)))</f>
        <v/>
      </c>
    </row>
    <row r="92" spans="1:30">
      <c r="A92" s="331" t="str">
        <f>IF($B$9="Normal",IF($B$28&lt;10,IF($L$5&gt;=2*$B$29,"Roof (zone #4) cond. 1",""),""),IF($L$5&gt;2*$B$29,"Roof (zone #4) cond. 1",""))</f>
        <v/>
      </c>
      <c r="B92" s="245" t="str">
        <f t="shared" ref="B92:D93" si="8">IF($A92="","",IF($B$28&lt;10,IF($L$5&gt;=2*$B$29,"-",""),IF($L$5&gt;2*$B$29,"-","")))</f>
        <v/>
      </c>
      <c r="C92" s="245" t="str">
        <f t="shared" si="8"/>
        <v/>
      </c>
      <c r="D92" s="245" t="str">
        <f t="shared" si="8"/>
        <v/>
      </c>
      <c r="E92" s="225" t="str">
        <f>IF($B$36="N.A.","",IF($B$9="Normal",IF($B$28&lt;10,$L$26,""),$P$26))</f>
        <v/>
      </c>
      <c r="F92" s="229" t="str">
        <f>IF($B$36="N.A.","",IF($B$9="Normal",IF($B$28&lt;10,IF($L$5&gt;=2*$B$29,$L$36*$B$152*$E92-$L$36*$L$29,""),""),$L$36*$B$152*$E92-$L$36*$L$29))</f>
        <v/>
      </c>
      <c r="G92" s="229" t="str">
        <f>IF($B$36="N.A.","",IF($B$9="Normal",IF($B$28&lt;10,IF($L$5&gt;=2*$B$29,$L$36*$B$152*$E92-$L$36*$L$30,""),""),$L$36*$B$152*$E92-$L$36*$L$30))</f>
        <v/>
      </c>
    </row>
    <row r="93" spans="1:30">
      <c r="A93" s="332" t="str">
        <f>IF($B$9="Normal",IF($B$28&lt;10,IF($L$5&gt;=2*$B$29,"Roof (zone #4) cond. 2",""),""),IF($L$5&gt;2*$B$29,"Roof (zone #4) cond. 2",""))</f>
        <v/>
      </c>
      <c r="B93" s="246" t="str">
        <f t="shared" si="8"/>
        <v/>
      </c>
      <c r="C93" s="246" t="str">
        <f t="shared" si="8"/>
        <v/>
      </c>
      <c r="D93" s="246" t="str">
        <f t="shared" si="8"/>
        <v/>
      </c>
      <c r="E93" s="226" t="str">
        <f>IF($B$36="N.A.","",IF($B$9="Normal",IF($B$28&lt;10,$M$26,""),$Q$26))</f>
        <v/>
      </c>
      <c r="F93" s="226" t="str">
        <f>IF($E93="","",IF($B$36="N.A.","",IF($B$9="Normal",IF($B$28&lt;10,IF($L$5&gt;=2*$B$29,$L$36*$B$152*$E93-$L$36*$L$29,""),""),$L$36*$B$152*$E93-$L$36*$L$29)))</f>
        <v/>
      </c>
      <c r="G93" s="226" t="str">
        <f>IF($E93="","",IF($B$36="N.A.","",IF($B$9="Normal",IF($B$28&lt;10,IF($L$5&gt;=2*$B$29,$L$36*$B$152*$E93-$L$36*$L$30,""),""),$L$36*$B$152*$E93-$L$36*$L$30)))</f>
        <v/>
      </c>
    </row>
    <row r="94" spans="1:30">
      <c r="A94" s="63"/>
      <c r="B94" s="64"/>
      <c r="C94" s="64"/>
      <c r="D94" s="64"/>
      <c r="E94" s="64"/>
      <c r="F94" s="64"/>
      <c r="G94" s="69"/>
    </row>
    <row r="95" spans="1:30">
      <c r="A95" s="63" t="s">
        <v>308</v>
      </c>
      <c r="B95" s="64"/>
      <c r="C95" s="64"/>
      <c r="D95" s="64"/>
      <c r="E95" s="64"/>
      <c r="F95" s="64"/>
      <c r="G95" s="69"/>
    </row>
    <row r="96" spans="1:30">
      <c r="A96" s="309" t="s">
        <v>650</v>
      </c>
      <c r="B96" s="64"/>
      <c r="C96" s="64"/>
      <c r="D96" s="64"/>
      <c r="E96" s="64"/>
      <c r="F96" s="64"/>
      <c r="G96" s="69"/>
    </row>
    <row r="97" spans="1:20">
      <c r="A97" s="63"/>
      <c r="B97" s="64"/>
      <c r="C97" s="64"/>
      <c r="D97" s="64"/>
      <c r="E97" s="64"/>
      <c r="F97" s="64"/>
      <c r="G97" s="69"/>
    </row>
    <row r="98" spans="1:20">
      <c r="A98" s="63"/>
      <c r="B98" s="64"/>
      <c r="C98" s="64"/>
      <c r="D98" s="64"/>
      <c r="E98" s="64"/>
      <c r="F98" s="64"/>
      <c r="G98" s="69"/>
    </row>
    <row r="99" spans="1:20">
      <c r="A99" s="108"/>
      <c r="B99" s="105"/>
      <c r="C99" s="64"/>
      <c r="D99" s="64"/>
      <c r="E99" s="64"/>
      <c r="F99" s="64"/>
      <c r="G99" s="69"/>
      <c r="T99" s="26"/>
    </row>
    <row r="100" spans="1:20">
      <c r="A100" s="63" t="str">
        <f>IF($B$9="Normal",IF($B$28&lt;10,"            4. Roof zone #1 is applied for horizontal distance of 0 to h/2 from windward edge.",""),"            4. Roof zone #1 is applied for horizontal distance of 0 to h/2 from windward edge.")</f>
        <v/>
      </c>
      <c r="B100" s="64"/>
      <c r="C100" s="64"/>
      <c r="D100" s="64"/>
      <c r="E100" s="64"/>
      <c r="F100" s="64"/>
      <c r="G100" s="69"/>
      <c r="T100" s="26"/>
    </row>
    <row r="101" spans="1:20">
      <c r="A101" s="63" t="str">
        <f>IF($B$9="Normal",IF($B$28&lt;10,IF($L$5&gt;$B$29/2,"            5. Roof zone #2 is applied for horizontal distance of h/2 to h from windward edge.",""),""),IF($L$5&gt;$B$29/2,"            5. Roof zone #2 is applied for horizontal distance of h/2 to h from windward edge.",""))</f>
        <v/>
      </c>
      <c r="B101" s="64"/>
      <c r="C101" s="64"/>
      <c r="D101" s="64"/>
      <c r="E101" s="64"/>
      <c r="F101" s="64"/>
      <c r="G101" s="69"/>
      <c r="T101" s="26"/>
    </row>
    <row r="102" spans="1:20">
      <c r="A102" s="63" t="str">
        <f>IF($B$9="Normal",IF($B$28&lt;10,IF($L$5&gt;$B$29,"            6. Roof zone #3 is applied for horizontal distance of h to 2*h from windward edge.",""),""),IF($L$5&gt;$B$29,"            6. Roof zone #3 is applied for horizontal distance of h to 2*h from windward edge.",""))</f>
        <v/>
      </c>
      <c r="B102" s="64"/>
      <c r="C102" s="64"/>
      <c r="D102" s="64"/>
      <c r="E102" s="64"/>
      <c r="F102" s="64"/>
      <c r="G102" s="69"/>
      <c r="T102" s="26"/>
    </row>
    <row r="103" spans="1:20">
      <c r="A103" s="63" t="str">
        <f>IF($B$9="Normal",IF($B$28&lt;10,IF($L$5&gt;2*$B$29,"            7. Roof zone #4 is applied for horizontal distance of &gt;  2*h from windward edge.",""),""),IF($L$5&gt;2*$B$29,"            7. Roof zone #4 is applied for horizontal distance of &gt; 2*h from windward edge.",""))</f>
        <v/>
      </c>
      <c r="B103" s="64"/>
      <c r="C103" s="64"/>
      <c r="D103" s="64"/>
      <c r="E103" s="64"/>
      <c r="F103" s="64"/>
      <c r="G103" s="69"/>
      <c r="T103" s="26"/>
    </row>
    <row r="104" spans="1:20">
      <c r="A104" s="88"/>
      <c r="B104" s="73"/>
      <c r="C104" s="73"/>
      <c r="D104" s="73"/>
      <c r="E104" s="73"/>
      <c r="F104" s="73"/>
      <c r="G104" s="89"/>
      <c r="T104" s="26"/>
    </row>
    <row r="105" spans="1:20">
      <c r="A105" s="120"/>
      <c r="B105" s="121"/>
      <c r="C105" s="121"/>
      <c r="D105" s="121"/>
      <c r="E105" s="121"/>
      <c r="F105" s="259"/>
      <c r="G105" s="254"/>
      <c r="T105" s="26"/>
    </row>
    <row r="106" spans="1:20">
      <c r="A106" s="65" t="s">
        <v>334</v>
      </c>
      <c r="B106" s="64"/>
      <c r="C106" s="64"/>
      <c r="D106" s="64"/>
      <c r="E106" s="64"/>
      <c r="F106" s="57"/>
      <c r="G106" s="255"/>
      <c r="T106" s="26"/>
    </row>
    <row r="107" spans="1:20">
      <c r="A107" s="63"/>
      <c r="B107" s="64"/>
      <c r="C107" s="64"/>
      <c r="D107" s="64"/>
      <c r="E107" s="64"/>
      <c r="F107" s="57"/>
      <c r="G107" s="260"/>
      <c r="T107" s="26"/>
    </row>
    <row r="108" spans="1:20">
      <c r="A108" s="68" t="s">
        <v>440</v>
      </c>
      <c r="B108" s="67" t="str">
        <f>IF($B$139&lt;1,"Yes","No")</f>
        <v>No</v>
      </c>
      <c r="C108" s="145" t="str">
        <f>IF($B$139&gt;=1,"f &gt;=1 Hz.","f &lt; 1 Hz.")</f>
        <v>f &gt;=1 Hz.</v>
      </c>
      <c r="D108" s="64"/>
      <c r="E108" s="64"/>
      <c r="F108" s="64"/>
      <c r="G108" s="69"/>
      <c r="T108" s="26"/>
    </row>
    <row r="109" spans="1:20">
      <c r="A109" s="63"/>
      <c r="B109" s="64"/>
      <c r="C109" s="64"/>
      <c r="D109" s="64"/>
      <c r="E109" s="83"/>
      <c r="F109" s="146"/>
      <c r="G109" s="69"/>
      <c r="T109" s="26"/>
    </row>
    <row r="110" spans="1:20">
      <c r="A110" s="147" t="s">
        <v>375</v>
      </c>
      <c r="B110" s="64"/>
      <c r="C110" s="92"/>
      <c r="D110" s="64"/>
      <c r="E110" s="83"/>
      <c r="F110" s="146"/>
      <c r="G110" s="69"/>
      <c r="T110" s="26"/>
    </row>
    <row r="111" spans="1:20">
      <c r="A111" s="68" t="s">
        <v>254</v>
      </c>
      <c r="B111" s="136">
        <f>IF($B$108="No",0.85,"N.A.")</f>
        <v>0.85</v>
      </c>
      <c r="C111" s="64"/>
      <c r="D111" s="64"/>
      <c r="E111" s="64"/>
      <c r="F111" s="64"/>
      <c r="G111" s="69"/>
      <c r="T111" s="26"/>
    </row>
    <row r="112" spans="1:20">
      <c r="A112" s="63"/>
      <c r="B112" s="64"/>
      <c r="C112" s="64"/>
      <c r="D112" s="64"/>
      <c r="E112" s="64"/>
      <c r="F112" s="64"/>
      <c r="G112" s="69"/>
      <c r="T112" s="26"/>
    </row>
    <row r="113" spans="1:20">
      <c r="A113" s="63" t="s">
        <v>562</v>
      </c>
      <c r="B113" s="64"/>
      <c r="C113" s="64"/>
      <c r="D113" s="64"/>
      <c r="E113" s="64"/>
      <c r="F113" s="83"/>
      <c r="G113" s="69"/>
      <c r="T113" s="26"/>
    </row>
    <row r="114" spans="1:20">
      <c r="A114" s="148" t="s">
        <v>250</v>
      </c>
      <c r="B114" s="247">
        <f>IF($B$12="B",1/7,IF($B$12="C",1/9.5,IF($B$12="D",1/11.5,"Error!")))</f>
        <v>0.14285714285714285</v>
      </c>
      <c r="C114" s="275"/>
      <c r="D114" s="64"/>
      <c r="E114" s="64"/>
      <c r="F114" s="64"/>
      <c r="G114" s="149"/>
      <c r="T114" s="26"/>
    </row>
    <row r="115" spans="1:20">
      <c r="A115" s="150" t="s">
        <v>251</v>
      </c>
      <c r="B115" s="229">
        <f>IF($B$12="B",0.84,IF($B$12="C",1,IF($B$12="D",1.07,"Error!")))</f>
        <v>0.84</v>
      </c>
      <c r="C115" s="275"/>
      <c r="D115" s="64"/>
      <c r="E115" s="64"/>
      <c r="F115" s="64"/>
      <c r="G115" s="69"/>
      <c r="T115" s="26"/>
    </row>
    <row r="116" spans="1:20">
      <c r="A116" s="148" t="s">
        <v>249</v>
      </c>
      <c r="B116" s="241">
        <f>IF($B$12="B",1/4,IF($B$12="C",1/6.5,IF($B$12="D",1/9,"Error!")))</f>
        <v>0.25</v>
      </c>
      <c r="C116" s="275"/>
      <c r="D116" s="64"/>
      <c r="E116" s="64"/>
      <c r="F116" s="64"/>
      <c r="G116" s="69"/>
      <c r="T116" s="26"/>
    </row>
    <row r="117" spans="1:20">
      <c r="A117" s="150" t="s">
        <v>227</v>
      </c>
      <c r="B117" s="229">
        <f>IF($B$12="B",0.45,IF($B$12="C",0.65,IF($B$12="D",0.8,"Error!")))</f>
        <v>0.45</v>
      </c>
      <c r="C117" s="275"/>
      <c r="D117" s="64"/>
      <c r="E117" s="64"/>
      <c r="F117" s="64"/>
      <c r="G117" s="69"/>
      <c r="T117" s="26"/>
    </row>
    <row r="118" spans="1:20">
      <c r="A118" s="68" t="s">
        <v>229</v>
      </c>
      <c r="B118" s="229">
        <f>IF($B$12="B",0.3,IF($B$12="C",0.2,IF($B$12="D",0.15,"Error!")))</f>
        <v>0.3</v>
      </c>
      <c r="C118" s="275"/>
      <c r="D118" s="64"/>
      <c r="E118" s="64"/>
      <c r="F118" s="64"/>
      <c r="G118" s="69"/>
      <c r="T118" s="26"/>
    </row>
    <row r="119" spans="1:20">
      <c r="A119" s="151" t="s">
        <v>255</v>
      </c>
      <c r="B119" s="228">
        <f>IF($B$12="B",320,IF($B$12="C",500,IF($B$12="D",650,"Error!")))</f>
        <v>320</v>
      </c>
      <c r="C119" s="275" t="s">
        <v>200</v>
      </c>
      <c r="D119" s="152"/>
      <c r="E119" s="153"/>
      <c r="F119" s="64"/>
      <c r="G119" s="69"/>
      <c r="T119" s="26"/>
    </row>
    <row r="120" spans="1:20">
      <c r="A120" s="103" t="s">
        <v>382</v>
      </c>
      <c r="B120" s="241">
        <f>IF($B$12="B",1/3,IF($B$12="C",1/5,IF($B$12="D",1/8,"Error!")))</f>
        <v>0.33333333333333331</v>
      </c>
      <c r="C120" s="275"/>
      <c r="D120" s="64"/>
      <c r="E120" s="64"/>
      <c r="F120" s="64"/>
      <c r="G120" s="69"/>
      <c r="T120" s="26"/>
    </row>
    <row r="121" spans="1:20">
      <c r="A121" s="68" t="s">
        <v>232</v>
      </c>
      <c r="B121" s="248">
        <f>IF($B$12="B",30,IF($B$12="C",15,IF($B$12="D",7,"Error!")))</f>
        <v>30</v>
      </c>
      <c r="C121" s="275" t="s">
        <v>200</v>
      </c>
      <c r="D121" s="64"/>
      <c r="E121" s="64"/>
      <c r="F121" s="64"/>
      <c r="G121" s="69"/>
      <c r="T121" s="26"/>
    </row>
    <row r="122" spans="1:20">
      <c r="A122" s="63"/>
      <c r="B122" s="64"/>
      <c r="C122" s="64"/>
      <c r="D122" s="64"/>
      <c r="E122" s="64"/>
      <c r="F122" s="64"/>
      <c r="G122" s="69"/>
      <c r="T122" s="26"/>
    </row>
    <row r="123" spans="1:20">
      <c r="A123" s="63" t="s">
        <v>445</v>
      </c>
      <c r="B123" s="64"/>
      <c r="C123" s="64"/>
      <c r="D123" s="154"/>
      <c r="E123" s="155"/>
      <c r="F123" s="64"/>
      <c r="G123" s="69"/>
      <c r="T123" s="26"/>
    </row>
    <row r="124" spans="1:20">
      <c r="A124" s="68" t="s">
        <v>234</v>
      </c>
      <c r="B124" s="224">
        <f>IF(0.6*$B$29&lt;$B$121,$B$121,0.6*$B$29)</f>
        <v>30</v>
      </c>
      <c r="C124" s="156" t="s">
        <v>563</v>
      </c>
      <c r="D124" s="83"/>
      <c r="E124" s="153"/>
      <c r="F124" s="64"/>
      <c r="G124" s="69"/>
      <c r="T124" s="26"/>
    </row>
    <row r="125" spans="1:20">
      <c r="A125" s="68" t="s">
        <v>235</v>
      </c>
      <c r="B125" s="241">
        <f>$B$118*(33/$B$124)^(1/6)</f>
        <v>0.30480356033201622</v>
      </c>
      <c r="C125" s="595" t="s">
        <v>564</v>
      </c>
      <c r="D125" s="83"/>
      <c r="E125" s="155"/>
      <c r="F125" s="64"/>
      <c r="G125" s="69"/>
      <c r="T125" s="26"/>
    </row>
    <row r="126" spans="1:20">
      <c r="A126" s="68" t="s">
        <v>237</v>
      </c>
      <c r="B126" s="229">
        <f>$B$119*($B$124/33)^$B$120</f>
        <v>309.99337796846856</v>
      </c>
      <c r="C126" s="595" t="s">
        <v>565</v>
      </c>
      <c r="D126" s="83"/>
      <c r="E126" s="155"/>
      <c r="F126" s="64"/>
      <c r="G126" s="69"/>
      <c r="T126" s="26"/>
    </row>
    <row r="127" spans="1:20">
      <c r="A127" s="68" t="s">
        <v>377</v>
      </c>
      <c r="B127" s="245">
        <v>3.4</v>
      </c>
      <c r="C127" s="64" t="s">
        <v>566</v>
      </c>
      <c r="D127" s="64"/>
      <c r="E127" s="64"/>
      <c r="F127" s="64"/>
      <c r="G127" s="69"/>
      <c r="T127" s="26"/>
    </row>
    <row r="128" spans="1:20">
      <c r="A128" s="68" t="s">
        <v>378</v>
      </c>
      <c r="B128" s="245">
        <v>3.4</v>
      </c>
      <c r="C128" s="64" t="s">
        <v>566</v>
      </c>
      <c r="D128" s="64"/>
      <c r="E128" s="64"/>
      <c r="F128" s="64"/>
      <c r="G128" s="69"/>
      <c r="T128" s="26"/>
    </row>
    <row r="129" spans="1:20">
      <c r="A129" s="68" t="s">
        <v>379</v>
      </c>
      <c r="B129" s="249">
        <f>(2*(LN(3600*$B$139)))^(1/2)+0.577/(2*LN(3600*$B$139))^(1/2)</f>
        <v>4.3626795944943551</v>
      </c>
      <c r="C129" s="596" t="s">
        <v>567</v>
      </c>
      <c r="D129" s="64"/>
      <c r="E129" s="64"/>
      <c r="F129" s="64"/>
      <c r="G129" s="69"/>
      <c r="T129" s="26"/>
    </row>
    <row r="130" spans="1:20">
      <c r="A130" s="68" t="s">
        <v>238</v>
      </c>
      <c r="B130" s="242">
        <f>SQRT(1/(1+0.63*(($L$6+$B$29)/$B$126)^0.63))</f>
        <v>0.89362944738803496</v>
      </c>
      <c r="C130" s="595" t="s">
        <v>568</v>
      </c>
      <c r="D130" s="83"/>
      <c r="E130" s="155"/>
      <c r="F130" s="64"/>
      <c r="G130" s="69"/>
      <c r="T130" s="26"/>
    </row>
    <row r="131" spans="1:20">
      <c r="A131" s="63"/>
      <c r="B131" s="64"/>
      <c r="C131" s="64"/>
      <c r="D131" s="64"/>
      <c r="E131" s="64"/>
      <c r="F131" s="64"/>
      <c r="G131" s="69"/>
      <c r="T131" s="26"/>
    </row>
    <row r="132" spans="1:20">
      <c r="A132" s="122" t="s">
        <v>421</v>
      </c>
      <c r="B132" s="64"/>
      <c r="C132" s="64"/>
      <c r="D132" s="130"/>
      <c r="E132" s="64"/>
      <c r="F132" s="64"/>
      <c r="G132" s="69"/>
      <c r="T132" s="26"/>
    </row>
    <row r="133" spans="1:20">
      <c r="A133" s="68" t="s">
        <v>254</v>
      </c>
      <c r="B133" s="136">
        <f>IF($B$108="No",0.925*((1+1.7*3.4*$B$125*$B$130)/(1+1.7*3.4*$B$125)),"N.A.")</f>
        <v>0.86223401235555663</v>
      </c>
      <c r="C133" s="595" t="s">
        <v>569</v>
      </c>
      <c r="D133" s="127"/>
      <c r="E133" s="157"/>
      <c r="F133" s="129"/>
      <c r="G133" s="69"/>
      <c r="T133" s="26"/>
    </row>
    <row r="134" spans="1:20">
      <c r="A134" s="63"/>
      <c r="B134" s="64"/>
      <c r="C134" s="156"/>
      <c r="D134" s="64"/>
      <c r="E134" s="157"/>
      <c r="F134" s="64"/>
      <c r="G134" s="69"/>
      <c r="T134" s="26"/>
    </row>
    <row r="135" spans="1:20">
      <c r="A135" s="122" t="s">
        <v>376</v>
      </c>
      <c r="B135" s="64"/>
      <c r="C135" s="64"/>
      <c r="D135" s="64"/>
      <c r="E135" s="64"/>
      <c r="F135" s="64"/>
      <c r="G135" s="69"/>
      <c r="T135" s="26"/>
    </row>
    <row r="136" spans="1:20">
      <c r="A136" s="158" t="s">
        <v>253</v>
      </c>
      <c r="B136" s="250">
        <f>$B$22</f>
        <v>0.05</v>
      </c>
      <c r="C136" s="127" t="s">
        <v>337</v>
      </c>
      <c r="D136" s="83"/>
      <c r="E136" s="155"/>
      <c r="F136" s="64"/>
      <c r="G136" s="69"/>
      <c r="H136" s="4"/>
      <c r="I136" s="4"/>
      <c r="T136" s="26"/>
    </row>
    <row r="137" spans="1:20">
      <c r="A137" s="128" t="s">
        <v>248</v>
      </c>
      <c r="B137" s="251">
        <f>$B$23</f>
        <v>3.5000000000000003E-2</v>
      </c>
      <c r="C137" s="127" t="s">
        <v>335</v>
      </c>
      <c r="D137" s="104"/>
      <c r="E137" s="155"/>
      <c r="F137" s="64"/>
      <c r="G137" s="69"/>
      <c r="H137" s="4"/>
      <c r="I137" s="4"/>
      <c r="T137" s="26"/>
    </row>
    <row r="138" spans="1:20">
      <c r="A138" s="68" t="s">
        <v>344</v>
      </c>
      <c r="B138" s="251">
        <f>$B$137*$B$29^(3/4)</f>
        <v>0.47640966673525542</v>
      </c>
      <c r="C138" s="156" t="s">
        <v>61</v>
      </c>
      <c r="D138" s="83"/>
      <c r="E138" s="155"/>
      <c r="F138" s="64"/>
      <c r="G138" s="69"/>
      <c r="H138" s="4"/>
      <c r="I138" s="4"/>
      <c r="T138" s="26"/>
    </row>
    <row r="139" spans="1:20">
      <c r="A139" s="68" t="s">
        <v>336</v>
      </c>
      <c r="B139" s="251">
        <f>1/$B$138</f>
        <v>2.0990338144328793</v>
      </c>
      <c r="C139" s="156" t="s">
        <v>452</v>
      </c>
      <c r="D139" s="83"/>
      <c r="E139" s="155"/>
      <c r="F139" s="64"/>
      <c r="G139" s="69"/>
      <c r="H139" s="4"/>
      <c r="I139" s="4"/>
      <c r="T139" s="26"/>
    </row>
    <row r="140" spans="1:20">
      <c r="A140" s="150" t="s">
        <v>385</v>
      </c>
      <c r="B140" s="229" t="str">
        <f>IF($B$108="Yes",$B$10*5280/3600,"N.A.")</f>
        <v>N.A.</v>
      </c>
      <c r="C140" s="156" t="s">
        <v>383</v>
      </c>
      <c r="D140" s="83"/>
      <c r="E140" s="155"/>
      <c r="F140" s="64"/>
      <c r="G140" s="69"/>
      <c r="H140" s="4"/>
      <c r="I140" s="4"/>
      <c r="T140" s="26"/>
    </row>
    <row r="141" spans="1:20">
      <c r="A141" s="68" t="s">
        <v>228</v>
      </c>
      <c r="B141" s="229" t="str">
        <f>IF($B$108="Yes",$B$117*($B$124/33)^$B$116*$B$140,"N.A.")</f>
        <v>N.A.</v>
      </c>
      <c r="C141" s="595" t="s">
        <v>570</v>
      </c>
      <c r="D141" s="159"/>
      <c r="E141" s="155"/>
      <c r="F141" s="64"/>
      <c r="G141" s="69"/>
      <c r="T141" s="26"/>
    </row>
    <row r="142" spans="1:20">
      <c r="A142" s="68" t="s">
        <v>230</v>
      </c>
      <c r="B142" s="241" t="str">
        <f>IF($B$108="Yes",$B$139*$B$126/$B$141,"N.A.")</f>
        <v>N.A.</v>
      </c>
      <c r="C142" s="595" t="s">
        <v>571</v>
      </c>
      <c r="D142" s="83"/>
      <c r="E142" s="155"/>
      <c r="F142" s="64"/>
      <c r="G142" s="69"/>
      <c r="T142" s="26"/>
    </row>
    <row r="143" spans="1:20">
      <c r="A143" s="68" t="s">
        <v>231</v>
      </c>
      <c r="B143" s="241" t="str">
        <f>IF($B$108="Yes",7.47*$B$142/(1+10.3*$B$142)^(5/3),"N.A.")</f>
        <v>N.A.</v>
      </c>
      <c r="C143" s="595" t="s">
        <v>572</v>
      </c>
      <c r="D143" s="159"/>
      <c r="E143" s="155"/>
      <c r="F143" s="64"/>
      <c r="G143" s="69"/>
      <c r="T143" s="26"/>
    </row>
    <row r="144" spans="1:20">
      <c r="A144" s="103" t="s">
        <v>252</v>
      </c>
      <c r="B144" s="241" t="str">
        <f>IF($B$108="Yes",4.6*$B$139*$B$29/$B$141,"N.A.")</f>
        <v>N.A.</v>
      </c>
      <c r="C144" s="156" t="s">
        <v>365</v>
      </c>
      <c r="D144" s="83"/>
      <c r="E144" s="155"/>
      <c r="F144" s="64"/>
      <c r="G144" s="69"/>
      <c r="T144" s="26"/>
    </row>
    <row r="145" spans="1:20">
      <c r="A145" s="68" t="s">
        <v>233</v>
      </c>
      <c r="B145" s="241" t="str">
        <f>IF($B$108="Yes",IF($B$144&gt;0,1/$B$144-1/(2*$B$144^2)*(1-EXP(-2*$B$144)),1),"N.A.")</f>
        <v>N.A.</v>
      </c>
      <c r="C145" s="617" t="s">
        <v>592</v>
      </c>
      <c r="D145" s="159"/>
      <c r="E145" s="155"/>
      <c r="F145" s="64"/>
      <c r="G145" s="69"/>
      <c r="T145" s="26"/>
    </row>
    <row r="146" spans="1:20">
      <c r="A146" s="103" t="s">
        <v>26</v>
      </c>
      <c r="B146" s="241" t="str">
        <f>IF($B$108="Yes",4.6*$B$139*$L$6/$B$141,"N.A.")</f>
        <v>N.A.</v>
      </c>
      <c r="C146" s="156" t="s">
        <v>394</v>
      </c>
      <c r="D146" s="83"/>
      <c r="E146" s="155"/>
      <c r="F146" s="64"/>
      <c r="G146" s="69"/>
      <c r="T146" s="27"/>
    </row>
    <row r="147" spans="1:20">
      <c r="A147" s="68" t="s">
        <v>381</v>
      </c>
      <c r="B147" s="241" t="str">
        <f>IF($B$108="Yes",IF($B$146&gt;0,1/$B$146-1/(2*$B$146^2)*(1-EXP(-2*$B$146)),1),"N.A.")</f>
        <v>N.A.</v>
      </c>
      <c r="C147" s="617" t="s">
        <v>593</v>
      </c>
      <c r="D147" s="83"/>
      <c r="E147" s="155"/>
      <c r="F147" s="64"/>
      <c r="G147" s="69"/>
      <c r="T147" s="28"/>
    </row>
    <row r="148" spans="1:20">
      <c r="A148" s="103" t="s">
        <v>333</v>
      </c>
      <c r="B148" s="241" t="str">
        <f>IF($B$108="Yes",15.4*$B$139*$L$5/$B$141,"N.A.")</f>
        <v>N.A.</v>
      </c>
      <c r="C148" s="156" t="s">
        <v>450</v>
      </c>
      <c r="D148" s="83"/>
      <c r="E148" s="64"/>
      <c r="F148" s="64"/>
      <c r="G148" s="69"/>
    </row>
    <row r="149" spans="1:20">
      <c r="A149" s="68" t="s">
        <v>380</v>
      </c>
      <c r="B149" s="241" t="str">
        <f>IF($B$108="Yes",IF($B$148&gt;0,1/$B$148-1/(2*$B$148^2)*(1-EXP(-2*$B$148)),1),"N.A.")</f>
        <v>N.A.</v>
      </c>
      <c r="C149" s="617" t="s">
        <v>594</v>
      </c>
      <c r="D149" s="64"/>
      <c r="E149" s="64"/>
      <c r="F149" s="64"/>
      <c r="G149" s="69"/>
      <c r="T149" s="26"/>
    </row>
    <row r="150" spans="1:20">
      <c r="A150" s="68" t="s">
        <v>239</v>
      </c>
      <c r="B150" s="241" t="str">
        <f>IF($B$108="Yes",SQRT(1/$B$136*$B$143*$B$145*$B$147*(0.53+0.47*$B$149)),"N.A.")</f>
        <v>N.A.</v>
      </c>
      <c r="C150" s="595" t="s">
        <v>573</v>
      </c>
      <c r="D150" s="64"/>
      <c r="E150" s="64"/>
      <c r="F150" s="64"/>
      <c r="G150" s="69"/>
      <c r="T150" s="26"/>
    </row>
    <row r="151" spans="1:20">
      <c r="A151" s="68" t="s">
        <v>341</v>
      </c>
      <c r="B151" s="241" t="str">
        <f>IF($B$108="Yes",0.925*(1+1.7*$B$125*($B$127^2*$B$130^2+$B$129^2*$B$150^2)^(1/2))/(1+1.7*$B$128*$B$125),"N.A.")</f>
        <v>N.A.</v>
      </c>
      <c r="C151" s="160" t="s">
        <v>55</v>
      </c>
      <c r="D151" s="64"/>
      <c r="E151" s="64"/>
      <c r="F151" s="64"/>
      <c r="G151" s="69"/>
      <c r="T151" s="26"/>
    </row>
    <row r="152" spans="1:20">
      <c r="A152" s="161" t="s">
        <v>338</v>
      </c>
      <c r="B152" s="242">
        <f>IF($B$108="No",MIN($B$111,$B$133),$B$151)</f>
        <v>0.85</v>
      </c>
      <c r="C152" s="64"/>
      <c r="D152" s="64"/>
      <c r="E152" s="64"/>
      <c r="F152" s="64"/>
      <c r="G152" s="597" t="s">
        <v>574</v>
      </c>
      <c r="T152" s="26"/>
    </row>
    <row r="153" spans="1:20">
      <c r="A153" s="63"/>
      <c r="B153" s="64"/>
      <c r="C153" s="64"/>
      <c r="D153" s="64"/>
      <c r="E153" s="64"/>
      <c r="F153" s="64"/>
      <c r="G153" s="69"/>
      <c r="T153" s="26"/>
    </row>
    <row r="154" spans="1:20">
      <c r="A154" s="63"/>
      <c r="B154" s="64"/>
      <c r="C154" s="64"/>
      <c r="D154" s="64"/>
      <c r="E154" s="64"/>
      <c r="F154" s="64"/>
      <c r="G154" s="69"/>
      <c r="T154" s="26"/>
    </row>
    <row r="155" spans="1:20">
      <c r="A155" s="63"/>
      <c r="B155" s="64"/>
      <c r="C155" s="64"/>
      <c r="D155" s="64"/>
      <c r="E155" s="64"/>
      <c r="F155" s="64"/>
      <c r="G155" s="69"/>
      <c r="T155" s="26"/>
    </row>
    <row r="156" spans="1:20">
      <c r="A156" s="88"/>
      <c r="B156" s="73"/>
      <c r="C156" s="73"/>
      <c r="D156" s="73"/>
      <c r="E156" s="73"/>
      <c r="F156" s="282"/>
      <c r="G156" s="329"/>
      <c r="T156" s="26"/>
    </row>
    <row r="157" spans="1:20">
      <c r="A157" s="120"/>
      <c r="B157" s="121"/>
      <c r="C157" s="121"/>
      <c r="D157" s="121"/>
      <c r="E157" s="121"/>
      <c r="F157" s="259"/>
      <c r="G157" s="328"/>
      <c r="T157" s="26"/>
    </row>
    <row r="158" spans="1:20">
      <c r="A158" s="63"/>
      <c r="B158" s="64"/>
      <c r="C158" s="64"/>
      <c r="D158" s="64"/>
      <c r="E158" s="64"/>
      <c r="F158" s="64"/>
      <c r="G158" s="69"/>
      <c r="T158" s="26"/>
    </row>
    <row r="159" spans="1:20">
      <c r="A159" s="65" t="s">
        <v>651</v>
      </c>
      <c r="B159" s="93"/>
      <c r="C159" s="93"/>
      <c r="D159" s="93"/>
      <c r="E159" s="93"/>
      <c r="F159" s="93"/>
      <c r="G159" s="162"/>
      <c r="T159" s="26"/>
    </row>
    <row r="160" spans="1:20">
      <c r="A160" s="63"/>
      <c r="B160" s="64"/>
      <c r="C160" s="64"/>
      <c r="D160" s="64"/>
      <c r="E160" s="64"/>
      <c r="F160" s="64"/>
      <c r="G160" s="69"/>
      <c r="T160" s="26"/>
    </row>
    <row r="161" spans="1:20">
      <c r="A161" s="63"/>
      <c r="B161" s="64"/>
      <c r="C161" s="64"/>
      <c r="D161" s="64"/>
      <c r="E161" s="64"/>
      <c r="F161" s="64"/>
      <c r="G161" s="69"/>
      <c r="T161" s="26"/>
    </row>
    <row r="162" spans="1:20">
      <c r="A162" s="63"/>
      <c r="B162" s="64"/>
      <c r="C162" s="64"/>
      <c r="D162" s="64"/>
      <c r="E162" s="64"/>
      <c r="F162" s="64"/>
      <c r="G162" s="69"/>
      <c r="T162" s="26"/>
    </row>
    <row r="163" spans="1:20">
      <c r="A163" s="63"/>
      <c r="B163" s="64"/>
      <c r="C163" s="64"/>
      <c r="D163" s="64"/>
      <c r="E163" s="64"/>
      <c r="F163" s="64"/>
      <c r="G163" s="69"/>
      <c r="T163" s="26"/>
    </row>
    <row r="164" spans="1:20">
      <c r="A164" s="63"/>
      <c r="B164" s="64"/>
      <c r="C164" s="64"/>
      <c r="D164" s="64"/>
      <c r="E164" s="64"/>
      <c r="F164" s="64"/>
      <c r="G164" s="69"/>
      <c r="T164" s="26"/>
    </row>
    <row r="165" spans="1:20">
      <c r="A165" s="63"/>
      <c r="B165" s="64"/>
      <c r="C165" s="64"/>
      <c r="D165" s="64"/>
      <c r="E165" s="64"/>
      <c r="F165" s="64"/>
      <c r="G165" s="69"/>
      <c r="T165" s="26"/>
    </row>
    <row r="166" spans="1:20">
      <c r="A166" s="63"/>
      <c r="B166" s="64"/>
      <c r="C166" s="64"/>
      <c r="D166" s="64"/>
      <c r="E166" s="64"/>
      <c r="F166" s="64"/>
      <c r="G166" s="69"/>
      <c r="T166" s="26"/>
    </row>
    <row r="167" spans="1:20">
      <c r="A167" s="63"/>
      <c r="B167" s="64"/>
      <c r="C167" s="64"/>
      <c r="D167" s="64"/>
      <c r="E167" s="64"/>
      <c r="F167" s="64"/>
      <c r="G167" s="69"/>
      <c r="T167" s="26"/>
    </row>
    <row r="168" spans="1:20">
      <c r="A168" s="63"/>
      <c r="B168" s="64"/>
      <c r="C168" s="64"/>
      <c r="D168" s="64"/>
      <c r="E168" s="64"/>
      <c r="F168" s="64"/>
      <c r="G168" s="69"/>
      <c r="T168" s="26"/>
    </row>
    <row r="169" spans="1:20">
      <c r="A169" s="63"/>
      <c r="B169" s="64"/>
      <c r="C169" s="64"/>
      <c r="D169" s="64"/>
      <c r="E169" s="64"/>
      <c r="F169" s="64"/>
      <c r="G169" s="69"/>
      <c r="T169" s="26"/>
    </row>
    <row r="170" spans="1:20">
      <c r="A170" s="63"/>
      <c r="B170" s="64"/>
      <c r="C170" s="64"/>
      <c r="D170" s="64"/>
      <c r="E170" s="64"/>
      <c r="F170" s="64"/>
      <c r="G170" s="69"/>
      <c r="T170" s="26"/>
    </row>
    <row r="171" spans="1:20">
      <c r="A171" s="63"/>
      <c r="B171" s="64"/>
      <c r="C171" s="64"/>
      <c r="D171" s="64"/>
      <c r="E171" s="64"/>
      <c r="F171" s="64"/>
      <c r="G171" s="69"/>
      <c r="T171" s="26"/>
    </row>
    <row r="172" spans="1:20">
      <c r="A172" s="63"/>
      <c r="B172" s="64"/>
      <c r="C172" s="64"/>
      <c r="D172" s="64"/>
      <c r="E172" s="64"/>
      <c r="F172" s="64"/>
      <c r="G172" s="69"/>
      <c r="T172" s="26"/>
    </row>
    <row r="173" spans="1:20">
      <c r="A173" s="63"/>
      <c r="B173" s="64"/>
      <c r="C173" s="64"/>
      <c r="D173" s="64"/>
      <c r="E173" s="64"/>
      <c r="F173" s="64"/>
      <c r="G173" s="69"/>
      <c r="T173" s="26"/>
    </row>
    <row r="174" spans="1:20">
      <c r="A174" s="63"/>
      <c r="B174" s="64"/>
      <c r="C174" s="64"/>
      <c r="D174" s="64"/>
      <c r="E174" s="64"/>
      <c r="F174" s="64"/>
      <c r="G174" s="69"/>
      <c r="T174" s="26"/>
    </row>
    <row r="175" spans="1:20">
      <c r="A175" s="63"/>
      <c r="B175" s="64"/>
      <c r="C175" s="64"/>
      <c r="D175" s="64"/>
      <c r="E175" s="64"/>
      <c r="F175" s="64"/>
      <c r="G175" s="69"/>
      <c r="T175" s="26"/>
    </row>
    <row r="176" spans="1:20">
      <c r="A176" s="63"/>
      <c r="B176" s="64"/>
      <c r="C176" s="64"/>
      <c r="D176" s="64"/>
      <c r="E176" s="64"/>
      <c r="F176" s="64"/>
      <c r="G176" s="69"/>
      <c r="T176" s="26"/>
    </row>
    <row r="177" spans="1:20">
      <c r="A177" s="63"/>
      <c r="B177" s="64"/>
      <c r="C177" s="64"/>
      <c r="D177" s="64"/>
      <c r="E177" s="64"/>
      <c r="F177" s="64"/>
      <c r="G177" s="69"/>
      <c r="T177" s="26"/>
    </row>
    <row r="178" spans="1:20">
      <c r="A178" s="63"/>
      <c r="B178" s="64"/>
      <c r="C178" s="64"/>
      <c r="D178" s="64"/>
      <c r="E178" s="64"/>
      <c r="F178" s="64"/>
      <c r="G178" s="69"/>
      <c r="T178" s="26"/>
    </row>
    <row r="179" spans="1:20">
      <c r="A179" s="63"/>
      <c r="B179" s="64"/>
      <c r="C179" s="64"/>
      <c r="D179" s="64"/>
      <c r="E179" s="64"/>
      <c r="F179" s="64"/>
      <c r="G179" s="69"/>
      <c r="T179" s="26"/>
    </row>
    <row r="180" spans="1:20">
      <c r="A180" s="63"/>
      <c r="B180" s="64"/>
      <c r="C180" s="64"/>
      <c r="D180" s="64"/>
      <c r="E180" s="64"/>
      <c r="F180" s="64"/>
      <c r="G180" s="69"/>
      <c r="T180" s="26"/>
    </row>
    <row r="181" spans="1:20">
      <c r="A181" s="63"/>
      <c r="B181" s="64"/>
      <c r="C181" s="64"/>
      <c r="D181" s="64"/>
      <c r="E181" s="64"/>
      <c r="F181" s="64"/>
      <c r="G181" s="69"/>
      <c r="T181" s="26"/>
    </row>
    <row r="182" spans="1:20">
      <c r="A182" s="63"/>
      <c r="B182" s="64"/>
      <c r="C182" s="64"/>
      <c r="D182" s="64"/>
      <c r="E182" s="64"/>
      <c r="F182" s="64"/>
      <c r="G182" s="69"/>
      <c r="T182" s="26"/>
    </row>
    <row r="183" spans="1:20">
      <c r="A183" s="63"/>
      <c r="B183" s="64"/>
      <c r="C183" s="64"/>
      <c r="D183" s="64"/>
      <c r="E183" s="64"/>
      <c r="F183" s="64"/>
      <c r="G183" s="69"/>
      <c r="T183" s="26"/>
    </row>
    <row r="184" spans="1:20">
      <c r="A184" s="63"/>
      <c r="B184" s="64"/>
      <c r="C184" s="64"/>
      <c r="D184" s="64"/>
      <c r="E184" s="64"/>
      <c r="F184" s="64"/>
      <c r="G184" s="69"/>
      <c r="T184" s="26"/>
    </row>
    <row r="185" spans="1:20">
      <c r="A185" s="63"/>
      <c r="B185" s="64"/>
      <c r="C185" s="64"/>
      <c r="D185" s="64"/>
      <c r="E185" s="64"/>
      <c r="F185" s="64"/>
      <c r="G185" s="69"/>
      <c r="T185" s="26"/>
    </row>
    <row r="186" spans="1:20">
      <c r="A186" s="63"/>
      <c r="B186" s="64"/>
      <c r="C186" s="64"/>
      <c r="D186" s="64"/>
      <c r="E186" s="64"/>
      <c r="F186" s="64"/>
      <c r="G186" s="69"/>
      <c r="T186" s="26"/>
    </row>
    <row r="187" spans="1:20">
      <c r="A187" s="122" t="s">
        <v>12</v>
      </c>
      <c r="B187" s="64"/>
      <c r="C187" s="64"/>
      <c r="D187" s="64"/>
      <c r="E187" s="64"/>
      <c r="F187" s="64"/>
      <c r="G187" s="69"/>
      <c r="T187" s="26"/>
    </row>
    <row r="188" spans="1:20">
      <c r="A188" s="63" t="s">
        <v>4</v>
      </c>
      <c r="B188" s="64"/>
      <c r="C188" s="64"/>
      <c r="D188" s="64"/>
      <c r="E188" s="64"/>
      <c r="F188" s="64"/>
      <c r="G188" s="69"/>
      <c r="T188" s="26"/>
    </row>
    <row r="189" spans="1:20">
      <c r="A189" s="122" t="s">
        <v>13</v>
      </c>
      <c r="B189" s="64"/>
      <c r="C189" s="64"/>
      <c r="D189" s="64"/>
      <c r="E189" s="64"/>
      <c r="F189" s="64"/>
      <c r="G189" s="69"/>
      <c r="T189" s="26"/>
    </row>
    <row r="190" spans="1:20">
      <c r="A190" s="63" t="s">
        <v>5</v>
      </c>
      <c r="B190" s="64"/>
      <c r="C190" s="64"/>
      <c r="D190" s="64"/>
      <c r="E190" s="64"/>
      <c r="F190" s="64"/>
      <c r="G190" s="69"/>
      <c r="T190" s="26"/>
    </row>
    <row r="191" spans="1:20">
      <c r="A191" s="63" t="s">
        <v>6</v>
      </c>
      <c r="B191" s="64"/>
      <c r="C191" s="64"/>
      <c r="D191" s="64"/>
      <c r="E191" s="64"/>
      <c r="F191" s="64"/>
      <c r="G191" s="69"/>
      <c r="T191" s="26"/>
    </row>
    <row r="192" spans="1:20">
      <c r="A192" s="122" t="s">
        <v>14</v>
      </c>
      <c r="B192" s="64"/>
      <c r="C192" s="64"/>
      <c r="D192" s="64"/>
      <c r="E192" s="64"/>
      <c r="F192" s="64"/>
      <c r="G192" s="69"/>
      <c r="T192" s="26"/>
    </row>
    <row r="193" spans="1:20">
      <c r="A193" s="63" t="s">
        <v>330</v>
      </c>
      <c r="B193" s="64"/>
      <c r="C193" s="64"/>
      <c r="D193" s="64"/>
      <c r="E193" s="64"/>
      <c r="F193" s="64"/>
      <c r="G193" s="69"/>
      <c r="T193" s="26"/>
    </row>
    <row r="194" spans="1:20">
      <c r="A194" s="122" t="s">
        <v>15</v>
      </c>
      <c r="B194" s="64"/>
      <c r="C194" s="64"/>
      <c r="D194" s="64"/>
      <c r="E194" s="64"/>
      <c r="F194" s="64"/>
      <c r="G194" s="69"/>
      <c r="T194" s="26"/>
    </row>
    <row r="195" spans="1:20">
      <c r="A195" s="63" t="s">
        <v>330</v>
      </c>
      <c r="B195" s="64"/>
      <c r="C195" s="64"/>
      <c r="D195" s="64"/>
      <c r="E195" s="64"/>
      <c r="F195" s="64"/>
      <c r="G195" s="69"/>
      <c r="T195" s="27"/>
    </row>
    <row r="196" spans="1:20">
      <c r="A196" s="63"/>
      <c r="B196" s="64"/>
      <c r="C196" s="64"/>
      <c r="D196" s="64"/>
      <c r="E196" s="64"/>
      <c r="F196" s="64"/>
      <c r="G196" s="69"/>
      <c r="T196" s="28"/>
    </row>
    <row r="197" spans="1:20">
      <c r="A197" s="292" t="s">
        <v>16</v>
      </c>
      <c r="B197" s="64"/>
      <c r="C197" s="64"/>
      <c r="D197" s="64"/>
      <c r="E197" s="64"/>
      <c r="F197" s="64"/>
      <c r="G197" s="69"/>
    </row>
    <row r="198" spans="1:20">
      <c r="A198" s="309" t="s">
        <v>591</v>
      </c>
      <c r="B198" s="64"/>
      <c r="C198" s="64"/>
      <c r="D198" s="64"/>
      <c r="E198" s="64"/>
      <c r="F198" s="64"/>
      <c r="G198" s="69"/>
    </row>
    <row r="199" spans="1:20">
      <c r="A199" s="63" t="s">
        <v>7</v>
      </c>
      <c r="B199" s="64"/>
      <c r="C199" s="64"/>
      <c r="D199" s="64"/>
      <c r="E199" s="64"/>
      <c r="F199" s="64"/>
      <c r="G199" s="69"/>
    </row>
    <row r="200" spans="1:20">
      <c r="A200" s="63" t="s">
        <v>8</v>
      </c>
      <c r="B200" s="64"/>
      <c r="C200" s="64"/>
      <c r="D200" s="64"/>
      <c r="E200" s="64"/>
      <c r="F200" s="64"/>
      <c r="G200" s="69"/>
    </row>
    <row r="201" spans="1:20">
      <c r="A201" s="63" t="s">
        <v>9</v>
      </c>
      <c r="B201" s="64"/>
      <c r="C201" s="64"/>
      <c r="D201" s="64"/>
      <c r="E201" s="64"/>
      <c r="F201" s="64"/>
      <c r="G201" s="69"/>
    </row>
    <row r="202" spans="1:20">
      <c r="A202" s="63" t="s">
        <v>10</v>
      </c>
      <c r="B202" s="64"/>
      <c r="C202" s="64"/>
      <c r="D202" s="64"/>
      <c r="E202" s="64"/>
      <c r="F202" s="64"/>
      <c r="G202" s="69"/>
    </row>
    <row r="203" spans="1:20">
      <c r="A203" s="63" t="s">
        <v>143</v>
      </c>
      <c r="B203" s="64"/>
      <c r="C203" s="64"/>
      <c r="D203" s="64"/>
      <c r="E203" s="64"/>
      <c r="F203" s="64"/>
      <c r="G203" s="69"/>
    </row>
    <row r="204" spans="1:20">
      <c r="A204" s="63" t="s">
        <v>64</v>
      </c>
      <c r="B204" s="64"/>
      <c r="C204" s="64"/>
      <c r="D204" s="64"/>
      <c r="E204" s="64"/>
      <c r="F204" s="64"/>
      <c r="G204" s="69"/>
    </row>
    <row r="205" spans="1:20">
      <c r="A205" s="63" t="s">
        <v>11</v>
      </c>
      <c r="B205" s="64"/>
      <c r="C205" s="64"/>
      <c r="D205" s="64"/>
      <c r="E205" s="64"/>
      <c r="F205" s="64"/>
      <c r="G205" s="69"/>
    </row>
    <row r="206" spans="1:20">
      <c r="A206" s="63"/>
      <c r="B206" s="64"/>
      <c r="C206" s="64"/>
      <c r="D206" s="64"/>
      <c r="E206" s="64"/>
      <c r="F206" s="64"/>
      <c r="G206" s="69"/>
    </row>
    <row r="207" spans="1:20">
      <c r="A207" s="63"/>
      <c r="B207" s="64"/>
      <c r="C207" s="64"/>
      <c r="D207" s="64"/>
      <c r="E207" s="64"/>
      <c r="F207" s="64"/>
      <c r="G207" s="69"/>
    </row>
    <row r="208" spans="1:20">
      <c r="A208" s="88"/>
      <c r="B208" s="73"/>
      <c r="C208" s="73"/>
      <c r="D208" s="73"/>
      <c r="E208" s="73"/>
      <c r="F208" s="73"/>
      <c r="G208" s="89"/>
    </row>
  </sheetData>
  <sheetProtection sheet="1" objects="1" scenarios="1"/>
  <mergeCells count="1">
    <mergeCell ref="AA1:AB1"/>
  </mergeCells>
  <phoneticPr fontId="42" type="noConversion"/>
  <conditionalFormatting sqref="AB56:AB81">
    <cfRule type="cellIs" dxfId="3" priority="1" stopIfTrue="1" operator="greaterThan">
      <formula>$B$13</formula>
    </cfRule>
  </conditionalFormatting>
  <dataValidations count="9">
    <dataValidation type="list" allowBlank="1" showInputMessage="1" showErrorMessage="1" errorTitle="Warning!" error="Invalid reply (must input either N or P)" sqref="B9">
      <formula1>$I$3:$I$4</formula1>
    </dataValidation>
    <dataValidation type="list" allowBlank="1" showInputMessage="1" showErrorMessage="1" errorTitle="Warning!" error="Invalid exposure category_x000a_Must input either A, B, C, or D" sqref="B12">
      <formula1>$I$9:$I$11</formula1>
    </dataValidation>
    <dataValidation type="list" allowBlank="1" showInputMessage="1" showErrorMessage="1" errorTitle="Warning!" error="Invalid roof type (must input either G or M)" sqref="B17">
      <formula1>$I$12:$I$13</formula1>
    </dataValidation>
    <dataValidation type="list" allowBlank="1" showInputMessage="1" showErrorMessage="1" errorTitle="Warning!" error="Invalid reply (must input either Y or N)" sqref="B20">
      <formula1>$I$14:$I$15</formula1>
    </dataValidation>
    <dataValidation type="decimal" operator="greaterThanOrEqual" allowBlank="1" showInputMessage="1" showErrorMessage="1" errorTitle="Warning!" error="Minimum design wind speed = 85 mph" sqref="B10">
      <formula1>85</formula1>
    </dataValidation>
    <dataValidation type="list" allowBlank="1" showInputMessage="1" showErrorMessage="1" errorTitle="Warning!" error="Invalid building category_x000a_Must input either I, II, III, or IV" sqref="B11">
      <formula1>$I$5:$I$8</formula1>
    </dataValidation>
    <dataValidation type="list" allowBlank="1" showInputMessage="1" showErrorMessage="1" sqref="AB55">
      <formula1>$I$14:$I$15</formula1>
    </dataValidation>
    <dataValidation type="decimal" allowBlank="1" showInputMessage="1" showErrorMessage="1" sqref="AB56:AB81">
      <formula1>0</formula1>
      <formula2>$B$13</formula2>
    </dataValidation>
    <dataValidation type="list" allowBlank="1" showInputMessage="1" showErrorMessage="1" prompt="Is location in a hurricane prone or non-hurricane prone region?" sqref="B21">
      <formula1>$I$14:$I$15</formula1>
    </dataValidation>
  </dataValidations>
  <pageMargins left="1" right="0.5" top="1" bottom="1" header="0.5" footer="0.5"/>
  <pageSetup scale="90" orientation="portrait" horizontalDpi="4294967292" r:id="rId1"/>
  <headerFooter alignWithMargins="0">
    <oddHeader>&amp;R"ASCE710W.xls" Program
Version 2.2</oddHeader>
    <oddFooter>&amp;C&amp;P of &amp;N&amp;R&amp;D  &amp;T</oddFooter>
  </headerFooter>
  <rowBreaks count="3" manualBreakCount="3">
    <brk id="52" max="6" man="1"/>
    <brk id="104" max="6" man="1"/>
    <brk id="156" max="6"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6"/>
  <sheetViews>
    <sheetView showGridLines="0" zoomScaleNormal="100" workbookViewId="0">
      <selection activeCell="C10" sqref="C10"/>
    </sheetView>
  </sheetViews>
  <sheetFormatPr defaultColWidth="9.109375" defaultRowHeight="13.2"/>
  <cols>
    <col min="1" max="1" width="18.6640625" style="85" customWidth="1"/>
    <col min="2" max="3" width="9.109375" style="85"/>
    <col min="4" max="4" width="9.6640625" style="85" customWidth="1"/>
    <col min="5" max="5" width="11.6640625" style="85" customWidth="1"/>
    <col min="6" max="7" width="10.109375" style="85" customWidth="1"/>
    <col min="8" max="8" width="12.33203125" style="85" customWidth="1"/>
    <col min="9" max="11" width="9.109375" hidden="1" customWidth="1"/>
    <col min="12" max="12" width="19.33203125" hidden="1" customWidth="1"/>
    <col min="13" max="13" width="9.109375" hidden="1" customWidth="1"/>
    <col min="14" max="14" width="16.6640625" hidden="1" customWidth="1"/>
    <col min="15" max="15" width="9.109375" hidden="1" customWidth="1"/>
    <col min="16" max="19" width="9.109375" style="1" hidden="1" customWidth="1"/>
    <col min="20" max="26" width="9.109375" style="23" hidden="1" customWidth="1"/>
    <col min="27" max="28" width="11.6640625" style="1" customWidth="1"/>
    <col min="29" max="29" width="9.6640625" style="1" customWidth="1"/>
    <col min="30" max="16384" width="9.109375" style="1"/>
  </cols>
  <sheetData>
    <row r="1" spans="1:28" ht="15.6">
      <c r="A1" s="42" t="s">
        <v>358</v>
      </c>
      <c r="B1" s="43"/>
      <c r="C1" s="43"/>
      <c r="D1" s="43"/>
      <c r="E1" s="43"/>
      <c r="F1" s="43"/>
      <c r="G1" s="43"/>
      <c r="H1" s="58"/>
      <c r="J1" s="1"/>
      <c r="K1" s="1"/>
      <c r="L1" s="29" t="s">
        <v>243</v>
      </c>
      <c r="M1" s="13"/>
      <c r="N1" s="13"/>
      <c r="O1" s="13"/>
      <c r="P1" s="13"/>
      <c r="Q1" s="13"/>
      <c r="R1" s="13"/>
      <c r="AA1" s="649" t="str">
        <f>Doc!K1</f>
        <v>Version 2.4 Updated 10/20/15</v>
      </c>
      <c r="AB1" s="650"/>
    </row>
    <row r="2" spans="1:28">
      <c r="A2" s="44" t="s">
        <v>480</v>
      </c>
      <c r="B2" s="45"/>
      <c r="C2" s="46"/>
      <c r="D2" s="46"/>
      <c r="E2" s="46"/>
      <c r="F2" s="46"/>
      <c r="G2" s="46"/>
      <c r="H2" s="60"/>
      <c r="J2" s="1"/>
      <c r="K2" s="1"/>
      <c r="L2" s="13"/>
      <c r="M2" s="13"/>
      <c r="N2" s="13"/>
      <c r="O2" s="13"/>
      <c r="P2" s="13"/>
      <c r="Q2" s="13"/>
      <c r="R2" s="13"/>
    </row>
    <row r="3" spans="1:28">
      <c r="A3" s="61" t="s">
        <v>481</v>
      </c>
      <c r="B3" s="59"/>
      <c r="C3" s="46"/>
      <c r="D3" s="46"/>
      <c r="E3" s="48"/>
      <c r="F3" s="48"/>
      <c r="G3" s="48"/>
      <c r="H3" s="62"/>
      <c r="J3" s="271" t="s">
        <v>433</v>
      </c>
      <c r="K3" s="1"/>
      <c r="L3" s="14" t="s">
        <v>351</v>
      </c>
      <c r="M3" s="8">
        <f>IF($B$16="Gable",DEGREES(ATAN(($B$12-$B$13)/($B$14/2))),DEGREES(ATAN(($B$12-$B$13)/($B$14))))</f>
        <v>0</v>
      </c>
      <c r="N3" s="13"/>
      <c r="O3" s="14" t="s">
        <v>222</v>
      </c>
      <c r="P3" s="8">
        <f>IF($B$26&lt;=10,$B$13,$B$13+($B$12-$B$13)/2)</f>
        <v>14.67</v>
      </c>
      <c r="Q3" s="13"/>
      <c r="R3" s="13"/>
    </row>
    <row r="4" spans="1:28">
      <c r="A4" s="66" t="s">
        <v>156</v>
      </c>
      <c r="B4" s="181"/>
      <c r="C4" s="182"/>
      <c r="D4" s="183"/>
      <c r="E4" s="180" t="s">
        <v>448</v>
      </c>
      <c r="F4" s="191"/>
      <c r="G4" s="190"/>
      <c r="H4" s="189"/>
      <c r="J4" s="271" t="s">
        <v>424</v>
      </c>
      <c r="K4" s="1"/>
      <c r="L4" s="23"/>
      <c r="M4" s="23"/>
      <c r="N4" s="23"/>
      <c r="O4" s="23"/>
      <c r="P4" s="13"/>
      <c r="Q4" s="13"/>
      <c r="R4" s="13"/>
    </row>
    <row r="5" spans="1:28">
      <c r="A5" s="66" t="s">
        <v>157</v>
      </c>
      <c r="B5" s="181"/>
      <c r="C5" s="182"/>
      <c r="D5" s="183"/>
      <c r="E5" s="186" t="s">
        <v>447</v>
      </c>
      <c r="F5" s="257"/>
      <c r="G5" s="188" t="s">
        <v>446</v>
      </c>
      <c r="H5" s="258"/>
      <c r="J5" s="271" t="s">
        <v>425</v>
      </c>
      <c r="K5" s="1"/>
      <c r="L5" s="13" t="s">
        <v>354</v>
      </c>
      <c r="M5" s="13"/>
      <c r="N5" s="13"/>
      <c r="O5" s="16">
        <f>IF($P$3&lt;=60,IF($M$3&lt;=10,0.9,1),"N.A.")</f>
        <v>0.9</v>
      </c>
      <c r="P5" s="13"/>
      <c r="Q5" s="13"/>
      <c r="R5" s="13"/>
    </row>
    <row r="6" spans="1:28">
      <c r="A6" s="63"/>
      <c r="B6" s="87"/>
      <c r="C6" s="87"/>
      <c r="D6" s="87"/>
      <c r="E6" s="87"/>
      <c r="F6" s="253"/>
      <c r="G6" s="50"/>
      <c r="H6" s="339"/>
      <c r="J6" s="271" t="s">
        <v>426</v>
      </c>
      <c r="K6" s="1"/>
      <c r="L6" s="23"/>
      <c r="M6" s="23"/>
      <c r="N6" s="23"/>
      <c r="O6" s="13"/>
      <c r="P6" s="13"/>
      <c r="Q6" s="13"/>
      <c r="R6" s="13"/>
    </row>
    <row r="7" spans="1:28">
      <c r="A7" s="65" t="s">
        <v>217</v>
      </c>
      <c r="B7" s="87"/>
      <c r="C7" s="87"/>
      <c r="D7" s="87"/>
      <c r="E7" s="87"/>
      <c r="F7" s="335"/>
      <c r="G7" s="50"/>
      <c r="H7" s="260"/>
      <c r="J7" s="15" t="s">
        <v>389</v>
      </c>
      <c r="K7" s="1"/>
      <c r="L7" s="13" t="str">
        <f>IF($B$27&lt;=60,"Wall Pressure Coefficients, GCp (Fig. 6-11A):","Wall Pressure Coefficients, GCp (Fig. 6-17):")</f>
        <v>Wall Pressure Coefficients, GCp (Fig. 6-11A):</v>
      </c>
      <c r="M7" s="13"/>
      <c r="N7" s="13"/>
      <c r="O7" s="13"/>
      <c r="P7" s="13"/>
      <c r="Q7" s="13"/>
      <c r="R7" s="13"/>
    </row>
    <row r="8" spans="1:28">
      <c r="A8" s="65"/>
      <c r="B8" s="87"/>
      <c r="C8" s="87"/>
      <c r="D8" s="87"/>
      <c r="E8" s="87"/>
      <c r="F8" s="64"/>
      <c r="G8" s="64"/>
      <c r="H8" s="69"/>
      <c r="J8" s="15" t="s">
        <v>224</v>
      </c>
      <c r="K8" s="1"/>
      <c r="L8" s="14" t="s">
        <v>191</v>
      </c>
      <c r="M8" s="16">
        <f>IF($P$3&lt;=60,IF($B$22&lt;=10,$O$5*1,IF($B$22&lt;=500,$O$5*(1.1766-0.1766*LOG($B$22)),$O$5*0.7)),IF($B$22&lt;=20,0.9,IF($B$22&lt;=500,1.1792-0.2146*LOG($B$22),0.6)))</f>
        <v>0.63</v>
      </c>
      <c r="N8" s="19" t="str">
        <f>IF($B$27&lt;=60,IF($B$26&lt;=10,"(GCp is reduced by 10% for roof angle &lt;=10 deg. )",""),"")</f>
        <v>(GCp is reduced by 10% for roof angle &lt;=10 deg. )</v>
      </c>
      <c r="O8" s="13"/>
      <c r="P8" s="13"/>
      <c r="Q8" s="13"/>
      <c r="R8" s="13"/>
    </row>
    <row r="9" spans="1:28">
      <c r="A9" s="68" t="s">
        <v>218</v>
      </c>
      <c r="B9" s="215">
        <v>110</v>
      </c>
      <c r="C9" s="310" t="s">
        <v>555</v>
      </c>
      <c r="D9" s="64"/>
      <c r="E9" s="64"/>
      <c r="F9" s="64"/>
      <c r="G9" s="64"/>
      <c r="H9" s="69"/>
      <c r="J9" s="15" t="s">
        <v>427</v>
      </c>
      <c r="K9" s="1"/>
      <c r="L9" s="14" t="s">
        <v>192</v>
      </c>
      <c r="M9" s="16">
        <f>IF($P$3&lt;=60,IF($B$22&lt;=10,$O$5*1,IF($B$22&lt;=500,$O$5*(1.1766-0.1766*LOG($B$22)),$O$5*0.7)),IF($B$22&lt;=20,0.9,IF($B$22&lt;=500,1.1792-0.2146*LOG($B$22),0.6)))</f>
        <v>0.63</v>
      </c>
      <c r="N9" s="19" t="str">
        <f>IF($B$27&lt;=60,IF($B$26&lt;=10,"(GCp is reduced by 10% for roof angle &lt;=10 deg. )",""),"")</f>
        <v>(GCp is reduced by 10% for roof angle &lt;=10 deg. )</v>
      </c>
      <c r="O9" s="13"/>
      <c r="P9" s="13"/>
      <c r="Q9" s="13"/>
      <c r="R9" s="13"/>
    </row>
    <row r="10" spans="1:28">
      <c r="A10" s="68" t="s">
        <v>458</v>
      </c>
      <c r="B10" s="268" t="s">
        <v>424</v>
      </c>
      <c r="C10" s="310" t="s">
        <v>478</v>
      </c>
      <c r="D10" s="64"/>
      <c r="E10" s="64"/>
      <c r="F10" s="64"/>
      <c r="G10" s="64"/>
      <c r="H10" s="269"/>
      <c r="J10" s="15" t="s">
        <v>463</v>
      </c>
      <c r="K10" s="1"/>
      <c r="L10" s="14" t="s">
        <v>193</v>
      </c>
      <c r="M10" s="16">
        <f>IF($P$3&lt;=60,IF($B$22&lt;=10,$O$5*(-1.1),IF($B$22&lt;=500,$O$5*(-1.2766+0.1766*LOG($B$22)),$O$5*(-0.8))),IF($B$22&lt;=20,-0.9,IF($B$22&lt;=500,-1.0861+0.1431*LOG($B$22),-0.7)))</f>
        <v>-0.72000000000000008</v>
      </c>
      <c r="N10" s="19" t="str">
        <f>IF($B$27&lt;=60,IF($B$26&lt;=10,"(GCp is reduced by 10% for roof angle &lt;=10 deg. )",""),"")</f>
        <v>(GCp is reduced by 10% for roof angle &lt;=10 deg. )</v>
      </c>
      <c r="O10" s="13"/>
      <c r="P10" s="13"/>
      <c r="Q10" s="13"/>
      <c r="R10" s="13"/>
    </row>
    <row r="11" spans="1:28">
      <c r="A11" s="68" t="s">
        <v>460</v>
      </c>
      <c r="B11" s="216" t="s">
        <v>224</v>
      </c>
      <c r="C11" s="129" t="s">
        <v>482</v>
      </c>
      <c r="D11" s="64"/>
      <c r="E11" s="64"/>
      <c r="F11" s="64"/>
      <c r="G11" s="64"/>
      <c r="H11" s="270"/>
      <c r="J11" s="15" t="s">
        <v>462</v>
      </c>
      <c r="K11" s="1"/>
      <c r="L11" s="14" t="s">
        <v>194</v>
      </c>
      <c r="M11" s="16">
        <f>IF($P$3&lt;=60,IF($B$22&lt;=10,$O$5*(-1.4),IF($B$22&lt;=500,$O$5*(-1.7532+0.3532*LOG($B$22)),$O$5*(-0.8))),IF($B$22&lt;=20,-1.8,IF($B$22&lt;=500,-2.5445+0.5723*LOG($B$22),-1)))</f>
        <v>-0.72000000000000008</v>
      </c>
      <c r="N11" s="19" t="str">
        <f>IF($B$27&lt;=60,IF($B$26&lt;=10,"(GCp is reduced by 10% for roof angle &lt;=10 deg. )",""),"")</f>
        <v>(GCp is reduced by 10% for roof angle &lt;=10 deg. )</v>
      </c>
      <c r="O11" s="23"/>
      <c r="P11" s="23"/>
      <c r="Q11" s="13"/>
      <c r="R11" s="13"/>
    </row>
    <row r="12" spans="1:28">
      <c r="A12" s="68" t="s">
        <v>219</v>
      </c>
      <c r="B12" s="217">
        <v>14.67</v>
      </c>
      <c r="C12" s="304" t="s">
        <v>49</v>
      </c>
      <c r="D12" s="64"/>
      <c r="E12" s="64"/>
      <c r="F12" s="64"/>
      <c r="G12" s="64"/>
      <c r="H12" s="69"/>
      <c r="J12" s="15" t="s">
        <v>393</v>
      </c>
      <c r="K12" s="1"/>
      <c r="L12" s="13"/>
      <c r="M12" s="13"/>
      <c r="N12" s="13"/>
      <c r="O12" s="13"/>
      <c r="P12" s="13"/>
      <c r="Q12" s="13"/>
      <c r="R12" s="13"/>
    </row>
    <row r="13" spans="1:28">
      <c r="A13" s="68" t="s">
        <v>220</v>
      </c>
      <c r="B13" s="217">
        <v>14.67</v>
      </c>
      <c r="C13" s="304" t="s">
        <v>50</v>
      </c>
      <c r="D13" s="64"/>
      <c r="E13" s="70" t="str">
        <f>IF($B$13&gt;$B$12,"hr MUST BE &gt;= he !","")</f>
        <v/>
      </c>
      <c r="F13" s="64"/>
      <c r="G13" s="64"/>
      <c r="H13" s="69"/>
      <c r="J13" s="15" t="s">
        <v>176</v>
      </c>
      <c r="K13" s="1"/>
      <c r="L13" s="13" t="s">
        <v>208</v>
      </c>
      <c r="M13" s="9"/>
      <c r="N13" s="13" t="s">
        <v>209</v>
      </c>
      <c r="O13" s="9"/>
      <c r="P13" s="13"/>
      <c r="Q13" s="13"/>
      <c r="R13" s="13"/>
    </row>
    <row r="14" spans="1:28">
      <c r="A14" s="68" t="s">
        <v>387</v>
      </c>
      <c r="B14" s="217">
        <v>222</v>
      </c>
      <c r="C14" s="304" t="s">
        <v>51</v>
      </c>
      <c r="D14" s="64"/>
      <c r="E14" s="64"/>
      <c r="F14" s="64"/>
      <c r="G14" s="64"/>
      <c r="H14" s="69"/>
      <c r="J14" s="15" t="s">
        <v>386</v>
      </c>
      <c r="K14" s="1"/>
      <c r="L14" s="14" t="s">
        <v>246</v>
      </c>
      <c r="M14" s="16">
        <f>IF($P$3&lt;=60,IF($B$14&lt;=$B$15,$B$14,$B$15),"N.A.")</f>
        <v>204</v>
      </c>
      <c r="N14" s="14" t="s">
        <v>246</v>
      </c>
      <c r="O14" s="15" t="str">
        <f>IF($P$3&gt;60,IF($B$14&lt;=$B$15,$B$14,$B$15),"N.A.")</f>
        <v>N.A.</v>
      </c>
      <c r="P14" s="13"/>
      <c r="Q14" s="13"/>
      <c r="R14" s="13"/>
    </row>
    <row r="15" spans="1:28">
      <c r="A15" s="68" t="s">
        <v>388</v>
      </c>
      <c r="B15" s="217">
        <v>204</v>
      </c>
      <c r="C15" s="304" t="s">
        <v>52</v>
      </c>
      <c r="D15" s="64"/>
      <c r="E15" s="64"/>
      <c r="F15" s="272"/>
      <c r="G15" s="64"/>
      <c r="H15" s="69"/>
      <c r="J15" s="15" t="s">
        <v>432</v>
      </c>
      <c r="K15" s="1"/>
      <c r="L15" s="18" t="s">
        <v>247</v>
      </c>
      <c r="M15" s="16">
        <f>IF($P$3&lt;=60,0.1*$M$14,"N.A.")</f>
        <v>20.400000000000002</v>
      </c>
      <c r="N15" s="18" t="s">
        <v>247</v>
      </c>
      <c r="O15" s="15" t="str">
        <f>IF($P$3&gt;60,0.1*$O$14,"N.A.")</f>
        <v>N.A.</v>
      </c>
      <c r="P15" s="13"/>
      <c r="Q15" s="13"/>
      <c r="R15" s="13"/>
    </row>
    <row r="16" spans="1:28">
      <c r="A16" s="68" t="s">
        <v>461</v>
      </c>
      <c r="B16" s="273" t="s">
        <v>462</v>
      </c>
      <c r="C16" s="304" t="s">
        <v>323</v>
      </c>
      <c r="D16" s="64"/>
      <c r="E16" s="64"/>
      <c r="F16" s="337"/>
      <c r="G16" s="338"/>
      <c r="H16" s="69"/>
      <c r="J16" s="262" t="s">
        <v>395</v>
      </c>
      <c r="K16" s="1"/>
      <c r="L16" s="14" t="s">
        <v>199</v>
      </c>
      <c r="M16" s="16">
        <f>IF($P$3&lt;=60,IF($M$15&lt;=0.4*$P$3,$M$15,0.4*$P$3),"N.A.")</f>
        <v>5.8680000000000003</v>
      </c>
      <c r="N16" s="14" t="s">
        <v>210</v>
      </c>
      <c r="O16" s="15" t="str">
        <f>IF($P$3&gt;60,IF($O$15&gt;=3,$O$15,3),"N.A.")</f>
        <v>N.A.</v>
      </c>
      <c r="P16" s="13"/>
      <c r="Q16" s="13"/>
      <c r="R16" s="13"/>
    </row>
    <row r="17" spans="1:18">
      <c r="A17" s="68" t="s">
        <v>221</v>
      </c>
      <c r="B17" s="217">
        <v>1</v>
      </c>
      <c r="C17" s="345" t="s">
        <v>479</v>
      </c>
      <c r="D17" s="64"/>
      <c r="E17" s="64"/>
      <c r="F17" s="64"/>
      <c r="G17" s="64"/>
      <c r="H17" s="69"/>
      <c r="J17" s="15" t="s">
        <v>431</v>
      </c>
      <c r="K17" s="1"/>
      <c r="L17" s="14" t="s">
        <v>241</v>
      </c>
      <c r="M17" s="16">
        <f>IF($P$3&lt;=60,IF($M$16&gt;=0.04*$M$14,$M$16,0.04*$M$14),"N.A.")</f>
        <v>8.16</v>
      </c>
      <c r="N17" s="14" t="s">
        <v>198</v>
      </c>
      <c r="O17" s="15" t="str">
        <f>$O$16</f>
        <v>N.A.</v>
      </c>
      <c r="P17" s="13"/>
      <c r="Q17" s="13"/>
      <c r="R17" s="13"/>
    </row>
    <row r="18" spans="1:18">
      <c r="A18" s="68" t="s">
        <v>369</v>
      </c>
      <c r="B18" s="217">
        <v>0.85</v>
      </c>
      <c r="C18" s="129" t="s">
        <v>483</v>
      </c>
      <c r="D18" s="64"/>
      <c r="E18" s="64"/>
      <c r="F18" s="64"/>
      <c r="G18" s="64"/>
      <c r="H18" s="69"/>
      <c r="K18" s="1"/>
      <c r="L18" s="14" t="s">
        <v>210</v>
      </c>
      <c r="M18" s="16">
        <f>IF($P$3&lt;=60,IF($M$17&gt;=3,$M$17,3),"N.A.")</f>
        <v>8.16</v>
      </c>
      <c r="N18" s="17"/>
      <c r="O18" s="13"/>
      <c r="P18" s="13"/>
      <c r="Q18" s="13"/>
      <c r="R18" s="13"/>
    </row>
    <row r="19" spans="1:18">
      <c r="A19" s="68" t="s">
        <v>20</v>
      </c>
      <c r="B19" s="216" t="s">
        <v>393</v>
      </c>
      <c r="C19" s="127" t="s">
        <v>484</v>
      </c>
      <c r="D19" s="64"/>
      <c r="E19" s="64"/>
      <c r="F19" s="64"/>
      <c r="G19" s="64"/>
      <c r="H19" s="69"/>
      <c r="K19" s="1"/>
      <c r="L19" s="14" t="s">
        <v>198</v>
      </c>
      <c r="M19" s="16">
        <f>$M$18</f>
        <v>8.16</v>
      </c>
      <c r="N19" s="17"/>
      <c r="O19" s="13"/>
      <c r="P19" s="13"/>
      <c r="Q19" s="13"/>
      <c r="R19" s="13"/>
    </row>
    <row r="20" spans="1:18">
      <c r="A20" s="323" t="s">
        <v>402</v>
      </c>
      <c r="B20" s="216" t="s">
        <v>393</v>
      </c>
      <c r="F20" s="64"/>
      <c r="G20" s="64"/>
      <c r="H20" s="69"/>
      <c r="K20" s="1"/>
      <c r="L20" s="13"/>
      <c r="M20" s="13"/>
      <c r="N20" s="13"/>
      <c r="O20" s="13"/>
      <c r="P20" s="13"/>
      <c r="Q20" s="13"/>
      <c r="R20" s="13"/>
    </row>
    <row r="21" spans="1:18">
      <c r="A21" s="68" t="s">
        <v>396</v>
      </c>
      <c r="B21" s="216" t="s">
        <v>395</v>
      </c>
      <c r="C21" s="345" t="s">
        <v>449</v>
      </c>
      <c r="D21" s="64"/>
      <c r="E21" s="64"/>
      <c r="F21" s="272"/>
      <c r="G21" s="64"/>
      <c r="H21" s="269"/>
      <c r="K21" s="1"/>
      <c r="L21" s="13" t="s">
        <v>486</v>
      </c>
      <c r="M21" s="13"/>
      <c r="N21" s="13"/>
      <c r="O21" s="13"/>
      <c r="P21" s="13"/>
      <c r="Q21" s="13"/>
      <c r="R21" s="13"/>
    </row>
    <row r="22" spans="1:18">
      <c r="A22" s="68" t="s">
        <v>223</v>
      </c>
      <c r="B22" s="227">
        <v>533</v>
      </c>
      <c r="C22" s="345" t="s">
        <v>53</v>
      </c>
      <c r="D22" s="64"/>
      <c r="E22" s="64"/>
      <c r="F22" s="64"/>
      <c r="G22" s="64"/>
      <c r="H22" s="334"/>
      <c r="K22" s="1"/>
      <c r="L22" s="18" t="s">
        <v>256</v>
      </c>
      <c r="M22" s="5">
        <f>IF($B$19="Y",0.18,0.55)</f>
        <v>0.18</v>
      </c>
      <c r="N22" s="13"/>
      <c r="O22" s="13"/>
      <c r="P22" s="13"/>
      <c r="Q22" s="13"/>
      <c r="R22" s="13"/>
    </row>
    <row r="23" spans="1:18">
      <c r="A23" s="68"/>
      <c r="B23" s="50"/>
      <c r="C23" s="71"/>
      <c r="D23" s="64"/>
      <c r="E23" s="64"/>
      <c r="F23" s="272"/>
      <c r="G23" s="64"/>
      <c r="H23" s="69"/>
      <c r="K23" s="1"/>
      <c r="L23" s="18" t="s">
        <v>257</v>
      </c>
      <c r="M23" s="5">
        <f>IF($B$19="Y",-0.18,-0.55)</f>
        <v>-0.18</v>
      </c>
      <c r="N23" s="13"/>
      <c r="O23" s="13"/>
      <c r="P23" s="13"/>
      <c r="Q23" s="13"/>
      <c r="R23" s="13"/>
    </row>
    <row r="24" spans="1:18">
      <c r="A24" s="65" t="s">
        <v>240</v>
      </c>
      <c r="B24" s="50"/>
      <c r="C24" s="71"/>
      <c r="D24" s="64"/>
      <c r="E24" s="64"/>
      <c r="F24" s="272"/>
      <c r="G24" s="64"/>
      <c r="H24" s="69"/>
      <c r="K24" s="1"/>
      <c r="L24" s="13"/>
      <c r="M24" s="13"/>
      <c r="N24" s="13"/>
      <c r="O24" s="13"/>
      <c r="P24" s="13"/>
      <c r="Q24" s="13"/>
      <c r="R24" s="13"/>
    </row>
    <row r="25" spans="1:18">
      <c r="A25" s="63"/>
      <c r="B25" s="64"/>
      <c r="C25" s="64"/>
      <c r="D25" s="64"/>
      <c r="E25" s="64"/>
      <c r="F25" s="94"/>
      <c r="G25" s="94"/>
      <c r="H25" s="69"/>
      <c r="K25" s="1"/>
      <c r="L25" s="13" t="s">
        <v>352</v>
      </c>
      <c r="M25" s="13"/>
      <c r="N25" s="13"/>
      <c r="O25" s="13"/>
      <c r="P25" s="13"/>
      <c r="Q25" s="13"/>
      <c r="R25" s="13"/>
    </row>
    <row r="26" spans="1:18">
      <c r="A26" s="68" t="s">
        <v>350</v>
      </c>
      <c r="B26" s="224">
        <f>$M$3</f>
        <v>0</v>
      </c>
      <c r="C26" s="64" t="s">
        <v>397</v>
      </c>
      <c r="D26" s="64"/>
      <c r="E26" s="64"/>
      <c r="F26" s="72"/>
      <c r="G26" s="64"/>
      <c r="H26" s="69"/>
      <c r="K26" s="1"/>
      <c r="L26" s="20" t="s">
        <v>353</v>
      </c>
      <c r="M26" s="10">
        <f>IF($B$11="A",5,IF($B$11="B",7,IF($B$11="C",9.5,IF($B$11="D",11.5,"Error!"))))</f>
        <v>9.5</v>
      </c>
      <c r="N26" s="17" t="s">
        <v>488</v>
      </c>
      <c r="O26" s="13"/>
      <c r="P26" s="13"/>
      <c r="Q26" s="13"/>
      <c r="R26" s="13"/>
    </row>
    <row r="27" spans="1:18">
      <c r="A27" s="68" t="s">
        <v>222</v>
      </c>
      <c r="B27" s="220">
        <f>$P$3</f>
        <v>14.67</v>
      </c>
      <c r="C27" s="71" t="str">
        <f>IF($B$26&lt;=10,"ft. (h = he, for roof angle &lt;=10 deg.)","ft. (h = (hr+he)/2, for roof angle &gt;10 deg.)")</f>
        <v>ft. (h = he, for roof angle &lt;=10 deg.)</v>
      </c>
      <c r="D27" s="64"/>
      <c r="E27" s="64"/>
      <c r="F27" s="64"/>
      <c r="G27" s="64"/>
      <c r="H27" s="69"/>
      <c r="K27" s="1"/>
      <c r="L27" s="14" t="s">
        <v>174</v>
      </c>
      <c r="M27" s="12">
        <f>IF($B$11="A",1500,IF($B$11="B",1200,IF($B$11="C",900,IF($B$11="D",700,"Error!"))))</f>
        <v>900</v>
      </c>
      <c r="N27" s="17" t="s">
        <v>488</v>
      </c>
      <c r="O27" s="13"/>
      <c r="P27" s="13"/>
      <c r="Q27" s="13"/>
      <c r="R27" s="13"/>
    </row>
    <row r="28" spans="1:18">
      <c r="A28" s="63"/>
      <c r="B28" s="64"/>
      <c r="C28" s="64"/>
      <c r="D28" s="64"/>
      <c r="E28" s="64"/>
      <c r="F28" s="64"/>
      <c r="G28" s="64"/>
      <c r="H28" s="69"/>
      <c r="K28" s="10"/>
      <c r="L28" s="14" t="s">
        <v>175</v>
      </c>
      <c r="M28" s="10">
        <f>IF($B$11="A",IF($P$3&lt;100,2.01*(100/$M$27)^(2/$M$26),2.01*($P$3/$M$27)^(2/$M$26)),IF($B$11="B",IF($P$3&lt;30,2.01*(30/$M$27)^(2/$M$26),2.01*($P$3/$M$27)^(2/$M$26)),IF(OR($B$11="C",$B$11="D"),IF($P$3&lt;15,2.01*(15/$M$27)^(2/$M$26),2.01*($P$3/$M$27)^(2/$M$26)))))</f>
        <v>0.84888415207790313</v>
      </c>
      <c r="N28" s="13" t="s">
        <v>495</v>
      </c>
      <c r="O28" s="13"/>
      <c r="P28" s="13"/>
      <c r="Q28" s="13"/>
      <c r="R28" s="13"/>
    </row>
    <row r="29" spans="1:18">
      <c r="A29" s="63" t="s">
        <v>318</v>
      </c>
      <c r="B29" s="64"/>
      <c r="C29" s="64"/>
      <c r="D29" s="64"/>
      <c r="E29" s="64"/>
      <c r="F29" s="64"/>
      <c r="G29" s="64"/>
      <c r="H29" s="69"/>
      <c r="K29" s="1"/>
      <c r="L29" s="14" t="s">
        <v>226</v>
      </c>
      <c r="M29" s="10">
        <v>1</v>
      </c>
      <c r="N29" s="13" t="s">
        <v>489</v>
      </c>
      <c r="O29" s="13"/>
      <c r="P29" s="13"/>
      <c r="Q29" s="13"/>
      <c r="R29" s="13"/>
    </row>
    <row r="30" spans="1:18">
      <c r="A30" s="68" t="s">
        <v>191</v>
      </c>
      <c r="B30" s="224">
        <f>$M$8</f>
        <v>0.63</v>
      </c>
      <c r="C30" s="105" t="str">
        <f>IF($B$27&lt;=60,IF($B$26&lt;=10,"(Fig. 30.4-1, GCp is reduced by 10% for roof angle &lt;=10 deg. )","(Fig. 30.4-1)"),"(Fig. 30.8-1)")</f>
        <v>(Fig. 30.4-1, GCp is reduced by 10% for roof angle &lt;=10 deg. )</v>
      </c>
      <c r="D30" s="83"/>
      <c r="E30" s="64"/>
      <c r="F30" s="64"/>
      <c r="G30" s="64"/>
      <c r="H30" s="69"/>
      <c r="J30" s="1"/>
      <c r="K30" s="1"/>
      <c r="L30" s="14" t="s">
        <v>266</v>
      </c>
      <c r="M30" s="10">
        <f>0.00256*$M$28*$B$17*$B$18*$B$9^2*$M$29</f>
        <v>22.350780170550358</v>
      </c>
      <c r="N30" s="13"/>
      <c r="O30" s="13"/>
      <c r="P30" s="13"/>
      <c r="Q30" s="13"/>
      <c r="R30" s="13"/>
    </row>
    <row r="31" spans="1:18">
      <c r="A31" s="68" t="s">
        <v>192</v>
      </c>
      <c r="B31" s="229">
        <f>$M$9</f>
        <v>0.63</v>
      </c>
      <c r="C31" s="105" t="str">
        <f>IF($B$27&lt;=60,IF($B$26&lt;=10,"(Fig. 30.4-1, GCp is reduced by 10% for roof angle &lt;=10 deg. )","(Fig. 30.4-1)"),"(Fig. 30.8-1)")</f>
        <v>(Fig. 30.4-1, GCp is reduced by 10% for roof angle &lt;=10 deg. )</v>
      </c>
      <c r="D31" s="83"/>
      <c r="E31" s="64"/>
      <c r="F31" s="64"/>
      <c r="G31" s="64"/>
      <c r="H31" s="69"/>
      <c r="J31" s="1"/>
      <c r="K31" s="1"/>
      <c r="L31" s="13"/>
      <c r="M31" s="13"/>
      <c r="N31" s="13"/>
      <c r="O31" s="13"/>
      <c r="P31" s="13"/>
      <c r="Q31" s="13"/>
      <c r="R31" s="13"/>
    </row>
    <row r="32" spans="1:18">
      <c r="A32" s="68" t="s">
        <v>193</v>
      </c>
      <c r="B32" s="229">
        <f>$M$10</f>
        <v>-0.72000000000000008</v>
      </c>
      <c r="C32" s="105" t="str">
        <f>IF($B$27&lt;=60,IF($B$26&lt;=10,"(Fig. 30.4-1, GCp is reduced by 10% for roof angle &lt;=10 deg. )","(Fig. 30.4-1)"),"(Fig. 30.8-1)")</f>
        <v>(Fig. 30.4-1, GCp is reduced by 10% for roof angle &lt;=10 deg. )</v>
      </c>
      <c r="D32" s="83"/>
      <c r="E32" s="64"/>
      <c r="F32" s="64"/>
      <c r="G32" s="64"/>
      <c r="H32" s="69"/>
      <c r="J32" s="1"/>
      <c r="K32" s="1"/>
      <c r="L32" s="13"/>
      <c r="M32" s="13"/>
      <c r="N32" s="13"/>
      <c r="O32" s="22"/>
      <c r="P32" s="19"/>
      <c r="Q32" s="13"/>
      <c r="R32" s="13"/>
    </row>
    <row r="33" spans="1:18">
      <c r="A33" s="68" t="s">
        <v>194</v>
      </c>
      <c r="B33" s="226">
        <f>$M$11</f>
        <v>-0.72000000000000008</v>
      </c>
      <c r="C33" s="105" t="str">
        <f>IF($B$27&lt;=60,IF($B$26&lt;=10,"(Fig. 30.4-1, GCp is reduced by 10% for roof angle &lt;=10 deg. )","(Fig. 30.4-1)"),"(Fig. 30.8-1)")</f>
        <v>(Fig. 30.4-1, GCp is reduced by 10% for roof angle &lt;=10 deg. )</v>
      </c>
      <c r="D33" s="83"/>
      <c r="E33" s="64"/>
      <c r="F33" s="64"/>
      <c r="G33" s="64"/>
      <c r="H33" s="69"/>
      <c r="J33" s="1"/>
      <c r="K33" s="1"/>
      <c r="L33" s="13"/>
      <c r="M33" s="13"/>
      <c r="N33" s="13"/>
      <c r="O33" s="13"/>
      <c r="P33" s="17"/>
      <c r="Q33" s="13"/>
      <c r="R33" s="13"/>
    </row>
    <row r="34" spans="1:18">
      <c r="A34" s="309" t="s">
        <v>486</v>
      </c>
      <c r="B34" s="64"/>
      <c r="C34" s="64"/>
      <c r="D34" s="64"/>
      <c r="E34" s="53"/>
      <c r="F34" s="64"/>
      <c r="G34" s="64"/>
      <c r="H34" s="69"/>
      <c r="J34" s="1"/>
      <c r="K34" s="1"/>
      <c r="L34" s="13"/>
      <c r="M34" s="13"/>
      <c r="N34" s="13"/>
      <c r="O34" s="13"/>
      <c r="P34" s="13"/>
      <c r="Q34" s="13"/>
      <c r="R34" s="13"/>
    </row>
    <row r="35" spans="1:18">
      <c r="A35" s="101" t="s">
        <v>262</v>
      </c>
      <c r="B35" s="219">
        <f>$M$22</f>
        <v>0.18</v>
      </c>
      <c r="C35" s="64" t="s">
        <v>331</v>
      </c>
      <c r="D35" s="64"/>
      <c r="E35" s="64"/>
      <c r="F35" s="64"/>
      <c r="G35" s="64"/>
      <c r="H35" s="69"/>
      <c r="J35" s="1"/>
      <c r="K35" s="1"/>
      <c r="L35" s="13"/>
      <c r="M35" s="13"/>
      <c r="N35" s="13"/>
      <c r="O35" s="13"/>
      <c r="P35" s="13"/>
      <c r="Q35" s="13"/>
      <c r="R35" s="13"/>
    </row>
    <row r="36" spans="1:18">
      <c r="A36" s="101" t="s">
        <v>263</v>
      </c>
      <c r="B36" s="220">
        <f>$M$23</f>
        <v>-0.18</v>
      </c>
      <c r="C36" s="64" t="s">
        <v>332</v>
      </c>
      <c r="D36" s="64"/>
      <c r="E36" s="64"/>
      <c r="F36" s="64"/>
      <c r="G36" s="64"/>
      <c r="H36" s="69"/>
      <c r="J36" s="1"/>
      <c r="K36" s="1"/>
      <c r="L36" s="13"/>
      <c r="M36" s="13"/>
      <c r="N36" s="13"/>
      <c r="O36" s="13"/>
      <c r="P36" s="13"/>
      <c r="Q36" s="13"/>
      <c r="R36" s="13"/>
    </row>
    <row r="37" spans="1:18">
      <c r="A37" s="63"/>
      <c r="B37" s="64"/>
      <c r="C37" s="64"/>
      <c r="D37" s="64"/>
      <c r="E37" s="64"/>
      <c r="F37" s="64"/>
      <c r="G37" s="64"/>
      <c r="H37" s="69"/>
      <c r="J37" s="1"/>
      <c r="K37" s="1"/>
      <c r="L37" s="13"/>
      <c r="M37" s="13"/>
      <c r="N37" s="14"/>
      <c r="O37" s="21"/>
      <c r="P37" s="13"/>
      <c r="Q37" s="13"/>
      <c r="R37" s="13"/>
    </row>
    <row r="38" spans="1:18">
      <c r="A38" s="538" t="s">
        <v>487</v>
      </c>
      <c r="B38" s="64"/>
      <c r="C38" s="64"/>
      <c r="D38" s="64"/>
      <c r="E38" s="64"/>
      <c r="F38" s="83"/>
      <c r="G38" s="80"/>
      <c r="H38" s="69"/>
      <c r="J38" s="1"/>
      <c r="K38" s="1"/>
      <c r="L38" s="13"/>
      <c r="M38" s="13"/>
      <c r="N38" s="13"/>
      <c r="O38" s="13"/>
      <c r="P38" s="13"/>
      <c r="Q38" s="13"/>
      <c r="R38" s="13"/>
    </row>
    <row r="39" spans="1:18">
      <c r="A39" s="103" t="s">
        <v>343</v>
      </c>
      <c r="B39" s="224">
        <f>$M$26</f>
        <v>9.5</v>
      </c>
      <c r="C39" s="345" t="s">
        <v>488</v>
      </c>
      <c r="D39" s="64"/>
      <c r="E39" s="71" t="str">
        <f>IF($B$11="B","(Note: z not &lt; 30' for Exp. B, Case 1)","")</f>
        <v/>
      </c>
      <c r="F39" s="83"/>
      <c r="G39" s="80"/>
      <c r="H39" s="69"/>
      <c r="J39" s="1"/>
      <c r="K39" s="1"/>
      <c r="L39" s="13"/>
      <c r="M39" s="13"/>
      <c r="N39" s="13"/>
      <c r="O39" s="13"/>
      <c r="P39" s="13"/>
      <c r="Q39" s="13"/>
      <c r="R39" s="13"/>
    </row>
    <row r="40" spans="1:18">
      <c r="A40" s="68" t="s">
        <v>174</v>
      </c>
      <c r="B40" s="228">
        <f>$M$27</f>
        <v>900</v>
      </c>
      <c r="C40" s="304" t="s">
        <v>488</v>
      </c>
      <c r="D40" s="64"/>
      <c r="E40" s="64"/>
      <c r="F40" s="83"/>
      <c r="G40" s="80"/>
      <c r="H40" s="69"/>
      <c r="J40" s="1"/>
      <c r="K40" s="1"/>
      <c r="L40" s="13"/>
      <c r="M40" s="13"/>
      <c r="N40" s="13"/>
      <c r="O40" s="13"/>
      <c r="P40" s="13"/>
      <c r="Q40" s="13"/>
      <c r="R40" s="13"/>
    </row>
    <row r="41" spans="1:18">
      <c r="A41" s="68" t="s">
        <v>175</v>
      </c>
      <c r="B41" s="539">
        <f>$M$28</f>
        <v>0.84888415207790313</v>
      </c>
      <c r="C41" s="64" t="s">
        <v>259</v>
      </c>
      <c r="D41" s="64"/>
      <c r="E41" s="64"/>
      <c r="F41" s="83"/>
      <c r="G41" s="80"/>
      <c r="H41" s="69"/>
      <c r="J41" s="1"/>
      <c r="K41" s="1"/>
      <c r="L41" s="13"/>
      <c r="M41" s="13"/>
      <c r="N41" s="13"/>
      <c r="O41" s="13"/>
      <c r="P41" s="13"/>
      <c r="Q41" s="13"/>
      <c r="R41" s="13"/>
    </row>
    <row r="42" spans="1:18">
      <c r="A42" s="333"/>
      <c r="B42" s="540"/>
      <c r="C42" s="105"/>
      <c r="D42" s="64"/>
      <c r="E42" s="64"/>
      <c r="F42" s="64"/>
      <c r="G42" s="80"/>
      <c r="H42" s="69"/>
      <c r="J42" s="1"/>
      <c r="K42" s="1"/>
      <c r="L42" s="13"/>
      <c r="M42" s="13"/>
      <c r="N42" s="13"/>
      <c r="O42" s="13"/>
      <c r="P42" s="13"/>
      <c r="Q42" s="13"/>
      <c r="R42" s="13"/>
    </row>
    <row r="43" spans="1:18">
      <c r="A43" s="166" t="s">
        <v>490</v>
      </c>
      <c r="B43" s="64"/>
      <c r="C43" s="64"/>
      <c r="D43" s="64"/>
      <c r="E43" s="90"/>
      <c r="F43" s="90"/>
      <c r="G43" s="90"/>
      <c r="H43" s="69"/>
      <c r="J43" s="1"/>
      <c r="K43" s="1"/>
      <c r="L43" s="13"/>
      <c r="M43" s="13"/>
      <c r="N43" s="13"/>
      <c r="O43" s="13"/>
      <c r="P43" s="13"/>
      <c r="Q43" s="13"/>
      <c r="R43" s="13"/>
    </row>
    <row r="44" spans="1:18">
      <c r="A44" s="68" t="s">
        <v>266</v>
      </c>
      <c r="B44" s="78">
        <f>$M$30</f>
        <v>22.350780170550358</v>
      </c>
      <c r="C44" s="64" t="s">
        <v>437</v>
      </c>
      <c r="D44" s="304" t="s">
        <v>491</v>
      </c>
      <c r="E44" s="64"/>
      <c r="F44" s="64"/>
      <c r="G44" s="90"/>
      <c r="H44" s="69"/>
      <c r="J44" s="1"/>
      <c r="K44" s="1"/>
      <c r="L44" s="13"/>
      <c r="M44" s="13"/>
      <c r="N44" s="13"/>
      <c r="O44" s="13"/>
      <c r="P44" s="13"/>
      <c r="Q44" s="13"/>
      <c r="R44" s="13"/>
    </row>
    <row r="45" spans="1:18">
      <c r="A45" s="63"/>
      <c r="B45" s="64"/>
      <c r="C45" s="64"/>
      <c r="D45" s="64"/>
      <c r="E45" s="64"/>
      <c r="F45" s="64"/>
      <c r="G45" s="64"/>
      <c r="H45" s="69"/>
      <c r="J45" s="1"/>
      <c r="K45" s="1"/>
      <c r="L45" s="13"/>
      <c r="M45" s="13"/>
      <c r="N45" s="13"/>
      <c r="O45" s="13"/>
      <c r="P45" s="13"/>
      <c r="Q45" s="13"/>
      <c r="R45" s="13"/>
    </row>
    <row r="46" spans="1:18">
      <c r="A46" s="166" t="s">
        <v>493</v>
      </c>
      <c r="B46" s="64"/>
      <c r="C46" s="64"/>
      <c r="E46" s="92"/>
      <c r="F46" s="90"/>
      <c r="G46" s="90"/>
      <c r="H46" s="100"/>
      <c r="J46" s="1"/>
      <c r="K46" s="1"/>
      <c r="L46" s="13"/>
      <c r="M46" s="13"/>
      <c r="N46" s="13"/>
      <c r="O46" s="13"/>
      <c r="P46" s="13"/>
      <c r="Q46" s="13"/>
      <c r="R46" s="13"/>
    </row>
    <row r="47" spans="1:18">
      <c r="A47" s="63" t="s">
        <v>372</v>
      </c>
      <c r="B47" s="64"/>
      <c r="C47" s="105"/>
      <c r="D47" s="92"/>
      <c r="E47" s="64"/>
      <c r="F47" s="90"/>
      <c r="G47" s="90"/>
      <c r="H47" s="100"/>
      <c r="J47" s="1"/>
      <c r="K47" s="1"/>
      <c r="L47" s="13"/>
      <c r="M47" s="13"/>
      <c r="N47" s="13"/>
      <c r="O47" s="13"/>
      <c r="P47" s="13"/>
      <c r="Q47" s="13"/>
      <c r="R47" s="13"/>
    </row>
    <row r="48" spans="1:18">
      <c r="A48" s="63" t="s">
        <v>373</v>
      </c>
      <c r="B48" s="64"/>
      <c r="C48" s="64"/>
      <c r="D48" s="64"/>
      <c r="E48" s="64"/>
      <c r="F48" s="64"/>
      <c r="G48" s="64"/>
      <c r="H48" s="69"/>
      <c r="J48" s="1"/>
      <c r="K48" s="1"/>
      <c r="L48" s="13"/>
      <c r="M48" s="13"/>
      <c r="N48" s="13"/>
      <c r="O48" s="13"/>
      <c r="P48" s="13"/>
      <c r="Q48" s="13"/>
      <c r="R48" s="13"/>
    </row>
    <row r="49" spans="1:29">
      <c r="A49" s="108" t="s">
        <v>370</v>
      </c>
      <c r="B49" s="64"/>
      <c r="C49" s="64"/>
      <c r="D49" s="90"/>
      <c r="E49" s="64"/>
      <c r="F49" s="64"/>
      <c r="G49" s="90"/>
      <c r="H49" s="69"/>
      <c r="J49" s="1"/>
      <c r="K49" s="1"/>
      <c r="L49" s="13"/>
      <c r="M49" s="13"/>
      <c r="N49" s="13"/>
      <c r="O49" s="13"/>
      <c r="P49" s="13"/>
      <c r="Q49" s="13"/>
      <c r="R49" s="13"/>
    </row>
    <row r="50" spans="1:29">
      <c r="A50" s="541" t="s">
        <v>494</v>
      </c>
      <c r="B50" s="64"/>
      <c r="C50" s="64"/>
      <c r="D50" s="90"/>
      <c r="E50" s="64"/>
      <c r="F50" s="64"/>
      <c r="G50" s="90"/>
      <c r="H50" s="100"/>
      <c r="J50" s="1"/>
      <c r="K50" s="1"/>
      <c r="L50" s="23"/>
      <c r="M50" s="23"/>
      <c r="N50" s="23"/>
      <c r="O50" s="23"/>
      <c r="P50" s="23"/>
      <c r="Q50" s="23"/>
      <c r="R50" s="23"/>
    </row>
    <row r="51" spans="1:29">
      <c r="A51" s="63"/>
      <c r="B51" s="64"/>
      <c r="C51" s="64"/>
      <c r="D51" s="64"/>
      <c r="E51" s="64"/>
      <c r="F51" s="64"/>
      <c r="G51" s="64"/>
      <c r="H51" s="69"/>
    </row>
    <row r="52" spans="1:29">
      <c r="A52" s="88"/>
      <c r="B52" s="73"/>
      <c r="C52" s="73"/>
      <c r="D52" s="73"/>
      <c r="E52" s="73"/>
      <c r="F52" s="73"/>
      <c r="G52" s="73"/>
      <c r="H52" s="89"/>
    </row>
    <row r="53" spans="1:29">
      <c r="A53" s="163" t="s">
        <v>359</v>
      </c>
      <c r="B53" s="74"/>
      <c r="C53" s="74"/>
      <c r="D53" s="110"/>
      <c r="E53" s="110"/>
      <c r="F53" s="137"/>
      <c r="G53" s="137"/>
      <c r="H53" s="75"/>
      <c r="J53" s="32"/>
    </row>
    <row r="54" spans="1:29">
      <c r="A54" s="139" t="s">
        <v>186</v>
      </c>
      <c r="B54" s="81" t="s">
        <v>162</v>
      </c>
      <c r="C54" s="81" t="str">
        <f>IF($B$27&lt;=60,"Kh","Kz")</f>
        <v>Kh</v>
      </c>
      <c r="D54" s="112" t="str">
        <f>IF($B$27&lt;=60,"qh","qz")</f>
        <v>qh</v>
      </c>
      <c r="E54" s="76" t="s">
        <v>356</v>
      </c>
      <c r="F54" s="74"/>
      <c r="G54" s="137"/>
      <c r="H54" s="138"/>
      <c r="J54" s="10"/>
      <c r="K54" s="10"/>
      <c r="AB54" s="340" t="s">
        <v>48</v>
      </c>
    </row>
    <row r="55" spans="1:29">
      <c r="A55" s="82"/>
      <c r="B55" s="139" t="s">
        <v>163</v>
      </c>
      <c r="C55" s="139"/>
      <c r="D55" s="140" t="s">
        <v>164</v>
      </c>
      <c r="E55" s="140" t="s">
        <v>187</v>
      </c>
      <c r="F55" s="140" t="s">
        <v>188</v>
      </c>
      <c r="G55" s="140" t="s">
        <v>189</v>
      </c>
      <c r="H55" s="140" t="s">
        <v>190</v>
      </c>
      <c r="J55" s="10"/>
      <c r="K55" s="10"/>
      <c r="AB55" s="341" t="s">
        <v>176</v>
      </c>
      <c r="AC55" s="343" t="s">
        <v>149</v>
      </c>
    </row>
    <row r="56" spans="1:29">
      <c r="A56" s="178" t="str">
        <f>$B$21</f>
        <v>Wall</v>
      </c>
      <c r="B56" s="243">
        <f>IF($AB$55="N",0,$AB56)</f>
        <v>0</v>
      </c>
      <c r="C56" s="236">
        <f t="shared" ref="C56:C83" si="0">IF($P$3&lt;=60,IF($B56="","",$M$28),IF($B56="","",IF(AND($B$11="A",$B56&lt;=100),0.68,IF(AND($B$11="B",$B56&lt;=30),0.7,IF(AND($B$11="C",$B56&lt;=15),0.85,IF(AND($B$11="D",$B56&lt;=15),1.03,2.01*($B56/$M$27)^(2/$M$26)))))))</f>
        <v>0.84888415207790313</v>
      </c>
      <c r="D56" s="224">
        <f t="shared" ref="D56:D83" si="1">IF($P$3&lt;=60,IF($B56="","",$M$30),IF($B56="","",0.00256*$C56*$B$17*$B$18*$M$29*$B$9^2))</f>
        <v>22.350780170550358</v>
      </c>
      <c r="E56" s="236">
        <f>IF($P$3&lt;=60,IF($B56="","",$M$30*($M$8-$M$23)),IF($B56="","",$D56*$M$8-$M$30*$M$23))</f>
        <v>18.104131938145791</v>
      </c>
      <c r="F56" s="224">
        <f t="shared" ref="F56:F83" si="2">IF($P$3&lt;=60,IF($B56="","",$M$30*($M$10-$M$22)),IF($B56="","",$M$30*$M$10-$M$30*$M$22))</f>
        <v>-20.115702153495324</v>
      </c>
      <c r="G56" s="236">
        <f t="shared" ref="G56:G83" si="3">IF($P$3&lt;=60,IF($B56="","",$M$30*($M$9-$M$23)),IF($B56="","",$D56*$M$9-$M$30*$M$23))</f>
        <v>18.104131938145791</v>
      </c>
      <c r="H56" s="224">
        <f t="shared" ref="H56:H83" si="4">IF($P$3&lt;=60,IF($B56="","",$M$30*($M$11-$M$22)),IF($B56="","",$M$30*$M$11-$M$30*$M$22))</f>
        <v>-20.115702153495324</v>
      </c>
      <c r="J56" s="10"/>
      <c r="K56" s="10"/>
      <c r="AB56" s="267"/>
    </row>
    <row r="57" spans="1:29">
      <c r="A57" s="141" t="str">
        <f t="shared" ref="A57:A81" si="5">IF($B57=$B$12,"For z = hr:","")</f>
        <v>For z = hr:</v>
      </c>
      <c r="B57" s="222">
        <f>IF($AB$55="N",IF($B$12&gt;=15,15,IF($B56=$B$12,"",IF($B56="","",$B$12))),IF(OR($AB57="",$AB57&gt;$B$12),"",$AB57))</f>
        <v>14.67</v>
      </c>
      <c r="C57" s="237">
        <f t="shared" si="0"/>
        <v>0.84888415207790313</v>
      </c>
      <c r="D57" s="229">
        <f t="shared" si="1"/>
        <v>22.350780170550358</v>
      </c>
      <c r="E57" s="237">
        <f t="shared" ref="E57:E83" si="6">IF($P$3&lt;=60,IF($B57="","",$M$30*($M$8-$M$23)),IF($B57="","",$D57*$M$8-$M$30*$M$23))</f>
        <v>18.104131938145791</v>
      </c>
      <c r="F57" s="229">
        <f t="shared" si="2"/>
        <v>-20.115702153495324</v>
      </c>
      <c r="G57" s="237">
        <f t="shared" si="3"/>
        <v>18.104131938145791</v>
      </c>
      <c r="H57" s="229">
        <f t="shared" si="4"/>
        <v>-20.115702153495324</v>
      </c>
      <c r="J57" s="10"/>
      <c r="K57" s="10"/>
      <c r="AB57" s="267"/>
    </row>
    <row r="58" spans="1:29">
      <c r="A58" s="141" t="str">
        <f t="shared" si="5"/>
        <v/>
      </c>
      <c r="B58" s="222" t="str">
        <f>IF($AB$55="N",IF($B$12&gt;=20,20,IF($B57=$B$12,"",IF($B57="","",$B$12))),IF(OR($AB58="",$AB58&gt;$B$12),"",$AB58))</f>
        <v/>
      </c>
      <c r="C58" s="237" t="str">
        <f t="shared" si="0"/>
        <v/>
      </c>
      <c r="D58" s="229" t="str">
        <f t="shared" si="1"/>
        <v/>
      </c>
      <c r="E58" s="237" t="str">
        <f t="shared" si="6"/>
        <v/>
      </c>
      <c r="F58" s="229" t="str">
        <f t="shared" si="2"/>
        <v/>
      </c>
      <c r="G58" s="237" t="str">
        <f t="shared" si="3"/>
        <v/>
      </c>
      <c r="H58" s="229" t="str">
        <f t="shared" si="4"/>
        <v/>
      </c>
      <c r="J58" s="10"/>
      <c r="K58" s="10"/>
      <c r="AB58" s="267"/>
    </row>
    <row r="59" spans="1:29">
      <c r="A59" s="141" t="str">
        <f t="shared" si="5"/>
        <v/>
      </c>
      <c r="B59" s="222" t="str">
        <f>IF($AB$55="N",IF($B$12&gt;=25,25,IF($B58=$B$12,"",IF($B58="","",$B$12))),IF(OR($AB59="",$AB59&gt;$B$12),"",$AB59))</f>
        <v/>
      </c>
      <c r="C59" s="237" t="str">
        <f t="shared" si="0"/>
        <v/>
      </c>
      <c r="D59" s="229" t="str">
        <f t="shared" si="1"/>
        <v/>
      </c>
      <c r="E59" s="237" t="str">
        <f t="shared" si="6"/>
        <v/>
      </c>
      <c r="F59" s="229" t="str">
        <f t="shared" si="2"/>
        <v/>
      </c>
      <c r="G59" s="237" t="str">
        <f t="shared" si="3"/>
        <v/>
      </c>
      <c r="H59" s="229" t="str">
        <f t="shared" si="4"/>
        <v/>
      </c>
      <c r="J59" s="10"/>
      <c r="K59" s="10"/>
      <c r="AB59" s="267"/>
    </row>
    <row r="60" spans="1:29">
      <c r="A60" s="141" t="str">
        <f t="shared" si="5"/>
        <v/>
      </c>
      <c r="B60" s="222" t="str">
        <f>IF($AB$55="N",IF($B$12&gt;=30,30,IF($B59=$B$12,"",IF($B59="","",$B$12))),IF(OR($AB60="",$AB60&gt;$B$12),"",$AB60))</f>
        <v/>
      </c>
      <c r="C60" s="237" t="str">
        <f t="shared" si="0"/>
        <v/>
      </c>
      <c r="D60" s="229" t="str">
        <f t="shared" si="1"/>
        <v/>
      </c>
      <c r="E60" s="237" t="str">
        <f t="shared" si="6"/>
        <v/>
      </c>
      <c r="F60" s="229" t="str">
        <f t="shared" si="2"/>
        <v/>
      </c>
      <c r="G60" s="237" t="str">
        <f t="shared" si="3"/>
        <v/>
      </c>
      <c r="H60" s="229" t="str">
        <f t="shared" si="4"/>
        <v/>
      </c>
      <c r="J60" s="10"/>
      <c r="K60" s="10"/>
      <c r="AB60" s="267"/>
    </row>
    <row r="61" spans="1:29">
      <c r="A61" s="141" t="str">
        <f t="shared" si="5"/>
        <v/>
      </c>
      <c r="B61" s="222" t="str">
        <f>IF($AB$55="N",IF($B$12&gt;=35,35,IF($B60=$B$12,"",IF($B60="","",$B$12))),IF(OR($AB61="",$AB61&gt;$B$12),"",$AB61))</f>
        <v/>
      </c>
      <c r="C61" s="237" t="str">
        <f t="shared" si="0"/>
        <v/>
      </c>
      <c r="D61" s="229" t="str">
        <f t="shared" si="1"/>
        <v/>
      </c>
      <c r="E61" s="237" t="str">
        <f t="shared" si="6"/>
        <v/>
      </c>
      <c r="F61" s="229" t="str">
        <f t="shared" si="2"/>
        <v/>
      </c>
      <c r="G61" s="237" t="str">
        <f t="shared" si="3"/>
        <v/>
      </c>
      <c r="H61" s="229" t="str">
        <f t="shared" si="4"/>
        <v/>
      </c>
      <c r="J61" s="10"/>
      <c r="K61" s="10"/>
      <c r="AB61" s="267"/>
    </row>
    <row r="62" spans="1:29">
      <c r="A62" s="141" t="str">
        <f t="shared" si="5"/>
        <v/>
      </c>
      <c r="B62" s="222" t="str">
        <f>IF($AB$55="N",IF($B$12&gt;=40,40,IF($B61=$B$12,"",IF($B61="","",$B$12))),IF(OR($AB62="",$AB62&gt;$B$12),"",$AB62))</f>
        <v/>
      </c>
      <c r="C62" s="237" t="str">
        <f t="shared" si="0"/>
        <v/>
      </c>
      <c r="D62" s="229" t="str">
        <f t="shared" si="1"/>
        <v/>
      </c>
      <c r="E62" s="237" t="str">
        <f t="shared" si="6"/>
        <v/>
      </c>
      <c r="F62" s="229" t="str">
        <f t="shared" si="2"/>
        <v/>
      </c>
      <c r="G62" s="237" t="str">
        <f t="shared" si="3"/>
        <v/>
      </c>
      <c r="H62" s="229" t="str">
        <f t="shared" si="4"/>
        <v/>
      </c>
      <c r="J62" s="10"/>
      <c r="K62" s="10"/>
      <c r="AB62" s="267"/>
    </row>
    <row r="63" spans="1:29">
      <c r="A63" s="141" t="str">
        <f t="shared" si="5"/>
        <v/>
      </c>
      <c r="B63" s="222" t="str">
        <f>IF($AB$55="N",IF($B$12&gt;=45,45,IF($B62=$B$12,"",IF($B62="","",$B$12))),IF(OR($AB63="",$AB63&gt;$B$12),"",$AB63))</f>
        <v/>
      </c>
      <c r="C63" s="237" t="str">
        <f t="shared" si="0"/>
        <v/>
      </c>
      <c r="D63" s="229" t="str">
        <f t="shared" si="1"/>
        <v/>
      </c>
      <c r="E63" s="237" t="str">
        <f t="shared" si="6"/>
        <v/>
      </c>
      <c r="F63" s="229" t="str">
        <f t="shared" si="2"/>
        <v/>
      </c>
      <c r="G63" s="237" t="str">
        <f t="shared" si="3"/>
        <v/>
      </c>
      <c r="H63" s="229" t="str">
        <f t="shared" si="4"/>
        <v/>
      </c>
      <c r="J63" s="10"/>
      <c r="K63" s="10"/>
      <c r="AB63" s="267"/>
    </row>
    <row r="64" spans="1:29">
      <c r="A64" s="141" t="str">
        <f t="shared" si="5"/>
        <v/>
      </c>
      <c r="B64" s="222" t="str">
        <f>IF($AB$55="N",IF($B$12&gt;=50,50,IF($B63=$B$12,"",IF($B63="","",$B$12))),IF(OR($AB64="",$AB64&gt;$B$12),"",$AB64))</f>
        <v/>
      </c>
      <c r="C64" s="237" t="str">
        <f t="shared" si="0"/>
        <v/>
      </c>
      <c r="D64" s="229" t="str">
        <f t="shared" si="1"/>
        <v/>
      </c>
      <c r="E64" s="237" t="str">
        <f t="shared" si="6"/>
        <v/>
      </c>
      <c r="F64" s="229" t="str">
        <f t="shared" si="2"/>
        <v/>
      </c>
      <c r="G64" s="237" t="str">
        <f t="shared" si="3"/>
        <v/>
      </c>
      <c r="H64" s="229" t="str">
        <f t="shared" si="4"/>
        <v/>
      </c>
      <c r="J64" s="10"/>
      <c r="K64" s="10"/>
      <c r="AB64" s="267"/>
    </row>
    <row r="65" spans="1:29">
      <c r="A65" s="141" t="str">
        <f t="shared" si="5"/>
        <v/>
      </c>
      <c r="B65" s="222" t="str">
        <f>IF($AB$55="N",IF($B$12&gt;=55,55,IF($B64=$B$12,"",IF($B64="","",$B$12))),IF(OR($AB65="",$AB65&gt;$B$12),"",$AB65))</f>
        <v/>
      </c>
      <c r="C65" s="237" t="str">
        <f t="shared" si="0"/>
        <v/>
      </c>
      <c r="D65" s="229" t="str">
        <f t="shared" si="1"/>
        <v/>
      </c>
      <c r="E65" s="237" t="str">
        <f t="shared" si="6"/>
        <v/>
      </c>
      <c r="F65" s="229" t="str">
        <f t="shared" si="2"/>
        <v/>
      </c>
      <c r="G65" s="237" t="str">
        <f t="shared" si="3"/>
        <v/>
      </c>
      <c r="H65" s="229" t="str">
        <f t="shared" si="4"/>
        <v/>
      </c>
      <c r="J65" s="10"/>
      <c r="K65" s="10"/>
      <c r="AB65" s="267"/>
    </row>
    <row r="66" spans="1:29">
      <c r="A66" s="141" t="str">
        <f t="shared" si="5"/>
        <v/>
      </c>
      <c r="B66" s="222" t="str">
        <f>IF($AB$55="N",IF($B$12&gt;=60,60,IF($B65=$B$12,"",IF($B65="","",$B$12))),IF(OR($AB66="",$AB66&gt;$B$12),"",$AB66))</f>
        <v/>
      </c>
      <c r="C66" s="237" t="str">
        <f t="shared" si="0"/>
        <v/>
      </c>
      <c r="D66" s="229" t="str">
        <f t="shared" si="1"/>
        <v/>
      </c>
      <c r="E66" s="237" t="str">
        <f t="shared" si="6"/>
        <v/>
      </c>
      <c r="F66" s="229" t="str">
        <f t="shared" si="2"/>
        <v/>
      </c>
      <c r="G66" s="237" t="str">
        <f t="shared" si="3"/>
        <v/>
      </c>
      <c r="H66" s="229" t="str">
        <f t="shared" si="4"/>
        <v/>
      </c>
      <c r="J66" s="10"/>
      <c r="K66" s="10"/>
      <c r="AB66" s="267"/>
    </row>
    <row r="67" spans="1:29">
      <c r="A67" s="141" t="str">
        <f t="shared" si="5"/>
        <v/>
      </c>
      <c r="B67" s="222" t="str">
        <f>IF($AB$55="N",IF($B$12&gt;=70,70,IF($B66=$B$12,"",IF($B66="","",$B$12))),IF(OR($AB67="",$AB67&gt;$B$12),"",$AB67))</f>
        <v/>
      </c>
      <c r="C67" s="237" t="str">
        <f t="shared" si="0"/>
        <v/>
      </c>
      <c r="D67" s="229" t="str">
        <f t="shared" si="1"/>
        <v/>
      </c>
      <c r="E67" s="237" t="str">
        <f t="shared" si="6"/>
        <v/>
      </c>
      <c r="F67" s="229" t="str">
        <f t="shared" si="2"/>
        <v/>
      </c>
      <c r="G67" s="237" t="str">
        <f t="shared" si="3"/>
        <v/>
      </c>
      <c r="H67" s="229" t="str">
        <f t="shared" si="4"/>
        <v/>
      </c>
      <c r="J67" s="10"/>
      <c r="K67" s="10"/>
      <c r="AB67" s="267"/>
    </row>
    <row r="68" spans="1:29">
      <c r="A68" s="141" t="str">
        <f t="shared" si="5"/>
        <v/>
      </c>
      <c r="B68" s="222" t="str">
        <f>IF($AB$55="N",IF($B$12&gt;=80,80,IF($B67=$B$12,"",IF($B67="","",$B$12))),IF(OR($AB68="",$AB68&gt;$B$12),"",$AB68))</f>
        <v/>
      </c>
      <c r="C68" s="237" t="str">
        <f t="shared" si="0"/>
        <v/>
      </c>
      <c r="D68" s="229" t="str">
        <f t="shared" si="1"/>
        <v/>
      </c>
      <c r="E68" s="237" t="str">
        <f t="shared" si="6"/>
        <v/>
      </c>
      <c r="F68" s="229" t="str">
        <f t="shared" si="2"/>
        <v/>
      </c>
      <c r="G68" s="237" t="str">
        <f t="shared" si="3"/>
        <v/>
      </c>
      <c r="H68" s="229" t="str">
        <f t="shared" si="4"/>
        <v/>
      </c>
      <c r="J68" s="10"/>
      <c r="K68" s="10"/>
      <c r="AB68" s="267"/>
    </row>
    <row r="69" spans="1:29">
      <c r="A69" s="141" t="str">
        <f t="shared" si="5"/>
        <v/>
      </c>
      <c r="B69" s="222" t="str">
        <f>IF($AB$55="N",IF($B$12&gt;=90,90,IF($B68=$B$12,"",IF($B68="","",$B$12))),IF(OR($AB69="",$AB69&gt;$B$12),"",$AB69))</f>
        <v/>
      </c>
      <c r="C69" s="237" t="str">
        <f t="shared" si="0"/>
        <v/>
      </c>
      <c r="D69" s="229" t="str">
        <f t="shared" si="1"/>
        <v/>
      </c>
      <c r="E69" s="237" t="str">
        <f t="shared" si="6"/>
        <v/>
      </c>
      <c r="F69" s="229" t="str">
        <f t="shared" si="2"/>
        <v/>
      </c>
      <c r="G69" s="237" t="str">
        <f t="shared" si="3"/>
        <v/>
      </c>
      <c r="H69" s="229" t="str">
        <f t="shared" si="4"/>
        <v/>
      </c>
      <c r="J69" s="10"/>
      <c r="K69" s="10"/>
      <c r="AB69" s="267"/>
    </row>
    <row r="70" spans="1:29">
      <c r="A70" s="141" t="str">
        <f t="shared" si="5"/>
        <v/>
      </c>
      <c r="B70" s="222" t="str">
        <f>IF($AB$55="N",IF($B$12&gt;=100,100,IF($B69=$B$12,"",IF($B69="","",$B$12))),IF(OR($AB70="",$AB70&gt;$B$12),"",$AB70))</f>
        <v/>
      </c>
      <c r="C70" s="237" t="str">
        <f t="shared" si="0"/>
        <v/>
      </c>
      <c r="D70" s="229" t="str">
        <f t="shared" si="1"/>
        <v/>
      </c>
      <c r="E70" s="237" t="str">
        <f t="shared" si="6"/>
        <v/>
      </c>
      <c r="F70" s="229" t="str">
        <f t="shared" si="2"/>
        <v/>
      </c>
      <c r="G70" s="237" t="str">
        <f t="shared" si="3"/>
        <v/>
      </c>
      <c r="H70" s="229" t="str">
        <f t="shared" si="4"/>
        <v/>
      </c>
      <c r="J70" s="10"/>
      <c r="K70" s="10"/>
      <c r="AB70" s="267"/>
    </row>
    <row r="71" spans="1:29">
      <c r="A71" s="141" t="str">
        <f t="shared" si="5"/>
        <v/>
      </c>
      <c r="B71" s="222" t="str">
        <f>IF($AB$55="N",IF($B$12&gt;=120,120,IF($B70=$B$12,"",IF($B70="","",$B$12))),IF(OR($AB71="",$AB71&gt;$B$12),"",$AB71))</f>
        <v/>
      </c>
      <c r="C71" s="237" t="str">
        <f t="shared" si="0"/>
        <v/>
      </c>
      <c r="D71" s="229" t="str">
        <f t="shared" si="1"/>
        <v/>
      </c>
      <c r="E71" s="237" t="str">
        <f t="shared" si="6"/>
        <v/>
      </c>
      <c r="F71" s="229" t="str">
        <f t="shared" si="2"/>
        <v/>
      </c>
      <c r="G71" s="237" t="str">
        <f t="shared" si="3"/>
        <v/>
      </c>
      <c r="H71" s="229" t="str">
        <f t="shared" si="4"/>
        <v/>
      </c>
      <c r="J71" s="10"/>
      <c r="K71" s="10"/>
      <c r="AB71" s="267"/>
    </row>
    <row r="72" spans="1:29">
      <c r="A72" s="141" t="str">
        <f t="shared" si="5"/>
        <v/>
      </c>
      <c r="B72" s="222" t="str">
        <f>IF($AB$55="N",IF($B$12&gt;=140,140,IF($B71=$B$12,"",IF($B71="","",$B$12))),IF(OR($AB72="",$AB72&gt;$B$12),"",$AB72))</f>
        <v/>
      </c>
      <c r="C72" s="237" t="str">
        <f t="shared" si="0"/>
        <v/>
      </c>
      <c r="D72" s="229" t="str">
        <f t="shared" si="1"/>
        <v/>
      </c>
      <c r="E72" s="237" t="str">
        <f t="shared" si="6"/>
        <v/>
      </c>
      <c r="F72" s="229" t="str">
        <f t="shared" si="2"/>
        <v/>
      </c>
      <c r="G72" s="237" t="str">
        <f t="shared" si="3"/>
        <v/>
      </c>
      <c r="H72" s="229" t="str">
        <f t="shared" si="4"/>
        <v/>
      </c>
      <c r="J72" s="10"/>
      <c r="K72" s="10"/>
      <c r="AB72" s="267"/>
    </row>
    <row r="73" spans="1:29">
      <c r="A73" s="141" t="str">
        <f t="shared" si="5"/>
        <v/>
      </c>
      <c r="B73" s="222" t="str">
        <f>IF($AB$55="N",IF($B$12&gt;=160,160,IF($B72=$B$12,"",IF($B72="","",$B$12))),IF(OR($AB73="",$AB73&gt;$B$12),"",$AB73))</f>
        <v/>
      </c>
      <c r="C73" s="237" t="str">
        <f t="shared" si="0"/>
        <v/>
      </c>
      <c r="D73" s="229" t="str">
        <f t="shared" si="1"/>
        <v/>
      </c>
      <c r="E73" s="237" t="str">
        <f t="shared" si="6"/>
        <v/>
      </c>
      <c r="F73" s="229" t="str">
        <f t="shared" si="2"/>
        <v/>
      </c>
      <c r="G73" s="237" t="str">
        <f t="shared" si="3"/>
        <v/>
      </c>
      <c r="H73" s="229" t="str">
        <f t="shared" si="4"/>
        <v/>
      </c>
      <c r="J73" s="10"/>
      <c r="K73" s="10"/>
      <c r="AB73" s="267"/>
    </row>
    <row r="74" spans="1:29">
      <c r="A74" s="141" t="str">
        <f t="shared" si="5"/>
        <v/>
      </c>
      <c r="B74" s="222" t="str">
        <f>IF($AB$55="N",IF($B$12&gt;=180,180,IF($B73=$B$12,"",IF($B73="","",$B$12))),IF(OR($AB74="",$AB74&gt;$B$12),"",$AB74))</f>
        <v/>
      </c>
      <c r="C74" s="237" t="str">
        <f t="shared" si="0"/>
        <v/>
      </c>
      <c r="D74" s="229" t="str">
        <f t="shared" si="1"/>
        <v/>
      </c>
      <c r="E74" s="237" t="str">
        <f t="shared" si="6"/>
        <v/>
      </c>
      <c r="F74" s="229" t="str">
        <f t="shared" si="2"/>
        <v/>
      </c>
      <c r="G74" s="237" t="str">
        <f t="shared" si="3"/>
        <v/>
      </c>
      <c r="H74" s="229" t="str">
        <f t="shared" si="4"/>
        <v/>
      </c>
      <c r="J74" s="10"/>
      <c r="K74" s="10"/>
      <c r="AB74" s="267"/>
    </row>
    <row r="75" spans="1:29">
      <c r="A75" s="141" t="str">
        <f t="shared" si="5"/>
        <v/>
      </c>
      <c r="B75" s="222" t="str">
        <f>IF($AB$55="N",IF($B$12&gt;=200,200,IF($B74=$B$12,"",IF($B74="","",$B$12))),IF(OR($AB75="",$AB75&gt;$B$12),"",$AB75))</f>
        <v/>
      </c>
      <c r="C75" s="237" t="str">
        <f t="shared" si="0"/>
        <v/>
      </c>
      <c r="D75" s="229" t="str">
        <f t="shared" si="1"/>
        <v/>
      </c>
      <c r="E75" s="237" t="str">
        <f t="shared" si="6"/>
        <v/>
      </c>
      <c r="F75" s="229" t="str">
        <f t="shared" si="2"/>
        <v/>
      </c>
      <c r="G75" s="237" t="str">
        <f t="shared" si="3"/>
        <v/>
      </c>
      <c r="H75" s="229" t="str">
        <f t="shared" si="4"/>
        <v/>
      </c>
      <c r="J75" s="10"/>
      <c r="K75" s="10"/>
      <c r="AB75" s="267"/>
    </row>
    <row r="76" spans="1:29">
      <c r="A76" s="141" t="str">
        <f t="shared" si="5"/>
        <v/>
      </c>
      <c r="B76" s="222" t="str">
        <f>IF($AB$55="N",IF($B$12&gt;=250,250,IF($B75=$B$12,"",IF($B75="","",$B$12))),IF(OR($AB76="",$AB76&gt;$B$12),"",$AB76))</f>
        <v/>
      </c>
      <c r="C76" s="237" t="str">
        <f t="shared" si="0"/>
        <v/>
      </c>
      <c r="D76" s="229" t="str">
        <f t="shared" si="1"/>
        <v/>
      </c>
      <c r="E76" s="237" t="str">
        <f t="shared" si="6"/>
        <v/>
      </c>
      <c r="F76" s="229" t="str">
        <f t="shared" si="2"/>
        <v/>
      </c>
      <c r="G76" s="237" t="str">
        <f t="shared" si="3"/>
        <v/>
      </c>
      <c r="H76" s="229" t="str">
        <f t="shared" si="4"/>
        <v/>
      </c>
      <c r="J76" s="10"/>
      <c r="K76" s="10"/>
      <c r="AB76" s="267"/>
    </row>
    <row r="77" spans="1:29">
      <c r="A77" s="141" t="str">
        <f t="shared" si="5"/>
        <v/>
      </c>
      <c r="B77" s="222" t="str">
        <f>IF($AB$55="N",IF($B$12&gt;=300,300,IF($B76=$B$12,"",IF($B76="","",$B$12))),IF(OR($AB77="",$AB77&gt;$B$12),"",$AB77))</f>
        <v/>
      </c>
      <c r="C77" s="237" t="str">
        <f t="shared" si="0"/>
        <v/>
      </c>
      <c r="D77" s="229" t="str">
        <f t="shared" si="1"/>
        <v/>
      </c>
      <c r="E77" s="237" t="str">
        <f t="shared" si="6"/>
        <v/>
      </c>
      <c r="F77" s="229" t="str">
        <f t="shared" si="2"/>
        <v/>
      </c>
      <c r="G77" s="237" t="str">
        <f t="shared" si="3"/>
        <v/>
      </c>
      <c r="H77" s="229" t="str">
        <f t="shared" si="4"/>
        <v/>
      </c>
      <c r="J77" s="10"/>
      <c r="K77" s="10"/>
      <c r="AB77" s="267"/>
    </row>
    <row r="78" spans="1:29">
      <c r="A78" s="141" t="str">
        <f t="shared" si="5"/>
        <v/>
      </c>
      <c r="B78" s="222" t="str">
        <f>IF($AB$55="N",IF($B$12&gt;=350,350,IF($B77=$B$12,"",IF($B77="","",$B$12))),IF(OR($AB78="",$AB78&gt;$B$12),"",$AB78))</f>
        <v/>
      </c>
      <c r="C78" s="237" t="str">
        <f t="shared" si="0"/>
        <v/>
      </c>
      <c r="D78" s="229" t="str">
        <f t="shared" si="1"/>
        <v/>
      </c>
      <c r="E78" s="237" t="str">
        <f t="shared" si="6"/>
        <v/>
      </c>
      <c r="F78" s="229" t="str">
        <f t="shared" si="2"/>
        <v/>
      </c>
      <c r="G78" s="237" t="str">
        <f t="shared" si="3"/>
        <v/>
      </c>
      <c r="H78" s="229" t="str">
        <f t="shared" si="4"/>
        <v/>
      </c>
      <c r="J78" s="10"/>
      <c r="K78" s="10"/>
      <c r="AB78" s="267"/>
    </row>
    <row r="79" spans="1:29">
      <c r="A79" s="141" t="str">
        <f t="shared" si="5"/>
        <v/>
      </c>
      <c r="B79" s="222" t="str">
        <f>IF($AB$55="N",IF($B$12&gt;=400,400,IF($B78=$B$12,"",IF($B78="","",$B$12))),IF(OR($AB79="",$AB79&gt;$B$12),"",$AB79))</f>
        <v/>
      </c>
      <c r="C79" s="237" t="str">
        <f t="shared" si="0"/>
        <v/>
      </c>
      <c r="D79" s="229" t="str">
        <f t="shared" si="1"/>
        <v/>
      </c>
      <c r="E79" s="237" t="str">
        <f t="shared" si="6"/>
        <v/>
      </c>
      <c r="F79" s="229" t="str">
        <f t="shared" si="2"/>
        <v/>
      </c>
      <c r="G79" s="237" t="str">
        <f t="shared" si="3"/>
        <v/>
      </c>
      <c r="H79" s="229" t="str">
        <f t="shared" si="4"/>
        <v/>
      </c>
      <c r="J79" s="10"/>
      <c r="K79" s="10"/>
      <c r="AB79" s="267"/>
      <c r="AC79" s="171"/>
    </row>
    <row r="80" spans="1:29">
      <c r="A80" s="141" t="str">
        <f t="shared" si="5"/>
        <v/>
      </c>
      <c r="B80" s="222" t="str">
        <f>IF($AB$55="N",IF($B$12&gt;=450,450,IF($B79=$B$12,"",IF($B79="","",$B$12))),IF(OR($AB80="",$AB80&gt;$B$12),"",$AB80))</f>
        <v/>
      </c>
      <c r="C80" s="237" t="str">
        <f t="shared" si="0"/>
        <v/>
      </c>
      <c r="D80" s="229" t="str">
        <f t="shared" si="1"/>
        <v/>
      </c>
      <c r="E80" s="237" t="str">
        <f t="shared" si="6"/>
        <v/>
      </c>
      <c r="F80" s="229" t="str">
        <f t="shared" si="2"/>
        <v/>
      </c>
      <c r="G80" s="237" t="str">
        <f t="shared" si="3"/>
        <v/>
      </c>
      <c r="H80" s="229" t="str">
        <f t="shared" si="4"/>
        <v/>
      </c>
      <c r="AB80" s="267"/>
      <c r="AC80" s="171"/>
    </row>
    <row r="81" spans="1:29">
      <c r="A81" s="141" t="str">
        <f t="shared" si="5"/>
        <v/>
      </c>
      <c r="B81" s="222" t="str">
        <f>IF($AB$55="N",IF($B$12&gt;=500,500,IF($B80=$B$12,"",IF($B80="","",$B$12))),IF(OR($AB81="",$AB81&gt;$B$12),"",$AB81))</f>
        <v/>
      </c>
      <c r="C81" s="237" t="str">
        <f t="shared" si="0"/>
        <v/>
      </c>
      <c r="D81" s="229" t="str">
        <f t="shared" si="1"/>
        <v/>
      </c>
      <c r="E81" s="237" t="str">
        <f t="shared" si="6"/>
        <v/>
      </c>
      <c r="F81" s="229" t="str">
        <f t="shared" si="2"/>
        <v/>
      </c>
      <c r="G81" s="237" t="str">
        <f t="shared" si="3"/>
        <v/>
      </c>
      <c r="H81" s="229" t="str">
        <f t="shared" si="4"/>
        <v/>
      </c>
      <c r="AB81" s="342"/>
      <c r="AC81" s="171"/>
    </row>
    <row r="82" spans="1:29">
      <c r="A82" s="141" t="s">
        <v>361</v>
      </c>
      <c r="B82" s="229">
        <f>$B$13</f>
        <v>14.67</v>
      </c>
      <c r="C82" s="237">
        <f t="shared" si="0"/>
        <v>0.84888415207790313</v>
      </c>
      <c r="D82" s="229">
        <f t="shared" si="1"/>
        <v>22.350780170550358</v>
      </c>
      <c r="E82" s="237">
        <f t="shared" si="6"/>
        <v>18.104131938145791</v>
      </c>
      <c r="F82" s="229">
        <f t="shared" si="2"/>
        <v>-20.115702153495324</v>
      </c>
      <c r="G82" s="237">
        <f t="shared" si="3"/>
        <v>18.104131938145791</v>
      </c>
      <c r="H82" s="229">
        <f t="shared" si="4"/>
        <v>-20.115702153495324</v>
      </c>
    </row>
    <row r="83" spans="1:29">
      <c r="A83" s="179" t="s">
        <v>362</v>
      </c>
      <c r="B83" s="226">
        <f>$B$27</f>
        <v>14.67</v>
      </c>
      <c r="C83" s="238">
        <f t="shared" si="0"/>
        <v>0.84888415207790313</v>
      </c>
      <c r="D83" s="226">
        <f t="shared" si="1"/>
        <v>22.350780170550358</v>
      </c>
      <c r="E83" s="238">
        <f t="shared" si="6"/>
        <v>18.104131938145791</v>
      </c>
      <c r="F83" s="226">
        <f t="shared" si="2"/>
        <v>-20.115702153495324</v>
      </c>
      <c r="G83" s="238">
        <f t="shared" si="3"/>
        <v>18.104131938145791</v>
      </c>
      <c r="H83" s="226">
        <f t="shared" si="4"/>
        <v>-20.115702153495324</v>
      </c>
    </row>
    <row r="84" spans="1:29">
      <c r="A84" s="63"/>
      <c r="B84" s="64"/>
      <c r="C84" s="64"/>
      <c r="D84" s="64"/>
      <c r="E84" s="64"/>
      <c r="F84" s="64"/>
      <c r="G84" s="64"/>
      <c r="H84" s="69"/>
    </row>
    <row r="85" spans="1:29">
      <c r="A85" s="63" t="s">
        <v>308</v>
      </c>
      <c r="B85" s="64"/>
      <c r="C85" s="64"/>
      <c r="D85" s="64"/>
      <c r="E85" s="64"/>
      <c r="F85" s="64"/>
      <c r="G85" s="64"/>
      <c r="H85" s="69"/>
    </row>
    <row r="86" spans="1:29">
      <c r="A86" s="102" t="s">
        <v>320</v>
      </c>
      <c r="B86" s="64"/>
      <c r="C86" s="64"/>
      <c r="D86" s="64"/>
      <c r="E86" s="78">
        <f>IF($B$27&lt;=60,$M$19,$O$17)</f>
        <v>8.16</v>
      </c>
      <c r="F86" s="129" t="s">
        <v>200</v>
      </c>
      <c r="G86" s="64"/>
      <c r="H86" s="69"/>
    </row>
    <row r="87" spans="1:29">
      <c r="A87" s="166" t="s">
        <v>492</v>
      </c>
      <c r="B87" s="92"/>
      <c r="C87" s="64"/>
      <c r="D87" s="64"/>
      <c r="E87" s="64"/>
      <c r="F87" s="64"/>
      <c r="G87" s="64"/>
      <c r="H87" s="69"/>
    </row>
    <row r="88" spans="1:29">
      <c r="A88" s="63" t="s">
        <v>154</v>
      </c>
      <c r="B88" s="64" t="s">
        <v>485</v>
      </c>
      <c r="C88" s="64"/>
      <c r="D88" s="64"/>
      <c r="E88" s="64"/>
      <c r="F88" s="64"/>
      <c r="G88" s="64"/>
      <c r="H88" s="69"/>
    </row>
    <row r="89" spans="1:29">
      <c r="A89" s="63"/>
      <c r="B89" s="64" t="s">
        <v>152</v>
      </c>
      <c r="C89" s="64"/>
      <c r="D89" s="64"/>
      <c r="E89" s="64"/>
      <c r="F89" s="64"/>
      <c r="G89" s="64"/>
      <c r="H89" s="69"/>
    </row>
    <row r="90" spans="1:29">
      <c r="A90" s="108"/>
      <c r="B90" s="105" t="s">
        <v>153</v>
      </c>
      <c r="C90" s="64"/>
      <c r="D90" s="64"/>
      <c r="E90" s="64"/>
      <c r="F90" s="64"/>
      <c r="G90" s="64"/>
      <c r="H90" s="69"/>
    </row>
    <row r="91" spans="1:29">
      <c r="A91" s="63"/>
      <c r="B91" s="64"/>
      <c r="C91" s="64"/>
      <c r="D91" s="64"/>
      <c r="E91" s="64"/>
      <c r="F91" s="64"/>
      <c r="G91" s="64"/>
      <c r="H91" s="69"/>
    </row>
    <row r="92" spans="1:29">
      <c r="A92" s="63"/>
      <c r="B92" s="64"/>
      <c r="C92" s="64"/>
      <c r="D92" s="64"/>
      <c r="E92" s="64"/>
      <c r="F92" s="64"/>
      <c r="G92" s="64"/>
      <c r="H92" s="69"/>
    </row>
    <row r="93" spans="1:29">
      <c r="A93" s="63"/>
      <c r="B93" s="64"/>
      <c r="C93" s="64"/>
      <c r="D93" s="64"/>
      <c r="E93" s="64"/>
      <c r="F93" s="64"/>
      <c r="G93" s="64"/>
      <c r="H93" s="69"/>
    </row>
    <row r="94" spans="1:29">
      <c r="A94" s="63"/>
      <c r="B94" s="64"/>
      <c r="C94" s="64"/>
      <c r="D94" s="64"/>
      <c r="E94" s="64"/>
      <c r="F94" s="64"/>
      <c r="G94" s="64"/>
      <c r="H94" s="69"/>
    </row>
    <row r="95" spans="1:29">
      <c r="A95" s="63"/>
      <c r="B95" s="64"/>
      <c r="C95" s="64"/>
      <c r="D95" s="64"/>
      <c r="E95" s="64"/>
      <c r="F95" s="64"/>
      <c r="G95" s="64"/>
      <c r="H95" s="69"/>
    </row>
    <row r="96" spans="1:29">
      <c r="A96" s="63"/>
      <c r="B96" s="64"/>
      <c r="C96" s="64"/>
      <c r="D96" s="64"/>
      <c r="E96" s="64"/>
      <c r="F96" s="64"/>
      <c r="G96" s="64"/>
      <c r="H96" s="69"/>
    </row>
    <row r="97" spans="1:20">
      <c r="A97" s="63"/>
      <c r="B97" s="64"/>
      <c r="C97" s="64"/>
      <c r="D97" s="64"/>
      <c r="E97" s="64"/>
      <c r="F97" s="64"/>
      <c r="G97" s="64"/>
      <c r="H97" s="69"/>
    </row>
    <row r="98" spans="1:20">
      <c r="A98" s="63"/>
      <c r="B98" s="64"/>
      <c r="C98" s="64"/>
      <c r="D98" s="64"/>
      <c r="E98" s="64"/>
      <c r="F98" s="64"/>
      <c r="G98" s="64"/>
      <c r="H98" s="69"/>
    </row>
    <row r="99" spans="1:20">
      <c r="A99" s="63"/>
      <c r="B99" s="64"/>
      <c r="C99" s="64"/>
      <c r="D99" s="64"/>
      <c r="E99" s="64"/>
      <c r="F99" s="64"/>
      <c r="G99" s="64"/>
      <c r="H99" s="69"/>
      <c r="T99" s="27"/>
    </row>
    <row r="100" spans="1:20">
      <c r="A100" s="63"/>
      <c r="B100" s="64"/>
      <c r="C100" s="64"/>
      <c r="D100" s="64"/>
      <c r="E100" s="64"/>
      <c r="F100" s="64"/>
      <c r="G100" s="64"/>
      <c r="H100" s="69"/>
      <c r="T100" s="30"/>
    </row>
    <row r="101" spans="1:20">
      <c r="A101" s="63"/>
      <c r="B101" s="64"/>
      <c r="C101" s="64"/>
      <c r="D101" s="64"/>
      <c r="E101" s="64"/>
      <c r="F101" s="64"/>
      <c r="G101" s="64"/>
      <c r="H101" s="69"/>
      <c r="T101" s="31"/>
    </row>
    <row r="102" spans="1:20">
      <c r="A102" s="63"/>
      <c r="B102" s="64"/>
      <c r="C102" s="64"/>
      <c r="D102" s="64"/>
      <c r="E102" s="64"/>
      <c r="F102" s="64"/>
      <c r="G102" s="64"/>
      <c r="H102" s="69"/>
    </row>
    <row r="103" spans="1:20">
      <c r="A103" s="63"/>
      <c r="B103" s="64"/>
      <c r="C103" s="64"/>
      <c r="D103" s="64"/>
      <c r="E103" s="64"/>
      <c r="F103" s="64"/>
      <c r="G103" s="64"/>
      <c r="H103" s="69"/>
    </row>
    <row r="104" spans="1:20">
      <c r="A104" s="88"/>
      <c r="B104" s="73"/>
      <c r="C104" s="73"/>
      <c r="D104" s="73"/>
      <c r="E104" s="73"/>
      <c r="F104" s="73"/>
      <c r="G104" s="73"/>
      <c r="H104" s="89"/>
    </row>
    <row r="105" spans="1:20">
      <c r="A105" s="120"/>
      <c r="B105" s="121"/>
      <c r="C105" s="121"/>
      <c r="D105" s="121"/>
      <c r="E105" s="121"/>
      <c r="F105" s="121"/>
      <c r="G105" s="259"/>
      <c r="H105" s="254"/>
    </row>
    <row r="106" spans="1:20">
      <c r="A106" s="63"/>
      <c r="B106" s="164"/>
      <c r="C106" s="64"/>
      <c r="D106" s="64"/>
      <c r="E106" s="64"/>
      <c r="F106" s="64"/>
      <c r="G106" s="57"/>
      <c r="H106" s="255"/>
    </row>
    <row r="107" spans="1:20">
      <c r="A107" s="63"/>
      <c r="B107" s="64"/>
      <c r="C107" s="64"/>
      <c r="D107" s="64"/>
      <c r="E107" s="64"/>
      <c r="F107" s="64"/>
      <c r="G107" s="57"/>
      <c r="H107" s="260"/>
    </row>
    <row r="108" spans="1:20">
      <c r="A108" s="63"/>
      <c r="B108" s="64"/>
      <c r="C108" s="64"/>
      <c r="D108" s="64"/>
      <c r="E108" s="64"/>
      <c r="F108" s="64"/>
      <c r="G108" s="64"/>
      <c r="H108" s="69"/>
    </row>
    <row r="109" spans="1:20" ht="15.6">
      <c r="A109" s="124" t="s">
        <v>442</v>
      </c>
      <c r="B109" s="64"/>
      <c r="C109" s="64"/>
      <c r="D109" s="64"/>
      <c r="E109" s="64"/>
      <c r="F109" s="64"/>
      <c r="G109" s="64"/>
      <c r="H109" s="69"/>
    </row>
    <row r="110" spans="1:20">
      <c r="A110" s="63"/>
      <c r="B110" s="64"/>
      <c r="C110" s="64"/>
      <c r="D110" s="64"/>
      <c r="E110" s="64"/>
      <c r="F110" s="64"/>
      <c r="G110" s="64"/>
      <c r="H110" s="69"/>
    </row>
    <row r="111" spans="1:20">
      <c r="A111" s="63"/>
      <c r="B111" s="64"/>
      <c r="C111" s="64"/>
      <c r="D111" s="64"/>
      <c r="E111" s="64"/>
      <c r="F111" s="64"/>
      <c r="G111" s="64"/>
      <c r="H111" s="69"/>
    </row>
    <row r="112" spans="1:20">
      <c r="A112" s="63"/>
      <c r="B112" s="64"/>
      <c r="C112" s="64"/>
      <c r="D112" s="64"/>
      <c r="E112" s="64"/>
      <c r="F112" s="64"/>
      <c r="G112" s="64"/>
      <c r="H112" s="69"/>
    </row>
    <row r="113" spans="1:8">
      <c r="A113" s="63"/>
      <c r="B113" s="64"/>
      <c r="C113" s="64"/>
      <c r="D113" s="64"/>
      <c r="E113" s="64"/>
      <c r="F113" s="64"/>
      <c r="G113" s="64"/>
      <c r="H113" s="69"/>
    </row>
    <row r="114" spans="1:8">
      <c r="A114" s="63"/>
      <c r="B114" s="64"/>
      <c r="C114" s="64"/>
      <c r="D114" s="64"/>
      <c r="E114" s="64"/>
      <c r="F114" s="64"/>
      <c r="G114" s="64"/>
      <c r="H114" s="69"/>
    </row>
    <row r="115" spans="1:8">
      <c r="A115" s="63"/>
      <c r="B115" s="64"/>
      <c r="C115" s="64"/>
      <c r="D115" s="64"/>
      <c r="E115" s="64"/>
      <c r="F115" s="64"/>
      <c r="G115" s="64"/>
      <c r="H115" s="69"/>
    </row>
    <row r="116" spans="1:8">
      <c r="A116" s="63"/>
      <c r="B116" s="64"/>
      <c r="C116" s="64"/>
      <c r="D116" s="64"/>
      <c r="E116" s="64"/>
      <c r="F116" s="64"/>
      <c r="G116" s="64"/>
      <c r="H116" s="69"/>
    </row>
    <row r="117" spans="1:8">
      <c r="A117" s="63"/>
      <c r="B117" s="64"/>
      <c r="C117" s="64"/>
      <c r="D117" s="64"/>
      <c r="E117" s="64"/>
      <c r="F117" s="64"/>
      <c r="G117" s="64"/>
      <c r="H117" s="69"/>
    </row>
    <row r="118" spans="1:8">
      <c r="A118" s="63"/>
      <c r="B118" s="64"/>
      <c r="C118" s="64"/>
      <c r="D118" s="64"/>
      <c r="E118" s="64"/>
      <c r="F118" s="64"/>
      <c r="G118" s="64"/>
      <c r="H118" s="69"/>
    </row>
    <row r="119" spans="1:8">
      <c r="A119" s="63"/>
      <c r="B119" s="64"/>
      <c r="C119" s="64"/>
      <c r="D119" s="64"/>
      <c r="E119" s="64"/>
      <c r="F119" s="64"/>
      <c r="G119" s="64"/>
      <c r="H119" s="69"/>
    </row>
    <row r="120" spans="1:8">
      <c r="A120" s="63"/>
      <c r="B120" s="64"/>
      <c r="C120" s="165"/>
      <c r="D120" s="165"/>
      <c r="E120" s="165"/>
      <c r="F120" s="165"/>
      <c r="G120" s="64"/>
      <c r="H120" s="69"/>
    </row>
    <row r="121" spans="1:8">
      <c r="A121" s="63"/>
      <c r="B121" s="64"/>
      <c r="C121" s="64"/>
      <c r="D121" s="64"/>
      <c r="E121" s="64"/>
      <c r="F121" s="64"/>
      <c r="G121" s="64"/>
      <c r="H121" s="69"/>
    </row>
    <row r="122" spans="1:8">
      <c r="A122" s="63"/>
      <c r="B122" s="64"/>
      <c r="C122" s="64"/>
      <c r="D122" s="93"/>
      <c r="E122" s="93"/>
      <c r="F122" s="93"/>
      <c r="G122" s="64"/>
      <c r="H122" s="69"/>
    </row>
    <row r="123" spans="1:8">
      <c r="A123" s="63"/>
      <c r="B123" s="64"/>
      <c r="C123" s="64"/>
      <c r="D123" s="64"/>
      <c r="E123" s="64"/>
      <c r="F123" s="64"/>
      <c r="G123" s="64"/>
      <c r="H123" s="69"/>
    </row>
    <row r="124" spans="1:8">
      <c r="A124" s="63"/>
      <c r="B124" s="64"/>
      <c r="C124" s="164" t="s">
        <v>325</v>
      </c>
      <c r="D124" s="64"/>
      <c r="E124" s="64"/>
      <c r="F124" s="64"/>
      <c r="G124" s="64"/>
      <c r="H124" s="69"/>
    </row>
    <row r="125" spans="1:8">
      <c r="A125" s="63"/>
      <c r="B125" s="64"/>
      <c r="G125" s="64"/>
      <c r="H125" s="69"/>
    </row>
    <row r="126" spans="1:8">
      <c r="A126" s="63"/>
      <c r="B126" s="64"/>
      <c r="C126" s="64"/>
      <c r="D126" s="64"/>
      <c r="E126" s="64"/>
      <c r="F126" s="64"/>
      <c r="G126" s="64"/>
      <c r="H126" s="69"/>
    </row>
    <row r="127" spans="1:8">
      <c r="A127" s="63"/>
      <c r="B127" s="64"/>
      <c r="G127" s="64"/>
      <c r="H127" s="69"/>
    </row>
    <row r="128" spans="1:8">
      <c r="A128" s="63"/>
      <c r="B128" s="64"/>
      <c r="C128" s="64"/>
      <c r="D128" s="64"/>
      <c r="E128" s="64"/>
      <c r="F128" s="64"/>
      <c r="G128" s="64"/>
      <c r="H128" s="69"/>
    </row>
    <row r="129" spans="1:8">
      <c r="A129" s="63"/>
      <c r="B129" s="64"/>
      <c r="C129" s="64"/>
      <c r="D129" s="64"/>
      <c r="E129" s="64"/>
      <c r="F129" s="64"/>
      <c r="G129" s="64"/>
      <c r="H129" s="69"/>
    </row>
    <row r="130" spans="1:8">
      <c r="A130" s="63"/>
      <c r="B130" s="64"/>
      <c r="C130" s="64"/>
      <c r="D130" s="64"/>
      <c r="E130" s="64"/>
      <c r="F130" s="64"/>
      <c r="G130" s="64"/>
      <c r="H130" s="69"/>
    </row>
    <row r="131" spans="1:8">
      <c r="A131" s="63"/>
      <c r="B131" s="64"/>
      <c r="C131" s="64"/>
      <c r="D131" s="64"/>
      <c r="E131" s="64"/>
      <c r="F131" s="64"/>
      <c r="G131" s="64"/>
      <c r="H131" s="69"/>
    </row>
    <row r="132" spans="1:8">
      <c r="A132" s="63"/>
      <c r="B132" s="64"/>
      <c r="C132" s="64"/>
      <c r="D132" s="64"/>
      <c r="E132" s="64"/>
      <c r="F132" s="64"/>
      <c r="G132" s="64"/>
      <c r="H132" s="69"/>
    </row>
    <row r="133" spans="1:8">
      <c r="A133" s="63"/>
      <c r="B133" s="64"/>
      <c r="C133" s="64"/>
      <c r="D133" s="64"/>
      <c r="E133" s="64"/>
      <c r="F133" s="64"/>
      <c r="G133" s="64"/>
      <c r="H133" s="69"/>
    </row>
    <row r="134" spans="1:8">
      <c r="A134" s="63"/>
      <c r="B134" s="64"/>
      <c r="C134" s="64"/>
      <c r="D134" s="64"/>
      <c r="E134" s="64"/>
      <c r="F134" s="64"/>
      <c r="G134" s="64"/>
      <c r="H134" s="69"/>
    </row>
    <row r="135" spans="1:8">
      <c r="A135" s="63"/>
      <c r="B135" s="64"/>
      <c r="C135" s="64"/>
      <c r="D135" s="64"/>
      <c r="E135" s="64"/>
      <c r="F135" s="64"/>
      <c r="G135" s="64"/>
      <c r="H135" s="69"/>
    </row>
    <row r="136" spans="1:8">
      <c r="A136" s="63"/>
      <c r="B136" s="64"/>
      <c r="C136" s="64"/>
      <c r="D136" s="64"/>
      <c r="E136" s="64"/>
      <c r="F136" s="64"/>
      <c r="G136" s="64"/>
      <c r="H136" s="69"/>
    </row>
    <row r="137" spans="1:8">
      <c r="A137" s="63"/>
      <c r="B137" s="64"/>
      <c r="C137" s="64"/>
      <c r="D137" s="64"/>
      <c r="E137" s="64"/>
      <c r="F137" s="64"/>
      <c r="G137" s="64"/>
      <c r="H137" s="69"/>
    </row>
    <row r="138" spans="1:8">
      <c r="A138" s="63"/>
      <c r="B138" s="64"/>
      <c r="C138" s="64"/>
      <c r="D138" s="64"/>
      <c r="E138" s="64"/>
      <c r="F138" s="64"/>
      <c r="G138" s="64"/>
      <c r="H138" s="69"/>
    </row>
    <row r="139" spans="1:8">
      <c r="A139" s="63"/>
      <c r="B139" s="64"/>
      <c r="C139" s="64"/>
      <c r="D139" s="64"/>
      <c r="E139" s="64"/>
      <c r="F139" s="64"/>
      <c r="G139" s="64"/>
      <c r="H139" s="69"/>
    </row>
    <row r="140" spans="1:8">
      <c r="A140" s="63"/>
      <c r="B140" s="165"/>
      <c r="C140" s="64"/>
      <c r="D140" s="165"/>
      <c r="E140" s="165"/>
      <c r="F140" s="165"/>
      <c r="G140" s="64"/>
      <c r="H140" s="69"/>
    </row>
    <row r="141" spans="1:8">
      <c r="A141" s="63"/>
      <c r="B141" s="64"/>
      <c r="C141" s="64"/>
      <c r="D141" s="64"/>
      <c r="E141" s="64"/>
      <c r="F141" s="64"/>
      <c r="G141" s="64"/>
      <c r="H141" s="69"/>
    </row>
    <row r="142" spans="1:8">
      <c r="A142" s="63"/>
      <c r="B142" s="64"/>
      <c r="C142" s="64"/>
      <c r="D142" s="64"/>
      <c r="E142" s="64"/>
      <c r="F142" s="64"/>
      <c r="G142" s="64"/>
      <c r="H142" s="69"/>
    </row>
    <row r="143" spans="1:8">
      <c r="A143" s="63"/>
      <c r="B143" s="64"/>
      <c r="C143" s="64"/>
      <c r="D143" s="64"/>
      <c r="E143" s="64"/>
      <c r="F143" s="64"/>
      <c r="G143" s="64"/>
      <c r="H143" s="69"/>
    </row>
    <row r="144" spans="1:8">
      <c r="A144" s="63"/>
      <c r="B144" s="64"/>
      <c r="C144" s="64"/>
      <c r="D144" s="64"/>
      <c r="E144" s="64"/>
      <c r="F144" s="64"/>
      <c r="G144" s="64"/>
      <c r="H144" s="69"/>
    </row>
    <row r="145" spans="1:8">
      <c r="A145" s="63"/>
      <c r="B145" s="64"/>
      <c r="C145" s="64"/>
      <c r="D145" s="64"/>
      <c r="E145" s="64"/>
      <c r="F145" s="64"/>
      <c r="G145" s="64"/>
      <c r="H145" s="69"/>
    </row>
    <row r="146" spans="1:8">
      <c r="A146" s="63"/>
      <c r="B146" s="64"/>
      <c r="C146" s="64"/>
      <c r="D146" s="64"/>
      <c r="E146" s="64"/>
      <c r="F146" s="64"/>
      <c r="G146" s="64"/>
      <c r="H146" s="69"/>
    </row>
    <row r="147" spans="1:8">
      <c r="A147" s="63"/>
      <c r="B147" s="64"/>
      <c r="C147" s="164" t="s">
        <v>326</v>
      </c>
      <c r="D147" s="64"/>
      <c r="E147" s="64"/>
      <c r="F147" s="64"/>
      <c r="G147" s="64"/>
      <c r="H147" s="69"/>
    </row>
    <row r="148" spans="1:8">
      <c r="A148" s="63"/>
      <c r="B148" s="64"/>
      <c r="C148" s="64"/>
      <c r="D148" s="64"/>
      <c r="E148" s="64"/>
      <c r="F148" s="64"/>
      <c r="G148" s="64"/>
      <c r="H148" s="69"/>
    </row>
    <row r="149" spans="1:8">
      <c r="A149" s="63"/>
      <c r="B149" s="64"/>
      <c r="C149" s="64"/>
      <c r="D149" s="64"/>
      <c r="E149" s="64"/>
      <c r="F149" s="64"/>
      <c r="G149" s="64"/>
      <c r="H149" s="69"/>
    </row>
    <row r="150" spans="1:8">
      <c r="A150" s="63"/>
      <c r="B150" s="64"/>
      <c r="G150" s="64"/>
      <c r="H150" s="69"/>
    </row>
    <row r="151" spans="1:8">
      <c r="A151" s="63"/>
      <c r="B151" s="64"/>
      <c r="C151" s="64"/>
      <c r="D151" s="64"/>
      <c r="E151" s="64"/>
      <c r="F151" s="64"/>
      <c r="G151" s="80"/>
      <c r="H151" s="123"/>
    </row>
    <row r="152" spans="1:8">
      <c r="A152" s="63"/>
      <c r="B152" s="64"/>
      <c r="C152" s="64"/>
      <c r="D152" s="64"/>
      <c r="E152" s="64"/>
      <c r="F152" s="64"/>
      <c r="G152" s="64"/>
      <c r="H152" s="69"/>
    </row>
    <row r="153" spans="1:8">
      <c r="A153" s="63"/>
      <c r="B153" s="64"/>
      <c r="C153" s="64"/>
      <c r="D153" s="64"/>
      <c r="E153" s="64"/>
      <c r="F153" s="64"/>
      <c r="G153" s="64"/>
      <c r="H153" s="69"/>
    </row>
    <row r="154" spans="1:8">
      <c r="A154" s="63"/>
      <c r="B154" s="64"/>
      <c r="C154" s="64"/>
      <c r="D154" s="64"/>
      <c r="E154" s="64"/>
      <c r="F154" s="64"/>
      <c r="G154" s="64"/>
      <c r="H154" s="69"/>
    </row>
    <row r="155" spans="1:8">
      <c r="A155" s="63"/>
      <c r="B155" s="64"/>
      <c r="C155" s="64"/>
      <c r="D155" s="64"/>
      <c r="E155" s="64"/>
      <c r="F155" s="64"/>
      <c r="G155" s="64"/>
      <c r="H155" s="69"/>
    </row>
    <row r="156" spans="1:8">
      <c r="A156" s="88"/>
      <c r="B156" s="73"/>
      <c r="C156" s="73"/>
      <c r="D156" s="73"/>
      <c r="E156" s="73"/>
      <c r="F156" s="73"/>
      <c r="G156" s="73"/>
      <c r="H156" s="89"/>
    </row>
  </sheetData>
  <sheetProtection sheet="1" objects="1" scenarios="1"/>
  <mergeCells count="1">
    <mergeCell ref="AA1:AB1"/>
  </mergeCells>
  <phoneticPr fontId="42" type="noConversion"/>
  <conditionalFormatting sqref="AB56:AB81">
    <cfRule type="cellIs" dxfId="2" priority="1" stopIfTrue="1" operator="greaterThan">
      <formula>$B$12</formula>
    </cfRule>
  </conditionalFormatting>
  <dataValidations count="9">
    <dataValidation type="list" allowBlank="1" showInputMessage="1" showErrorMessage="1" errorTitle="Warning!" error="Invalid reply" sqref="B21">
      <formula1>$J$14:$J$17</formula1>
    </dataValidation>
    <dataValidation type="list" allowBlank="1" showInputMessage="1" showErrorMessage="1" errorTitle="Warning!" error="Invalid exposure category_x000a_Must input either B, C, or D" sqref="B11">
      <formula1>$J$7:$J$9</formula1>
    </dataValidation>
    <dataValidation type="list" allowBlank="1" showInputMessage="1" showErrorMessage="1" errorTitle="Warning!" error="Invalid roof type (must input either G or M)" sqref="B16">
      <formula1>$J$10:$J$11</formula1>
    </dataValidation>
    <dataValidation type="list" allowBlank="1" showInputMessage="1" showErrorMessage="1" errorTitle="Warning!" error="Invalid reply (must input either Y or N)" sqref="B19">
      <formula1>$J$12:$J$13</formula1>
    </dataValidation>
    <dataValidation type="decimal" operator="greaterThanOrEqual" allowBlank="1" showInputMessage="1" showErrorMessage="1" errorTitle="Warning!" error="Minimum design wind speed = 85 mph" sqref="B9">
      <formula1>85</formula1>
    </dataValidation>
    <dataValidation type="list" allowBlank="1" showInputMessage="1" showErrorMessage="1" errorTitle="Warning!" error="Invalid building category_x000a_Must input either I, II, III, or IV" sqref="B10">
      <formula1>$J$3:$J$6</formula1>
    </dataValidation>
    <dataValidation type="list" allowBlank="1" showInputMessage="1" showErrorMessage="1" sqref="AB55">
      <formula1>$J$12:$J$13</formula1>
    </dataValidation>
    <dataValidation type="decimal" allowBlank="1" showInputMessage="1" showErrorMessage="1" sqref="AB56:AB81">
      <formula1>0</formula1>
      <formula2>$B$12</formula2>
    </dataValidation>
    <dataValidation type="list" allowBlank="1" showInputMessage="1" showErrorMessage="1" prompt="Is location in a hurricane prone or non-hurricane prone region?" sqref="B20">
      <formula1>$J$12:$J$13</formula1>
    </dataValidation>
  </dataValidations>
  <pageMargins left="1" right="0.5" top="1" bottom="1" header="0.5" footer="0.5"/>
  <pageSetup scale="90" orientation="portrait" horizontalDpi="4294967292" r:id="rId1"/>
  <headerFooter alignWithMargins="0">
    <oddHeader>&amp;R"ASCE710W.xls" Program
Version 2.2</oddHeader>
    <oddFooter>&amp;C&amp;P of 3&amp;R&amp;D  &amp;T</oddFooter>
  </headerFooter>
  <rowBreaks count="2" manualBreakCount="2">
    <brk id="52" max="7" man="1"/>
    <brk id="104" max="7"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6"/>
  <sheetViews>
    <sheetView showGridLines="0" zoomScaleNormal="100" workbookViewId="0">
      <selection activeCell="C11" sqref="C11"/>
    </sheetView>
  </sheetViews>
  <sheetFormatPr defaultColWidth="9.109375" defaultRowHeight="13.2"/>
  <cols>
    <col min="1" max="1" width="18.6640625" style="85" customWidth="1"/>
    <col min="2" max="3" width="9.109375" style="85"/>
    <col min="4" max="4" width="9.6640625" style="85" customWidth="1"/>
    <col min="5" max="5" width="11.6640625" style="85" customWidth="1"/>
    <col min="6" max="7" width="10.109375" style="85" customWidth="1"/>
    <col min="8" max="8" width="12.33203125" style="85" customWidth="1"/>
    <col min="9" max="10" width="9.109375" hidden="1" customWidth="1"/>
    <col min="11" max="11" width="15.6640625" hidden="1" customWidth="1"/>
    <col min="12" max="12" width="9.109375" hidden="1" customWidth="1"/>
    <col min="13" max="13" width="14.6640625" hidden="1" customWidth="1"/>
    <col min="14" max="14" width="15.6640625" hidden="1" customWidth="1"/>
    <col min="15" max="15" width="9.109375" hidden="1" customWidth="1"/>
    <col min="16" max="18" width="9.109375" style="1" hidden="1" customWidth="1"/>
    <col min="19" max="19" width="9.109375" style="23" hidden="1" customWidth="1"/>
    <col min="20" max="26" width="9.109375" style="1" hidden="1" customWidth="1"/>
    <col min="27" max="28" width="11.6640625" style="1" customWidth="1"/>
    <col min="29" max="29" width="9.6640625" style="1" customWidth="1"/>
    <col min="30" max="16384" width="9.109375" style="1"/>
  </cols>
  <sheetData>
    <row r="1" spans="1:28" ht="15.6">
      <c r="A1" s="42" t="s">
        <v>368</v>
      </c>
      <c r="B1" s="43"/>
      <c r="C1" s="43"/>
      <c r="D1" s="43"/>
      <c r="E1" s="43"/>
      <c r="F1" s="43"/>
      <c r="G1" s="43"/>
      <c r="H1" s="58"/>
      <c r="J1" s="1"/>
      <c r="K1" s="1"/>
      <c r="L1" s="29" t="s">
        <v>243</v>
      </c>
      <c r="M1" s="13"/>
      <c r="N1" s="13"/>
      <c r="O1" s="13"/>
      <c r="P1" s="13"/>
      <c r="Q1" s="13"/>
      <c r="R1" s="13"/>
      <c r="AA1" s="649" t="str">
        <f>Doc!K1</f>
        <v>Version 2.4 Updated 10/20/15</v>
      </c>
      <c r="AB1" s="650"/>
    </row>
    <row r="2" spans="1:28" ht="12.75" customHeight="1">
      <c r="A2" s="44" t="s">
        <v>533</v>
      </c>
      <c r="B2" s="46"/>
      <c r="C2" s="46"/>
      <c r="D2" s="46"/>
      <c r="E2" s="46"/>
      <c r="F2" s="46"/>
      <c r="G2" s="46"/>
      <c r="H2" s="60"/>
      <c r="J2" s="1"/>
      <c r="K2" s="1"/>
      <c r="L2" s="13"/>
      <c r="M2" s="13"/>
      <c r="N2" s="13"/>
      <c r="O2" s="13"/>
      <c r="P2" s="13"/>
      <c r="Q2" s="13"/>
      <c r="R2" s="13"/>
    </row>
    <row r="3" spans="1:28" ht="12.75" customHeight="1">
      <c r="A3" s="61" t="s">
        <v>481</v>
      </c>
      <c r="B3" s="48"/>
      <c r="C3" s="48"/>
      <c r="D3" s="48"/>
      <c r="E3" s="48"/>
      <c r="F3" s="48"/>
      <c r="G3" s="48"/>
      <c r="H3" s="62"/>
      <c r="J3" s="271" t="s">
        <v>433</v>
      </c>
      <c r="K3" s="1"/>
      <c r="L3" s="14" t="s">
        <v>351</v>
      </c>
      <c r="M3" s="8">
        <f>IF($B$16="Gable",DEGREES(ATAN(($B$12-$B$13)/($B$14/2))),DEGREES(ATAN(($B$12-$B$13)/($B$14))))</f>
        <v>0</v>
      </c>
      <c r="N3" s="13"/>
      <c r="O3" s="14" t="s">
        <v>222</v>
      </c>
      <c r="P3" s="8">
        <f>IF($M$3&lt;=10,$B$13,$B$13+($B$12-$B$13)/2)</f>
        <v>42</v>
      </c>
      <c r="Q3" s="13"/>
      <c r="R3" s="13"/>
    </row>
    <row r="4" spans="1:28">
      <c r="A4" s="324" t="s">
        <v>156</v>
      </c>
      <c r="B4" s="325"/>
      <c r="C4" s="190"/>
      <c r="D4" s="326"/>
      <c r="E4" s="180" t="s">
        <v>448</v>
      </c>
      <c r="F4" s="191"/>
      <c r="G4" s="190"/>
      <c r="H4" s="189"/>
      <c r="J4" s="271" t="s">
        <v>424</v>
      </c>
      <c r="K4" s="1"/>
      <c r="L4" s="13"/>
      <c r="M4" s="13"/>
      <c r="N4" s="13"/>
      <c r="O4" s="13"/>
      <c r="P4" s="13"/>
      <c r="Q4" s="13"/>
      <c r="R4" s="13"/>
    </row>
    <row r="5" spans="1:28">
      <c r="A5" s="66" t="s">
        <v>157</v>
      </c>
      <c r="B5" s="181"/>
      <c r="C5" s="182"/>
      <c r="D5" s="183"/>
      <c r="E5" s="186" t="s">
        <v>447</v>
      </c>
      <c r="F5" s="257"/>
      <c r="G5" s="188" t="s">
        <v>446</v>
      </c>
      <c r="H5" s="258"/>
      <c r="J5" s="271" t="s">
        <v>425</v>
      </c>
      <c r="K5" s="1"/>
      <c r="L5" s="13" t="s">
        <v>17</v>
      </c>
      <c r="M5" s="8"/>
      <c r="N5" s="17"/>
      <c r="O5" s="13"/>
      <c r="P5" s="13"/>
      <c r="Q5" s="13"/>
      <c r="R5" s="13"/>
    </row>
    <row r="6" spans="1:28">
      <c r="A6" s="63"/>
      <c r="B6" s="96"/>
      <c r="C6" s="96"/>
      <c r="D6" s="96"/>
      <c r="E6" s="96"/>
      <c r="F6" s="253"/>
      <c r="G6" s="57"/>
      <c r="H6" s="254"/>
      <c r="J6" s="271" t="s">
        <v>426</v>
      </c>
      <c r="K6" s="1"/>
      <c r="L6" s="15" t="s">
        <v>534</v>
      </c>
      <c r="M6" s="13"/>
      <c r="N6" s="13"/>
      <c r="O6" s="17" t="s">
        <v>536</v>
      </c>
      <c r="P6" s="13"/>
      <c r="Q6" s="13"/>
      <c r="R6" s="13"/>
    </row>
    <row r="7" spans="1:28">
      <c r="A7" s="65" t="s">
        <v>217</v>
      </c>
      <c r="B7" s="96"/>
      <c r="C7" s="96"/>
      <c r="D7" s="96"/>
      <c r="E7" s="96"/>
      <c r="F7" s="335"/>
      <c r="G7" s="50"/>
      <c r="H7" s="260"/>
      <c r="J7" s="15" t="s">
        <v>389</v>
      </c>
      <c r="K7" s="14" t="s">
        <v>535</v>
      </c>
      <c r="L7" s="13" t="s">
        <v>29</v>
      </c>
      <c r="M7" s="13"/>
      <c r="N7" s="17"/>
      <c r="O7" s="13" t="s">
        <v>355</v>
      </c>
      <c r="P7" s="13"/>
      <c r="Q7" s="13"/>
      <c r="R7" s="13"/>
    </row>
    <row r="8" spans="1:28">
      <c r="A8" s="65"/>
      <c r="B8" s="96"/>
      <c r="C8" s="96"/>
      <c r="D8" s="96"/>
      <c r="E8" s="96"/>
      <c r="F8" s="64"/>
      <c r="G8" s="64"/>
      <c r="H8" s="69"/>
      <c r="J8" s="15" t="s">
        <v>224</v>
      </c>
      <c r="K8" s="1"/>
      <c r="L8" s="14" t="s">
        <v>213</v>
      </c>
      <c r="M8" s="16">
        <f>IF($B$23="N",IF($M$3&lt;=7,IF($P$3&lt;=60,IF($B$22&lt;=10,0.3,IF($B$22&lt;=100,(0.4-0.1*LOG($B$22)),0.2)),"N.A."),"N.A."),"N.A.")</f>
        <v>0.2</v>
      </c>
      <c r="N8" s="13"/>
      <c r="O8" s="14" t="s">
        <v>213</v>
      </c>
      <c r="P8" s="16" t="str">
        <f>IF($B$23="N",IF($M$3&lt;=10,IF($P$3&gt;60,"N.A.","N.A."),"N.A."),"N.A.")</f>
        <v>N.A.</v>
      </c>
      <c r="Q8" s="13"/>
      <c r="R8" s="13"/>
    </row>
    <row r="9" spans="1:28">
      <c r="A9" s="68" t="s">
        <v>218</v>
      </c>
      <c r="B9" s="215">
        <v>170</v>
      </c>
      <c r="C9" s="310" t="s">
        <v>555</v>
      </c>
      <c r="D9" s="64"/>
      <c r="E9" s="64"/>
      <c r="F9" s="64"/>
      <c r="G9" s="64"/>
      <c r="H9" s="69"/>
      <c r="J9" s="15" t="s">
        <v>427</v>
      </c>
      <c r="K9" s="1"/>
      <c r="L9" s="14" t="s">
        <v>214</v>
      </c>
      <c r="M9" s="16">
        <f>IF($B$23="N",IF($M$3&lt;=7,IF($P$3&lt;=60,IF($B$22&lt;=10,-1,IF($B$22&lt;=100,(-1.1+0.1*LOG($B$22)),-0.9)),"N.A."),"N.A."),"N.A.")</f>
        <v>-0.9</v>
      </c>
      <c r="N9" s="13"/>
      <c r="O9" s="14" t="s">
        <v>214</v>
      </c>
      <c r="P9" s="16" t="str">
        <f>IF($B$23="N",IF($M$3&lt;=10,IF($P$3&lt;=60,"N.A.",IF($B$22&lt;=10,-1.4,IF($B$22&lt;=500,-1.6943+0.2943*LOG($B$22),-0.9))),"N.A."),"N.A.")</f>
        <v>N.A.</v>
      </c>
      <c r="Q9" s="13"/>
      <c r="R9" s="13"/>
    </row>
    <row r="10" spans="1:28">
      <c r="A10" s="68" t="s">
        <v>458</v>
      </c>
      <c r="B10" s="268" t="s">
        <v>425</v>
      </c>
      <c r="C10" s="310" t="s">
        <v>478</v>
      </c>
      <c r="D10" s="64"/>
      <c r="E10" s="64"/>
      <c r="F10" s="64"/>
      <c r="G10" s="64"/>
      <c r="H10" s="269"/>
      <c r="J10" s="15" t="s">
        <v>463</v>
      </c>
      <c r="K10" s="1"/>
      <c r="L10" s="14" t="s">
        <v>215</v>
      </c>
      <c r="M10" s="16">
        <f>IF($B$23="N",IF($M$3&lt;=7,IF($P$3&lt;=60,IF($B$22&lt;=10,-1.8,IF($B$22&lt;=100,(-2.5+0.7*LOG($B$22)),-1.1)),"N.A."),"N.A."),"N.A.")</f>
        <v>-1.1000000000000001</v>
      </c>
      <c r="N10" s="13"/>
      <c r="O10" s="14" t="s">
        <v>215</v>
      </c>
      <c r="P10" s="16" t="str">
        <f>IF($B$23="N",IF($M$3&lt;=10,IF($P$3&lt;=60,"N.A.",IF($B$22&lt;=10,-2.3,IF($B$22&lt;=500,-2.712+0.412*LOG($B$22),-1.6))),"N.A."),"N.A.")</f>
        <v>N.A.</v>
      </c>
      <c r="Q10" s="13"/>
      <c r="R10" s="13"/>
    </row>
    <row r="11" spans="1:28">
      <c r="A11" s="68" t="s">
        <v>460</v>
      </c>
      <c r="B11" s="216" t="s">
        <v>224</v>
      </c>
      <c r="C11" s="129" t="s">
        <v>482</v>
      </c>
      <c r="D11" s="64"/>
      <c r="E11" s="64"/>
      <c r="F11" s="64"/>
      <c r="G11" s="64"/>
      <c r="H11" s="270"/>
      <c r="J11" s="15" t="s">
        <v>462</v>
      </c>
      <c r="K11" s="1"/>
      <c r="L11" s="14" t="s">
        <v>216</v>
      </c>
      <c r="M11" s="16">
        <f>IF($B$23="N",IF($M$3&lt;=7,IF($P$3&lt;=60,IF($B$22&lt;=10,-2.8,IF($B$22&lt;=100,(-4.5+1.7*LOG($B$22)),-1.1)),"N.A."),"N.A."),"N.A.")</f>
        <v>-1.1000000000000001</v>
      </c>
      <c r="N11" s="10"/>
      <c r="O11" s="14" t="s">
        <v>216</v>
      </c>
      <c r="P11" s="16" t="str">
        <f>IF($B$23="N",IF($M$3&lt;=10,IF($P$3&lt;=60,"N.A.",IF($B$22&lt;=10,-3.2,IF($B$22&lt;=500,-3.7297+0.5297*LOG($B$22),-2.3))),"N.A."),"N.A.")</f>
        <v>N.A.</v>
      </c>
      <c r="Q11" s="13"/>
      <c r="R11" s="13"/>
    </row>
    <row r="12" spans="1:28">
      <c r="A12" s="68" t="s">
        <v>219</v>
      </c>
      <c r="B12" s="217">
        <v>42</v>
      </c>
      <c r="C12" s="304" t="s">
        <v>49</v>
      </c>
      <c r="D12" s="64"/>
      <c r="E12" s="64"/>
      <c r="F12" s="64"/>
      <c r="G12" s="64"/>
      <c r="H12" s="69"/>
      <c r="J12" s="15" t="s">
        <v>393</v>
      </c>
      <c r="K12" s="14" t="s">
        <v>537</v>
      </c>
      <c r="L12" s="13" t="s">
        <v>30</v>
      </c>
      <c r="M12" s="13"/>
      <c r="N12" s="13"/>
      <c r="O12" s="13" t="s">
        <v>31</v>
      </c>
      <c r="P12" s="13"/>
      <c r="Q12" s="13"/>
      <c r="R12" s="13"/>
    </row>
    <row r="13" spans="1:28">
      <c r="A13" s="68" t="s">
        <v>220</v>
      </c>
      <c r="B13" s="217">
        <v>42</v>
      </c>
      <c r="C13" s="304" t="s">
        <v>50</v>
      </c>
      <c r="D13" s="64"/>
      <c r="E13" s="70" t="str">
        <f>IF($B$13&gt;$B$12,"hr MUST BE &gt;= he !","")</f>
        <v/>
      </c>
      <c r="F13" s="64"/>
      <c r="G13" s="64"/>
      <c r="H13" s="69"/>
      <c r="J13" s="15" t="s">
        <v>176</v>
      </c>
      <c r="K13" s="1"/>
      <c r="L13" s="14" t="s">
        <v>213</v>
      </c>
      <c r="M13" s="16" t="str">
        <f>IF($B$23="N",IF($M$3&gt;7,IF($M$3&lt;=27,IF($P$3&lt;=60,IF($B$22&lt;=10,0.5,IF($B$22&lt;=100,(0.7-0.2*LOG($B$22)),0.3)),"N.A."),"N.A."),"N.A."),"N.A.")</f>
        <v>N.A.</v>
      </c>
      <c r="N13" s="13"/>
      <c r="O13" s="14" t="s">
        <v>213</v>
      </c>
      <c r="P13" s="16" t="str">
        <f>IF($B$23="N",IF($M$3&gt;10,IF($M$3&lt;=27,IF($P$3&lt;=60,"N.A.",IF($B$22&lt;=10,0.5,IF($B$22&lt;=100,(0.7-0.2*LOG($B$22)),0.3))),"N.A."),"N.A."),"N.A.")</f>
        <v>N.A.</v>
      </c>
      <c r="Q13" s="13"/>
      <c r="R13" s="13"/>
    </row>
    <row r="14" spans="1:28">
      <c r="A14" s="68" t="s">
        <v>387</v>
      </c>
      <c r="B14" s="217">
        <v>222</v>
      </c>
      <c r="C14" s="304" t="s">
        <v>51</v>
      </c>
      <c r="D14" s="64"/>
      <c r="E14" s="64"/>
      <c r="F14" s="64"/>
      <c r="G14" s="64"/>
      <c r="H14" s="69"/>
      <c r="J14" s="15" t="s">
        <v>324</v>
      </c>
      <c r="K14" s="1"/>
      <c r="L14" s="14" t="s">
        <v>214</v>
      </c>
      <c r="M14" s="16" t="str">
        <f>IF($B$23="N",IF($M$3&gt;7,IF($M$3&lt;=27,IF($P$3&lt;=60,IF($B$22&lt;=10,-0.9,IF($B$22&lt;=100,(-1+0.1*LOG($B$22)),-0.8)),"N.A."),"N.A."),"N.A."),"N.A.")</f>
        <v>N.A.</v>
      </c>
      <c r="N14" s="10"/>
      <c r="O14" s="14" t="s">
        <v>214</v>
      </c>
      <c r="P14" s="16" t="str">
        <f>IF($B$23="N",IF($M$3&gt;10,IF($M$3&lt;=27,IF($P$3&lt;=60,"N.A.",IF($B$22&lt;=10,-0.9,IF($B$22&lt;=100,(-1+0.1*LOG($B$22)),-0.8))),"N.A."),"N.A."),"N.A.")</f>
        <v>N.A.</v>
      </c>
      <c r="Q14" s="13"/>
      <c r="R14" s="13"/>
    </row>
    <row r="15" spans="1:28">
      <c r="A15" s="68" t="s">
        <v>388</v>
      </c>
      <c r="B15" s="217">
        <v>204</v>
      </c>
      <c r="C15" s="304" t="s">
        <v>52</v>
      </c>
      <c r="D15" s="64"/>
      <c r="E15" s="64"/>
      <c r="F15" s="272"/>
      <c r="G15" s="64"/>
      <c r="H15" s="69"/>
      <c r="J15" s="15" t="s">
        <v>429</v>
      </c>
      <c r="K15" s="1"/>
      <c r="L15" s="14" t="s">
        <v>215</v>
      </c>
      <c r="M15" s="16" t="str">
        <f>IF($B$23="N",IF($M$3&gt;7,IF($M$3&lt;=27,IF($P$3&lt;=60,IF($B$22&lt;=10,-1.7,IF($B$22&lt;=100,(-2.2+0.5*LOG($B$22)),-1.2)),"N.A."),"N.A."),"N.A."),"N.A.")</f>
        <v>N.A.</v>
      </c>
      <c r="N15" s="11"/>
      <c r="O15" s="14" t="s">
        <v>215</v>
      </c>
      <c r="P15" s="16" t="str">
        <f>IF($B$23="N",IF($M$3&gt;10,IF($M$3&lt;=27,IF($P$3&lt;=60,"N.A.",IF($B$22&lt;=10,-1.7,IF($B$22&lt;=100,(-2.2+0.5*LOG($B$22)),-1.4))),"N.A."),"N.A."),"N.A.")</f>
        <v>N.A.</v>
      </c>
      <c r="Q15" s="11"/>
      <c r="R15" s="13"/>
    </row>
    <row r="16" spans="1:28">
      <c r="A16" s="68" t="s">
        <v>461</v>
      </c>
      <c r="B16" s="592" t="s">
        <v>463</v>
      </c>
      <c r="C16" s="304" t="s">
        <v>323</v>
      </c>
      <c r="D16" s="64"/>
      <c r="E16" s="64"/>
      <c r="F16" s="337"/>
      <c r="G16" s="338"/>
      <c r="H16" s="69"/>
      <c r="J16" s="15" t="s">
        <v>430</v>
      </c>
      <c r="K16" s="1"/>
      <c r="L16" s="14" t="s">
        <v>216</v>
      </c>
      <c r="M16" s="16" t="str">
        <f>IF($B$23="N",IF($M$3&gt;7,IF($M$3&lt;=27,IF($P$3&lt;=60,IF($B$22&lt;=10,-2.6,IF($B$22&lt;=100,(-3.2+0.6*LOG($B$22)),-2)),"N.A."),"N.A."),"N.A."),"N.A.")</f>
        <v>N.A.</v>
      </c>
      <c r="N16" s="11"/>
      <c r="O16" s="14" t="s">
        <v>216</v>
      </c>
      <c r="P16" s="16" t="str">
        <f>IF($B$23="N",IF($M$3&gt;10,IF($M$3&lt;=27,IF($P$3&lt;=60,"N.A.",IF($B$22&lt;=10,-2.6,IF($B$22&lt;=100,(-3.2+0.6*LOG($B$22)),-2))),"N.A."),"N.A."),"N.A.")</f>
        <v>N.A.</v>
      </c>
      <c r="Q16" s="11"/>
      <c r="R16" s="13"/>
    </row>
    <row r="17" spans="1:18">
      <c r="A17" s="68" t="s">
        <v>221</v>
      </c>
      <c r="B17" s="217">
        <v>1</v>
      </c>
      <c r="C17" s="345" t="s">
        <v>479</v>
      </c>
      <c r="D17" s="64"/>
      <c r="E17" s="64"/>
      <c r="F17" s="64"/>
      <c r="G17" s="64"/>
      <c r="H17" s="69"/>
      <c r="J17" s="15" t="s">
        <v>431</v>
      </c>
      <c r="K17" s="14" t="s">
        <v>538</v>
      </c>
      <c r="L17" s="13" t="s">
        <v>32</v>
      </c>
      <c r="M17" s="13"/>
      <c r="N17" s="13"/>
      <c r="O17" s="13" t="s">
        <v>33</v>
      </c>
      <c r="P17" s="13"/>
      <c r="Q17" s="13"/>
      <c r="R17" s="13"/>
    </row>
    <row r="18" spans="1:18">
      <c r="A18" s="68" t="s">
        <v>369</v>
      </c>
      <c r="B18" s="217">
        <v>0.85</v>
      </c>
      <c r="C18" s="129" t="s">
        <v>483</v>
      </c>
      <c r="D18" s="64"/>
      <c r="E18" s="64"/>
      <c r="F18" s="64"/>
      <c r="G18" s="64"/>
      <c r="H18" s="69"/>
      <c r="K18" s="1"/>
      <c r="L18" s="14" t="s">
        <v>213</v>
      </c>
      <c r="M18" s="16" t="str">
        <f>IF($B$23="N",IF($M$3&gt;27,IF($M$3&lt;=45,IF($P$3&lt;=60,IF($B$22&lt;=10,0.9,IF($B$22&lt;=100,(1-0.1*LOG($B$22)),0.8)),"N.A."),"N.A."),"N.A."),"N.A.")</f>
        <v>N.A.</v>
      </c>
      <c r="N18" s="13"/>
      <c r="O18" s="14" t="s">
        <v>213</v>
      </c>
      <c r="P18" s="16" t="str">
        <f>IF($B$23="N",IF($M$3&gt;27,IF($M$3&lt;=45,IF($P$3&lt;=60,"N.A.",IF($B$22&lt;=10,0.9,IF($B$22&lt;=100,(1-0.1*LOG($B$22)),0.8))),"N.A."),"N.A."),"N.A.")</f>
        <v>N.A.</v>
      </c>
      <c r="Q18" s="13"/>
      <c r="R18" s="13"/>
    </row>
    <row r="19" spans="1:18">
      <c r="A19" s="68" t="s">
        <v>20</v>
      </c>
      <c r="B19" s="216" t="s">
        <v>393</v>
      </c>
      <c r="C19" s="127" t="s">
        <v>484</v>
      </c>
      <c r="D19" s="64"/>
      <c r="E19" s="64"/>
      <c r="F19" s="64"/>
      <c r="G19" s="64"/>
      <c r="H19" s="69"/>
      <c r="K19" s="1"/>
      <c r="L19" s="14" t="s">
        <v>214</v>
      </c>
      <c r="M19" s="16" t="str">
        <f>IF($B$23="N",IF($M$3&gt;27,IF($M$3&lt;=45,IF($P$3&lt;=60,IF($B$22&lt;=10,-1,IF($B$22&lt;=100,(-1.2+0.2*LOG($B$22)),-0.8)),"N.A."),"N.A."),"N.A."),"N.A.")</f>
        <v>N.A.</v>
      </c>
      <c r="N19" s="10"/>
      <c r="O19" s="14" t="s">
        <v>214</v>
      </c>
      <c r="P19" s="16" t="str">
        <f>IF($B$23="N",IF($M$3&gt;27,IF($M$3&lt;=45,IF($P$3&lt;=60,"N.A.",IF($B$22&lt;=10,-1,IF($B$22&lt;=100,(-1.2+0.2*LOG($B$22)),-0.8))),"N.A."),"N.A."),"N.A.")</f>
        <v>N.A.</v>
      </c>
      <c r="Q19" s="13"/>
      <c r="R19" s="13"/>
    </row>
    <row r="20" spans="1:18">
      <c r="A20" s="323" t="s">
        <v>402</v>
      </c>
      <c r="B20" s="216" t="s">
        <v>176</v>
      </c>
      <c r="F20" s="64"/>
      <c r="G20" s="64"/>
      <c r="H20" s="69"/>
      <c r="K20" s="1"/>
      <c r="L20" s="14" t="s">
        <v>215</v>
      </c>
      <c r="M20" s="16" t="str">
        <f>IF($B$23="N",IF($M$3&gt;27,IF($M$3&lt;=45,IF($P$3&lt;=60,IF($B$22&lt;=10,-1.2,IF($B$22&lt;=100,(-1.4+0.2*LOG($B$22)),-1)),"N.A."),"N.A."),"N.A."),"N.A.")</f>
        <v>N.A.</v>
      </c>
      <c r="N20" s="11"/>
      <c r="O20" s="14" t="s">
        <v>215</v>
      </c>
      <c r="P20" s="16" t="str">
        <f>IF($B$23="N",IF($M$3&gt;27,IF($M$3&lt;=45,IF($P$3&lt;=60,"N.A.",IF($B$22&lt;=10,-1.2,IF($B$22&lt;=100,(-1.4+0.2*LOG($B$22)),-1))),"N.A."),"N.A."),"N.A.")</f>
        <v>N.A.</v>
      </c>
      <c r="Q20" s="11"/>
      <c r="R20" s="13"/>
    </row>
    <row r="21" spans="1:18">
      <c r="A21" s="68" t="s">
        <v>396</v>
      </c>
      <c r="B21" s="216" t="s">
        <v>429</v>
      </c>
      <c r="C21" s="345" t="s">
        <v>428</v>
      </c>
      <c r="D21" s="64"/>
      <c r="E21" s="64"/>
      <c r="F21" s="272"/>
      <c r="G21" s="64"/>
      <c r="H21" s="269"/>
      <c r="K21" s="1"/>
      <c r="L21" s="14" t="s">
        <v>216</v>
      </c>
      <c r="M21" s="16" t="str">
        <f>IF($B$23="N",IF($M$3&gt;27,IF($M$3&lt;=45,IF($P$3&lt;=60,IF($B$22&lt;=10,-1.2,IF($B$22&lt;=100,(-1.4+0.2*LOG($B$22)),-1)),"N.A."),"N.A."),"N.A."),"N.A.")</f>
        <v>N.A.</v>
      </c>
      <c r="N21" s="11"/>
      <c r="O21" s="14" t="s">
        <v>216</v>
      </c>
      <c r="P21" s="16" t="str">
        <f>IF($B$23="N",IF($M$3&gt;27,IF($M$3&lt;=45,IF($P$3&lt;=60,"N.A.",IF($B$22&lt;=10,-1.2,IF($B$22&lt;=100,(-1.4+0.2*LOG($B$22)),-1))),"N.A."),"N.A."),"N.A.")</f>
        <v>N.A.</v>
      </c>
      <c r="Q21" s="11"/>
      <c r="R21" s="13"/>
    </row>
    <row r="22" spans="1:18">
      <c r="A22" s="68" t="s">
        <v>223</v>
      </c>
      <c r="B22" s="216">
        <v>208</v>
      </c>
      <c r="C22" s="345" t="s">
        <v>53</v>
      </c>
      <c r="D22" s="64"/>
      <c r="E22" s="64"/>
      <c r="F22" s="64"/>
      <c r="G22" s="64"/>
      <c r="H22" s="334"/>
      <c r="K22" s="1"/>
      <c r="L22" s="14" t="s">
        <v>310</v>
      </c>
      <c r="M22" s="16">
        <f>IF($M$3&lt;=7,IF($P$3&lt;=60,$M$8,"N.A."),IF($M$3&lt;=27,IF($P$3&lt;=60,$M$13,"N.A."),IF($M$3&lt;=45,IF($P$3&lt;=60,$M$18,"N.A."))))</f>
        <v>0.2</v>
      </c>
      <c r="O22" s="14" t="s">
        <v>310</v>
      </c>
      <c r="P22" s="16" t="str">
        <f>IF($M$3&lt;=10,IF($P$3&lt;=60,"N.A.",$P$8),IF($M$3&lt;=27,IF($P$3&lt;=60,"N.A.",$P$13),IF($M$3&lt;=45,IF($P$3&lt;=60,"N.A.",$P$18))))</f>
        <v>N.A.</v>
      </c>
      <c r="Q22" s="13"/>
      <c r="R22" s="13"/>
    </row>
    <row r="23" spans="1:18">
      <c r="A23" s="68" t="s">
        <v>322</v>
      </c>
      <c r="B23" s="227" t="s">
        <v>176</v>
      </c>
      <c r="C23" s="345" t="s">
        <v>150</v>
      </c>
      <c r="D23" s="64"/>
      <c r="E23" s="64"/>
      <c r="F23" s="272"/>
      <c r="G23" s="64"/>
      <c r="H23" s="69"/>
      <c r="K23" s="1"/>
      <c r="L23" s="14" t="s">
        <v>311</v>
      </c>
      <c r="M23" s="16">
        <f>IF($M$3&lt;=7,IF($P$3&lt;=60,$M$9,"N.A."),IF($M$3&lt;=27,IF($P$3&lt;=60,$M$14,"N.A."),IF($M$3&lt;=45,IF($P$3&lt;=60,$M$19,"N.A."))))</f>
        <v>-0.9</v>
      </c>
      <c r="O23" s="14" t="s">
        <v>311</v>
      </c>
      <c r="P23" s="16" t="str">
        <f>IF($M$3&lt;=10,IF($P$3&lt;=60,"N.A.",$P$9),IF($M$3&lt;=27,IF($P$3&lt;=60,"N.A.",$P$14),IF($M$3&lt;=45,IF($P$3&lt;=60,"N.A.",$P$19))))</f>
        <v>N.A.</v>
      </c>
      <c r="Q23" s="13"/>
      <c r="R23" s="13"/>
    </row>
    <row r="24" spans="1:18">
      <c r="A24" s="63"/>
      <c r="B24" s="64"/>
      <c r="C24" s="64"/>
      <c r="D24" s="64"/>
      <c r="E24" s="64"/>
      <c r="F24" s="272"/>
      <c r="G24" s="64"/>
      <c r="H24" s="69"/>
      <c r="K24" s="1"/>
      <c r="L24" s="14" t="s">
        <v>312</v>
      </c>
      <c r="M24" s="16">
        <f>IF($M$3&lt;=7,IF($P$3&lt;=60,$M$10,"N.A."),IF($M$3&lt;=27,IF($P$3&lt;=60,$M$15,"N.A."),IF($M$3&lt;=45,IF($P$3&lt;=60,$M$20,"N.A."))))</f>
        <v>-1.1000000000000001</v>
      </c>
      <c r="O24" s="14" t="s">
        <v>312</v>
      </c>
      <c r="P24" s="16" t="str">
        <f>IF($M$3&lt;=10,IF($P$3&lt;=60,"N.A.",$P$10),IF($M$3&lt;=27,IF($P$3&lt;=60,"N.A.",$P$15),IF($M$3&lt;=45,IF($P$3&lt;=60,"N.A.",$P$20))))</f>
        <v>N.A.</v>
      </c>
      <c r="Q24" s="13"/>
      <c r="R24" s="13"/>
    </row>
    <row r="25" spans="1:18">
      <c r="A25" s="65" t="s">
        <v>240</v>
      </c>
      <c r="B25" s="50"/>
      <c r="C25" s="71"/>
      <c r="D25" s="64"/>
      <c r="E25" s="64"/>
      <c r="F25" s="94"/>
      <c r="G25" s="94"/>
      <c r="H25" s="69"/>
      <c r="K25" s="1"/>
      <c r="L25" s="14" t="s">
        <v>313</v>
      </c>
      <c r="M25" s="16">
        <f>IF($M$3&lt;=7,IF($P$3&lt;=60,$M$11,"N.A."),IF($M$3&lt;=27,IF($P$3&lt;=60,$M$16,"N.A."),IF($M$3&lt;=45,IF($P$3&lt;=60,$M$21,"N.A."))))</f>
        <v>-1.1000000000000001</v>
      </c>
      <c r="O25" s="14" t="s">
        <v>313</v>
      </c>
      <c r="P25" s="16" t="str">
        <f>IF($M$3&lt;=10,IF($P$3&lt;=60,"N.A.",$P$11),IF($M$3&lt;=27,IF($P$3&lt;=60,"N.A.",$P$16),IF($M$3&lt;=45,IF($P$3&lt;=60,"N.A.",$P$21))))</f>
        <v>N.A.</v>
      </c>
      <c r="Q25" s="13"/>
      <c r="R25" s="13"/>
    </row>
    <row r="26" spans="1:18">
      <c r="A26" s="63"/>
      <c r="B26" s="64"/>
      <c r="C26" s="64"/>
      <c r="D26" s="64"/>
      <c r="E26" s="64"/>
      <c r="F26" s="64"/>
      <c r="G26" s="64"/>
      <c r="H26" s="69"/>
      <c r="K26" s="1"/>
      <c r="L26" s="13"/>
      <c r="M26" s="13"/>
      <c r="N26" s="13"/>
      <c r="O26" s="13"/>
      <c r="P26" s="13"/>
      <c r="Q26" s="13"/>
      <c r="R26" s="13"/>
    </row>
    <row r="27" spans="1:18">
      <c r="A27" s="68" t="s">
        <v>350</v>
      </c>
      <c r="B27" s="224">
        <f>$M$3</f>
        <v>0</v>
      </c>
      <c r="C27" s="64" t="s">
        <v>397</v>
      </c>
      <c r="D27" s="64"/>
      <c r="E27" s="64"/>
      <c r="F27" s="72" t="str">
        <f>IF($B$16="Monoslope",IF($M$3&gt;3,"Monoslope Roof &gt; 3 degrees!",""),"")</f>
        <v/>
      </c>
      <c r="G27" s="129"/>
      <c r="H27" s="132"/>
      <c r="K27" s="1"/>
      <c r="L27" s="13" t="s">
        <v>18</v>
      </c>
      <c r="M27" s="8"/>
      <c r="N27" s="17"/>
      <c r="O27" s="13"/>
      <c r="P27" s="13"/>
      <c r="Q27" s="13"/>
      <c r="R27" s="13"/>
    </row>
    <row r="28" spans="1:18">
      <c r="A28" s="68" t="s">
        <v>222</v>
      </c>
      <c r="B28" s="220">
        <f>$P$3</f>
        <v>42</v>
      </c>
      <c r="C28" s="71" t="str">
        <f>IF($B$27&lt;=10,"ft. (h = he, for roof angle &lt;=10 deg.)","ft. (h = (hr+he)/2, for roof angle &gt;10 deg.)")</f>
        <v>ft. (h = he, for roof angle &lt;=10 deg.)</v>
      </c>
      <c r="D28" s="64"/>
      <c r="E28" s="64"/>
      <c r="F28" s="64"/>
      <c r="G28" s="64"/>
      <c r="H28" s="69"/>
      <c r="K28" s="1"/>
      <c r="L28" s="15" t="s">
        <v>534</v>
      </c>
      <c r="M28" s="13"/>
      <c r="N28" s="13"/>
      <c r="O28" s="17" t="s">
        <v>536</v>
      </c>
      <c r="P28" s="13"/>
      <c r="Q28" s="13"/>
      <c r="R28" s="13"/>
    </row>
    <row r="29" spans="1:18">
      <c r="A29" s="63"/>
      <c r="B29" s="64"/>
      <c r="C29" s="64"/>
      <c r="D29" s="64"/>
      <c r="E29" s="64"/>
      <c r="F29" s="64"/>
      <c r="G29" s="64"/>
      <c r="H29" s="69"/>
      <c r="K29" s="14" t="s">
        <v>535</v>
      </c>
      <c r="L29" s="13" t="s">
        <v>29</v>
      </c>
      <c r="M29" s="13"/>
      <c r="N29" s="17"/>
      <c r="O29" s="13" t="s">
        <v>355</v>
      </c>
      <c r="P29" s="13"/>
      <c r="Q29" s="13"/>
      <c r="R29" s="13"/>
    </row>
    <row r="30" spans="1:18">
      <c r="A30" s="63" t="s">
        <v>319</v>
      </c>
      <c r="B30" s="64"/>
      <c r="C30" s="64"/>
      <c r="D30" s="64"/>
      <c r="E30" s="64"/>
      <c r="F30" s="64"/>
      <c r="G30" s="64"/>
      <c r="H30" s="69"/>
      <c r="J30" s="1"/>
      <c r="K30" s="2"/>
      <c r="L30" s="14" t="s">
        <v>213</v>
      </c>
      <c r="M30" s="16" t="str">
        <f>IF($B$23="Y",IF($M$3&lt;=7,IF($P$3&lt;=60,IF($B$22&lt;=10,0.3,IF($B$22&lt;=100,(0.4-0.1*LOG($B$22)),0.2)),"N.A."),"N.A."),"N.A.")</f>
        <v>N.A.</v>
      </c>
      <c r="N30" s="13"/>
      <c r="O30" s="14" t="s">
        <v>213</v>
      </c>
      <c r="P30" s="16" t="str">
        <f>IF($B$23="Y",IF($M$3&lt;=10,IF($P$3&gt;60,IF($B$22&lt;=10,0.3,IF($B$22&lt;=100,(0.4-0.1*LOG($B$22)),0.2)),"N.A."),"N.A."),"N.A.")</f>
        <v>N.A.</v>
      </c>
      <c r="Q30" s="13"/>
      <c r="R30" s="13"/>
    </row>
    <row r="31" spans="1:18">
      <c r="A31" s="68" t="s">
        <v>317</v>
      </c>
      <c r="B31" s="224">
        <f>IF(AND($P$3&lt;=60,$B$23="N"),$M$22,IF(AND($P$3&lt;=60,$B$23="Y"),$M$44,IF(AND($P$3&gt;60,$B$23="N"),$P$22,IF(AND($P$3&gt;60,$B$23="Y"),$P$44))))</f>
        <v>0.2</v>
      </c>
      <c r="C31" s="71" t="str">
        <f>IF($B$28&lt;=60,"(Fig. 30.4-2A, 30.4-2B, and 30.4-2C)",IF($M$3&lt;=10,"(Fig. 30.6-1)","(Fig. 30.4-2A, 30.4-2B, and 30.4-2C)"))</f>
        <v>(Fig. 30.4-2A, 30.4-2B, and 30.4-2C)</v>
      </c>
      <c r="D31" s="83"/>
      <c r="E31" s="87"/>
      <c r="F31" s="64"/>
      <c r="G31" s="64"/>
      <c r="H31" s="69"/>
      <c r="J31" s="3"/>
      <c r="K31" s="2"/>
      <c r="L31" s="14" t="s">
        <v>214</v>
      </c>
      <c r="M31" s="16" t="str">
        <f>IF($B$23="Y",IF($M$3&lt;=7,IF($P$3&lt;=60,IF($B$22&lt;=10,-1.7,IF($B$22&lt;=100,(-1.8+0.1*LOG($B$22)),IF($B$22&lt;=500,(-3.0307+0.7153*LOG($B$22)),-1.1))),"N.A"),"N.A."),"N.A.")</f>
        <v>N.A.</v>
      </c>
      <c r="N31" s="13"/>
      <c r="O31" s="14" t="s">
        <v>214</v>
      </c>
      <c r="P31" s="16" t="str">
        <f>IF($B$23="Y",IF($M$3&lt;=10,IF($P$3&gt;60,IF($B$22&lt;=10,-1.7,IF($B$22&lt;=100,(-1.8+0.1*LOG($B$22)),IF($B$22&lt;=500,(-3.0307+0.7153*LOG($B$22)),-1.1))),"N.A"),"N.A."),"N.A.")</f>
        <v>N.A.</v>
      </c>
      <c r="Q31" s="13"/>
      <c r="R31" s="13"/>
    </row>
    <row r="32" spans="1:18">
      <c r="A32" s="68" t="s">
        <v>201</v>
      </c>
      <c r="B32" s="229">
        <f>IF(AND($P$3&lt;=60,$B$23="N"),$M$23,IF(AND($P$3&lt;=60,$B$23="Y"),$M$45,IF(AND($P$3&gt;60,$B$23="N"),$P$23,IF(AND($P$3&gt;60,$B$23="Y"),$P$45))))</f>
        <v>-0.9</v>
      </c>
      <c r="C32" s="71" t="str">
        <f>IF($B$28&lt;=60,"(Fig. 30.4-2A, 30.4-2B, and 30.4-2C)",IF($M$3&lt;=10,"(Fig. 30.6-1)","(Fig. 30.4-2A, 30.4-2B, and 30.4-2C)"))</f>
        <v>(Fig. 30.4-2A, 30.4-2B, and 30.4-2C)</v>
      </c>
      <c r="D32" s="83"/>
      <c r="E32" s="64"/>
      <c r="F32" s="64"/>
      <c r="G32" s="64"/>
      <c r="H32" s="69"/>
      <c r="J32" s="1"/>
      <c r="K32" s="1"/>
      <c r="L32" s="14" t="s">
        <v>215</v>
      </c>
      <c r="M32" s="16" t="str">
        <f>IF($B$23="Y",IF($M$3&lt;=7,IF($P$3&lt;=60,IF($B$22&lt;=10,-1.7,IF($B$22&lt;=100,(-1.8+0.1*LOG($B$22)),IF($B$22&lt;=500,(-3.0307+0.7153*LOG($B$22)),-1.1))),"N.A"),"N.A."),"N.A.")</f>
        <v>N.A.</v>
      </c>
      <c r="N32" s="13"/>
      <c r="O32" s="14" t="s">
        <v>215</v>
      </c>
      <c r="P32" s="16" t="str">
        <f>IF($B$23="Y",IF($M$3&lt;=10,IF($P$3&gt;60,IF($B$22&lt;=10,-1.7,IF($B$22&lt;=100,(-1.8+0.1*LOG($B$22)),IF($B$22&lt;=500,(-3.0307+0.7153*LOG($B$22)),-1.1))),"N.A"),"N.A."),"N.A.")</f>
        <v>N.A.</v>
      </c>
      <c r="Q32" s="13"/>
      <c r="R32" s="13"/>
    </row>
    <row r="33" spans="1:18">
      <c r="A33" s="68" t="s">
        <v>202</v>
      </c>
      <c r="B33" s="229">
        <f>IF(AND($P$3&lt;=60,$B$23="N"),$M$24,IF(AND($P$3&lt;=60,$B$23="Y"),$M$46,IF(AND($P$3&gt;60,$B$23="N"),$P$24,IF(AND($P$3&gt;60,$B$23="Y"),$P$46))))</f>
        <v>-1.1000000000000001</v>
      </c>
      <c r="C33" s="71" t="str">
        <f>IF($B$28&lt;=60,"(Fig. 30.4-2A, 30.4-2B, and 30.4-2C)",IF($M$3&lt;=10,"(Fig. 30.6-1)","(Fig. 30.4-2A, 30.4-2B, and 30.4-2C)"))</f>
        <v>(Fig. 30.4-2A, 30.4-2B, and 30.4-2C)</v>
      </c>
      <c r="D33" s="83"/>
      <c r="E33" s="64"/>
      <c r="F33" s="64"/>
      <c r="G33" s="64"/>
      <c r="H33" s="69"/>
      <c r="J33" s="1"/>
      <c r="K33" s="2"/>
      <c r="L33" s="14" t="s">
        <v>216</v>
      </c>
      <c r="M33" s="16" t="str">
        <f>IF($B$23="Y",IF($M$3&lt;=7,IF($P$3&lt;=60,IF($B$22&lt;=10,-2.8,IF($B$22&lt;=100,(-4.8+2*LOG($B$22)),-0.8)),"N.A"),"N.A."),"N.A.")</f>
        <v>N.A.</v>
      </c>
      <c r="N33" s="10"/>
      <c r="O33" s="14" t="s">
        <v>216</v>
      </c>
      <c r="P33" s="16" t="str">
        <f>IF($B$23="Y",IF($M$3&lt;=10,IF($P$3&gt;60,IF($B$22&lt;=10,-2.8,IF($B$22&lt;=100,(-4.8+2*LOG($B$22)),-0.8)),"N.A"),"N.A."),"N.A.")</f>
        <v>N.A.</v>
      </c>
      <c r="Q33" s="13"/>
      <c r="R33" s="13"/>
    </row>
    <row r="34" spans="1:18">
      <c r="A34" s="68" t="s">
        <v>203</v>
      </c>
      <c r="B34" s="226">
        <f>IF(AND($P$3&lt;=60,$B$23="N"),$M$25,IF(AND($P$3&lt;=60,$B$23="Y"),$M$47,IF(AND($P$3&gt;60,$B$23="N"),$P$25,IF(AND($P$3&gt;60,$B$23="Y"),$P$47))))</f>
        <v>-1.1000000000000001</v>
      </c>
      <c r="C34" s="71" t="str">
        <f>IF($B$28&lt;=60,"(Fig. 30.4-2A, 30.4-2B, and 30.4-2C)",IF($M$3&lt;=10,"(Fig. 30.6-1)","(Fig. 30.4-2A, 30.4-2B, and 30.4-2C)"))</f>
        <v>(Fig. 30.4-2A, 30.4-2B, and 30.4-2C)</v>
      </c>
      <c r="D34" s="83"/>
      <c r="E34" s="64"/>
      <c r="F34" s="64"/>
      <c r="G34" s="64"/>
      <c r="H34" s="69"/>
      <c r="J34" s="3"/>
      <c r="K34" s="14" t="s">
        <v>537</v>
      </c>
      <c r="L34" s="13" t="s">
        <v>30</v>
      </c>
      <c r="M34" s="13"/>
      <c r="N34" s="13"/>
      <c r="O34" s="13" t="s">
        <v>31</v>
      </c>
      <c r="P34" s="13"/>
      <c r="Q34" s="13"/>
      <c r="R34" s="13"/>
    </row>
    <row r="35" spans="1:18">
      <c r="A35" s="166" t="s">
        <v>486</v>
      </c>
      <c r="B35" s="64"/>
      <c r="C35" s="64"/>
      <c r="D35" s="64"/>
      <c r="E35" s="53"/>
      <c r="F35" s="64"/>
      <c r="G35" s="64"/>
      <c r="H35" s="69"/>
      <c r="J35" s="7"/>
      <c r="K35" s="2"/>
      <c r="L35" s="14" t="s">
        <v>213</v>
      </c>
      <c r="M35" s="16" t="str">
        <f>IF($B$23="Y",IF($M$3&gt;7,IF($M$3&lt;=27,IF($P$3&lt;=60,IF($B$22&lt;=10,0.5,IF($B$22&lt;=100,(0.7-0.2*LOG($B$22)),0.3)),"N.A."),"N.A."),"N.A."),"N.A.")</f>
        <v>N.A.</v>
      </c>
      <c r="N35" s="13"/>
      <c r="O35" s="14" t="s">
        <v>213</v>
      </c>
      <c r="P35" s="16" t="str">
        <f>IF($B$23="Y",IF($M$3&gt;10,IF($M$3&lt;=27,IF($P$3&gt;60,IF($B$22&lt;=10,0.5,IF($B$22&lt;=100,(0.7-0.2*LOG($B$22)),0.3)),"N.A."),"N.A."),"N.A."),"N.A.")</f>
        <v>N.A.</v>
      </c>
      <c r="Q35" s="13"/>
      <c r="R35" s="13"/>
    </row>
    <row r="36" spans="1:18">
      <c r="A36" s="101" t="s">
        <v>262</v>
      </c>
      <c r="B36" s="219">
        <f>$M$60</f>
        <v>0.18</v>
      </c>
      <c r="C36" s="64" t="s">
        <v>331</v>
      </c>
      <c r="D36" s="64"/>
      <c r="E36" s="64"/>
      <c r="F36" s="64"/>
      <c r="G36" s="64"/>
      <c r="H36" s="69"/>
      <c r="J36" s="7"/>
      <c r="K36" s="2"/>
      <c r="L36" s="14" t="s">
        <v>214</v>
      </c>
      <c r="M36" s="16" t="str">
        <f>IF($B$23="Y",IF($M$3&gt;7,IF($M$3&lt;=27,IF($P$3&lt;=60,IF($B$22&lt;=10,-0.9,IF($B$22&lt;=100,(-1+0.1*LOG($B$22)),-0.8)),"N.A."),"N.A."),"N.A."),"N.A.")</f>
        <v>N.A.</v>
      </c>
      <c r="N36" s="10"/>
      <c r="O36" s="14" t="s">
        <v>214</v>
      </c>
      <c r="P36" s="16" t="str">
        <f>IF($B$23="Y",IF($M$3&gt;10,IF($M$3&lt;=27,IF($P$3&gt;60,IF($B$22&lt;=10,-0.9,IF($B$22&lt;=100,(-1+0.1*LOG($B$22)),-0.8)),"N.A."),"N.A."),"N.A."),"N.A.")</f>
        <v>N.A.</v>
      </c>
      <c r="Q36" s="13"/>
      <c r="R36" s="13"/>
    </row>
    <row r="37" spans="1:18">
      <c r="A37" s="101" t="s">
        <v>263</v>
      </c>
      <c r="B37" s="220">
        <f>$M$61</f>
        <v>-0.18</v>
      </c>
      <c r="C37" s="64" t="s">
        <v>332</v>
      </c>
      <c r="D37" s="64"/>
      <c r="E37" s="64"/>
      <c r="F37" s="64"/>
      <c r="G37" s="64"/>
      <c r="H37" s="69"/>
      <c r="J37" s="1"/>
      <c r="K37" s="1"/>
      <c r="L37" s="14" t="s">
        <v>215</v>
      </c>
      <c r="M37" s="16" t="str">
        <f>IF($B$23="Y",IF($M$3&gt;7,IF($M$3&lt;=27,IF($P$3&lt;=60,-2.2,"N.A."),"N.A."),"N.A."),"N.A.")</f>
        <v>N.A.</v>
      </c>
      <c r="N37" s="11"/>
      <c r="O37" s="14" t="s">
        <v>215</v>
      </c>
      <c r="P37" s="16" t="str">
        <f>IF($B$23="Y",IF($M$3&gt;10,IF($M$3&lt;=27,IF($P$3&gt;60,-2.2,"N.A."),"N.A."),"N.A."),"N.A.")</f>
        <v>N.A.</v>
      </c>
      <c r="Q37" s="11"/>
      <c r="R37" s="13"/>
    </row>
    <row r="38" spans="1:18">
      <c r="A38" s="538" t="s">
        <v>487</v>
      </c>
      <c r="B38" s="64"/>
      <c r="C38" s="64"/>
      <c r="D38" s="64"/>
      <c r="E38" s="64"/>
      <c r="F38" s="64"/>
      <c r="G38" s="64"/>
      <c r="H38" s="69"/>
      <c r="J38" s="1"/>
      <c r="K38" s="1"/>
      <c r="L38" s="14" t="s">
        <v>216</v>
      </c>
      <c r="M38" s="16" t="str">
        <f>IF($B$23="Y",IF($M$3&gt;7,IF($M$3&lt;=27,IF($P$3&lt;=60,IF($B$22&lt;=10,-3.7,IF($B$22&lt;=100,(-4.9+1.2*LOG($B$22)),-2.5)),"N.A."),"N.A."),"N.A."),"N.A.")</f>
        <v>N.A.</v>
      </c>
      <c r="N38" s="11"/>
      <c r="O38" s="14" t="s">
        <v>216</v>
      </c>
      <c r="P38" s="16" t="str">
        <f>IF($B$23="Y",IF($M$3&gt;10,IF($M$3&lt;=27,IF($P$3&gt;60,IF($B$22&lt;=10,-3.7,IF($B$22&lt;=100,(-4.9+1.2*LOG($B$22)),-2.5)),"N.A."),"N.A."),"N.A."),"N.A.")</f>
        <v>N.A.</v>
      </c>
      <c r="Q38" s="11"/>
      <c r="R38" s="13"/>
    </row>
    <row r="39" spans="1:18">
      <c r="A39" s="103" t="s">
        <v>343</v>
      </c>
      <c r="B39" s="224">
        <f>$M$64</f>
        <v>9.5</v>
      </c>
      <c r="C39" s="345" t="s">
        <v>488</v>
      </c>
      <c r="D39" s="64"/>
      <c r="E39" s="64"/>
      <c r="F39" s="64"/>
      <c r="G39" s="64"/>
      <c r="H39" s="69"/>
      <c r="J39" s="1"/>
      <c r="K39" s="14" t="s">
        <v>538</v>
      </c>
      <c r="L39" s="13" t="s">
        <v>32</v>
      </c>
      <c r="M39" s="13"/>
      <c r="N39" s="13"/>
      <c r="O39" s="13" t="s">
        <v>33</v>
      </c>
      <c r="P39" s="13"/>
      <c r="Q39" s="13"/>
      <c r="R39" s="13"/>
    </row>
    <row r="40" spans="1:18">
      <c r="A40" s="68" t="s">
        <v>174</v>
      </c>
      <c r="B40" s="245">
        <f>$M$65</f>
        <v>900</v>
      </c>
      <c r="C40" s="304" t="s">
        <v>488</v>
      </c>
      <c r="D40" s="64"/>
      <c r="E40" s="64"/>
      <c r="F40" s="71" t="str">
        <f>IF($B$11="B","(Note: z not &lt; 30, Exp. B, Case 1)","")</f>
        <v/>
      </c>
      <c r="G40" s="80"/>
      <c r="H40" s="69"/>
      <c r="J40" s="3"/>
      <c r="K40" s="2"/>
      <c r="L40" s="14" t="s">
        <v>213</v>
      </c>
      <c r="M40" s="16" t="str">
        <f>IF($B$23="Y",IF($M$3&gt;27,IF($M$3&lt;=45,IF($P$3&lt;=60,IF($B$22&lt;=10,0.9,IF($B$22&lt;=100,(1-0.1*LOG($B$22)),0.8)),"N.A."),"N.A."),"N.A."),"N.A.")</f>
        <v>N.A.</v>
      </c>
      <c r="N40" s="13"/>
      <c r="O40" s="14" t="s">
        <v>213</v>
      </c>
      <c r="P40" s="16" t="str">
        <f>IF($B$23="Y",IF($M$3&gt;27,IF($M$3&lt;=45,IF($P$3&gt;60,IF($B$22&lt;=10,0.9,IF($B$22&lt;=100,(1-0.1*LOG($B$22)),0.8)),"N.A."),"N.A."),"N.A."),"N.A.")</f>
        <v>N.A.</v>
      </c>
      <c r="Q40" s="13"/>
      <c r="R40" s="13"/>
    </row>
    <row r="41" spans="1:18">
      <c r="A41" s="68" t="s">
        <v>175</v>
      </c>
      <c r="B41" s="539">
        <f>$M$66</f>
        <v>1.0543552349348324</v>
      </c>
      <c r="C41" s="64" t="s">
        <v>259</v>
      </c>
      <c r="D41" s="64"/>
      <c r="E41" s="64"/>
      <c r="F41" s="83"/>
      <c r="G41" s="80"/>
      <c r="H41" s="100"/>
      <c r="J41" s="7"/>
      <c r="K41" s="2"/>
      <c r="L41" s="14" t="s">
        <v>214</v>
      </c>
      <c r="M41" s="16" t="str">
        <f>IF($B$23="Y",IF($M$3&gt;27,IF($M$3&lt;=45,IF($P$3&lt;=60,IF($B$22&lt;=10,-1,IF($B$22&lt;=100,(-1.2+0.2*LOG($B$22)),-0.8)),"N.A."),"N.A."),"N.A."),"N.A.")</f>
        <v>N.A.</v>
      </c>
      <c r="N41" s="10"/>
      <c r="O41" s="14" t="s">
        <v>214</v>
      </c>
      <c r="P41" s="16" t="str">
        <f>IF($B$23="Y",IF($M$3&gt;27,IF($M$3&lt;=45,IF($P$3&gt;60,IF($B$22&lt;=10,-1,IF($B$22&lt;=100,(-1.2+0.2*LOG($B$22)),-0.8)),"N.A."),"N.A."),"N.A."),"N.A.")</f>
        <v>N.A.</v>
      </c>
      <c r="Q41" s="13"/>
      <c r="R41" s="13"/>
    </row>
    <row r="42" spans="1:18">
      <c r="A42" s="333"/>
      <c r="B42" s="593"/>
      <c r="C42" s="105"/>
      <c r="D42" s="64"/>
      <c r="E42" s="64"/>
      <c r="F42" s="83"/>
      <c r="G42" s="80"/>
      <c r="H42" s="100"/>
      <c r="J42" s="7"/>
      <c r="K42" s="2"/>
      <c r="L42" s="14" t="s">
        <v>215</v>
      </c>
      <c r="M42" s="16" t="str">
        <f>IF($B$23="Y",IF($M$3&gt;27,IF($M$3&lt;=45,IF($P$3&lt;=60,IF($B$22&lt;=10,-2,IF($B$22&lt;=100,(-2.2+0.2*LOG($B$22)),-1.8)),"N.A."),"N.A."),"N.A."),"N.A.")</f>
        <v>N.A.</v>
      </c>
      <c r="N42" s="11"/>
      <c r="O42" s="14" t="s">
        <v>215</v>
      </c>
      <c r="P42" s="16" t="str">
        <f>IF($B$23="Y",IF($M$3&gt;27,IF($M$3&lt;=45,IF($P$3&gt;60,IF($B$22&lt;=10,-2,IF($B$22&lt;=100,(-2.2+0.2*LOG($B$22)),-1.8)),"N.A."),"N.A."),"N.A."),"N.A.")</f>
        <v>N.A.</v>
      </c>
      <c r="Q42" s="11"/>
      <c r="R42" s="13"/>
    </row>
    <row r="43" spans="1:18">
      <c r="A43" s="309" t="s">
        <v>490</v>
      </c>
      <c r="B43" s="64"/>
      <c r="C43" s="64"/>
      <c r="D43" s="64"/>
      <c r="E43" s="90"/>
      <c r="F43" s="90"/>
      <c r="G43" s="90"/>
      <c r="H43" s="69"/>
      <c r="J43" s="2"/>
      <c r="K43" s="6"/>
      <c r="L43" s="14" t="s">
        <v>216</v>
      </c>
      <c r="M43" s="16" t="str">
        <f>IF($B$23="Y",IF($M$3&gt;27,IF($M$3&lt;=45,IF($P$3&lt;=60,IF($B$22&lt;=10,-2,IF($B$22&lt;=100,(-2.2+0.2*LOG($B$22)),-1.8)),"N.A."),"N.A."),"N.A."),"N.A.")</f>
        <v>N.A.</v>
      </c>
      <c r="N43" s="11"/>
      <c r="O43" s="14" t="s">
        <v>216</v>
      </c>
      <c r="P43" s="16" t="str">
        <f>IF($B$23="Y",IF($M$3&gt;27,IF($M$3&lt;=45,IF($P$3&gt;60,IF($B$22&lt;=10,-2,IF($B$22&lt;=100,(-2.2+0.2*LOG($B$22)),-1.8)),"N.A."),"N.A."),"N.A."),"N.A.")</f>
        <v>N.A.</v>
      </c>
      <c r="Q43" s="11"/>
      <c r="R43" s="13"/>
    </row>
    <row r="44" spans="1:18">
      <c r="A44" s="68" t="s">
        <v>266</v>
      </c>
      <c r="B44" s="78">
        <f>$M$67</f>
        <v>66.304605046205836</v>
      </c>
      <c r="C44" s="64" t="s">
        <v>437</v>
      </c>
      <c r="D44" s="310" t="s">
        <v>491</v>
      </c>
      <c r="E44" s="64"/>
      <c r="F44" s="64"/>
      <c r="G44" s="90"/>
      <c r="H44" s="100"/>
      <c r="J44" s="2"/>
      <c r="K44" s="6"/>
      <c r="L44" s="14" t="s">
        <v>310</v>
      </c>
      <c r="M44" s="16" t="str">
        <f>IF($M$3&lt;=7,IF($P$3&lt;=60,$M$30,"N.A."),IF($M$3&lt;=27,IF($P$3&lt;=60,$M$35,"N.A."),IF($M$3&lt;=45,IF($P$3&lt;=60,$M$40,"N.A."))))</f>
        <v>N.A.</v>
      </c>
      <c r="O44" s="14" t="s">
        <v>310</v>
      </c>
      <c r="P44" s="16" t="str">
        <f>IF($M$3&lt;=10,IF($P$3&lt;=60,"N.A.",$P$30),IF($M$3&lt;=27,IF($P$3&lt;=60,"N.A.",$P$35),IF($M$3&lt;=45,IF($P$3&lt;=60,"N.A.",$P$40))))</f>
        <v>N.A.</v>
      </c>
      <c r="Q44" s="13"/>
      <c r="R44" s="13"/>
    </row>
    <row r="45" spans="1:18">
      <c r="A45" s="63"/>
      <c r="B45" s="64"/>
      <c r="C45" s="64"/>
      <c r="D45" s="64"/>
      <c r="E45" s="64"/>
      <c r="F45" s="64"/>
      <c r="G45" s="64"/>
      <c r="H45" s="69"/>
      <c r="J45" s="2"/>
      <c r="K45" s="6"/>
      <c r="L45" s="14" t="s">
        <v>311</v>
      </c>
      <c r="M45" s="16" t="str">
        <f>IF($M$3&lt;=7,IF($P$3&lt;=60,$M$31,"N.A."),IF($M$3&lt;=27,IF($P$3&lt;=60,$M$36,"N.A."),IF($M$3&lt;=45,IF($P$3&lt;=60,$M$41,"N.A."))))</f>
        <v>N.A.</v>
      </c>
      <c r="O45" s="14" t="s">
        <v>311</v>
      </c>
      <c r="P45" s="16" t="str">
        <f>IF($M$3&lt;=10,IF($P$3&lt;=60,"N.A.",$P$31),IF($M$3&lt;=27,IF($P$3&lt;=60,"N.A.",$P$36),IF($M$3&lt;=45,IF($P$3&lt;=60,"N.A.",$P$41))))</f>
        <v>N.A.</v>
      </c>
      <c r="Q45" s="13"/>
      <c r="R45" s="13"/>
    </row>
    <row r="46" spans="1:18">
      <c r="A46" s="166" t="s">
        <v>493</v>
      </c>
      <c r="B46" s="64"/>
      <c r="C46" s="64"/>
      <c r="D46" s="92"/>
      <c r="E46" s="106"/>
      <c r="F46" s="90"/>
      <c r="G46" s="90"/>
      <c r="H46" s="100"/>
      <c r="J46" s="2"/>
      <c r="K46" s="6"/>
      <c r="L46" s="14" t="s">
        <v>312</v>
      </c>
      <c r="M46" s="16" t="str">
        <f>IF($M$3&lt;=7,IF($P$3&lt;=60,$M$32,"N.A."),IF($M$3&lt;=27,IF($P$3&lt;=60,$M$37,"N.A."),IF($M$3&lt;=45,IF($P$3&lt;=60,$M$42,"N.A."))))</f>
        <v>N.A.</v>
      </c>
      <c r="O46" s="14" t="s">
        <v>312</v>
      </c>
      <c r="P46" s="16" t="str">
        <f>IF($M$3&lt;=10,IF($P$3&lt;=60,"N.A.",$P$32),IF($M$3&lt;=27,IF($P$3&lt;=60,"N.A.",$P$37),IF($M$3&lt;=45,IF($P$3&lt;=60,"N.A.",$P$42))))</f>
        <v>N.A.</v>
      </c>
      <c r="Q46" s="13"/>
      <c r="R46" s="13"/>
    </row>
    <row r="47" spans="1:18">
      <c r="A47" s="63" t="s">
        <v>372</v>
      </c>
      <c r="B47" s="64"/>
      <c r="C47" s="105"/>
      <c r="D47" s="92"/>
      <c r="E47" s="64"/>
      <c r="F47" s="90"/>
      <c r="G47" s="90"/>
      <c r="H47" s="100"/>
      <c r="J47" s="1"/>
      <c r="K47" s="1"/>
      <c r="L47" s="14" t="s">
        <v>313</v>
      </c>
      <c r="M47" s="16" t="str">
        <f>IF($M$3&lt;=7,IF($P$3&lt;=60,$M$33,"N.A."),IF($M$3&lt;=27,IF($P$3&lt;=60,$M$38,"N.A."),IF($M$3&lt;=45,IF($P$3&lt;=60,$M$43,"N.A."))))</f>
        <v>N.A.</v>
      </c>
      <c r="O47" s="14" t="s">
        <v>313</v>
      </c>
      <c r="P47" s="16" t="str">
        <f>IF($M$3&lt;=10,IF($P$3&lt;=60,"N.A.",$P$33),IF($M$3&lt;=27,IF($P$3&lt;=60,"N.A.",$P$38),IF($M$3&lt;=45,IF($P$3&lt;=60,"N.A.",$P$43))))</f>
        <v>N.A.</v>
      </c>
      <c r="Q47" s="13"/>
      <c r="R47" s="13"/>
    </row>
    <row r="48" spans="1:18">
      <c r="A48" s="63" t="s">
        <v>373</v>
      </c>
      <c r="B48" s="64"/>
      <c r="C48" s="64"/>
      <c r="D48" s="64"/>
      <c r="E48" s="64"/>
      <c r="F48" s="64"/>
      <c r="G48" s="64"/>
      <c r="H48" s="69"/>
      <c r="J48" s="1"/>
      <c r="K48" s="1"/>
      <c r="L48" s="13"/>
      <c r="M48" s="13"/>
      <c r="N48" s="13"/>
      <c r="O48" s="13"/>
      <c r="P48" s="13"/>
      <c r="Q48" s="13"/>
      <c r="R48" s="13"/>
    </row>
    <row r="49" spans="1:29">
      <c r="A49" s="108" t="s">
        <v>371</v>
      </c>
      <c r="B49" s="64"/>
      <c r="C49" s="64"/>
      <c r="D49" s="90"/>
      <c r="E49" s="64"/>
      <c r="F49" s="64"/>
      <c r="G49" s="90"/>
      <c r="H49" s="69"/>
      <c r="J49" s="1"/>
      <c r="K49" s="1"/>
      <c r="L49" s="13"/>
      <c r="M49" s="13"/>
      <c r="N49" s="13"/>
      <c r="O49" s="13"/>
      <c r="P49" s="13"/>
      <c r="Q49" s="13"/>
      <c r="R49" s="13"/>
    </row>
    <row r="50" spans="1:29">
      <c r="A50" s="314" t="s">
        <v>540</v>
      </c>
      <c r="B50" s="64"/>
      <c r="C50" s="64"/>
      <c r="D50" s="90"/>
      <c r="E50" s="64"/>
      <c r="F50" s="64"/>
      <c r="G50" s="90"/>
      <c r="H50" s="100"/>
      <c r="J50" s="1"/>
      <c r="K50" s="1"/>
      <c r="L50" s="13"/>
      <c r="M50" s="13"/>
      <c r="N50" s="13"/>
      <c r="O50" s="13"/>
      <c r="P50" s="13"/>
      <c r="Q50" s="13"/>
      <c r="R50" s="13"/>
    </row>
    <row r="51" spans="1:29">
      <c r="A51" s="63"/>
      <c r="B51" s="64"/>
      <c r="C51" s="64"/>
      <c r="D51" s="64"/>
      <c r="E51" s="64"/>
      <c r="F51" s="64"/>
      <c r="G51" s="57"/>
      <c r="H51" s="281"/>
      <c r="J51" s="1"/>
      <c r="K51" s="1"/>
      <c r="L51" s="13" t="s">
        <v>211</v>
      </c>
      <c r="M51" s="9"/>
      <c r="N51" s="9"/>
      <c r="O51" s="13" t="s">
        <v>212</v>
      </c>
      <c r="P51" s="13"/>
      <c r="Q51" s="9"/>
      <c r="R51" s="13"/>
    </row>
    <row r="52" spans="1:29">
      <c r="A52" s="88"/>
      <c r="B52" s="73"/>
      <c r="C52" s="73"/>
      <c r="D52" s="73"/>
      <c r="E52" s="73"/>
      <c r="F52" s="73"/>
      <c r="G52" s="282"/>
      <c r="H52" s="283"/>
      <c r="J52" s="1"/>
      <c r="K52" s="1"/>
      <c r="L52" s="14" t="s">
        <v>246</v>
      </c>
      <c r="M52" s="16">
        <f>IF($P$3&lt;=60,IF($B$14&lt;=$B$15,$B$14,$B$15),"N.A.")</f>
        <v>204</v>
      </c>
      <c r="N52" s="9"/>
      <c r="O52" s="14" t="s">
        <v>246</v>
      </c>
      <c r="P52" s="16" t="str">
        <f>IF($P$3&gt;60,IF($B$14&lt;=$B$15,$B$14,$B$15),"N.A.")</f>
        <v>N.A.</v>
      </c>
      <c r="Q52" s="13"/>
      <c r="R52" s="13"/>
    </row>
    <row r="53" spans="1:29">
      <c r="A53" s="163" t="s">
        <v>360</v>
      </c>
      <c r="B53" s="74"/>
      <c r="C53" s="74"/>
      <c r="D53" s="110"/>
      <c r="E53" s="110"/>
      <c r="F53" s="137"/>
      <c r="G53" s="137"/>
      <c r="H53" s="75"/>
      <c r="J53" s="1"/>
      <c r="K53" s="1"/>
      <c r="L53" s="18" t="s">
        <v>247</v>
      </c>
      <c r="M53" s="16">
        <f>IF($P$3&lt;=60,0.1*$M$52,"N.A.")</f>
        <v>20.400000000000002</v>
      </c>
      <c r="N53" s="9"/>
      <c r="O53" s="18" t="s">
        <v>247</v>
      </c>
      <c r="P53" s="16" t="str">
        <f>IF($P$3&gt;60,0.1*$P$52,"N.A.")</f>
        <v>N.A.</v>
      </c>
      <c r="Q53" s="13"/>
      <c r="R53" s="13"/>
    </row>
    <row r="54" spans="1:29">
      <c r="A54" s="139" t="s">
        <v>186</v>
      </c>
      <c r="B54" s="81" t="s">
        <v>162</v>
      </c>
      <c r="C54" s="263" t="str">
        <f>IF($B$28&lt;=60,"Kh","Kh")</f>
        <v>Kh</v>
      </c>
      <c r="D54" s="264" t="str">
        <f>IF($B$28&lt;=60,"qh","qh")</f>
        <v>qh</v>
      </c>
      <c r="E54" s="76" t="s">
        <v>356</v>
      </c>
      <c r="F54" s="74"/>
      <c r="G54" s="137"/>
      <c r="H54" s="138"/>
      <c r="J54" s="1"/>
      <c r="K54" s="1"/>
      <c r="L54" s="14" t="s">
        <v>199</v>
      </c>
      <c r="M54" s="16">
        <f>IF($P$3&lt;=60,IF($M$53&lt;=0.4*$P$3,$M$53,0.4*$P$3),"N.A.")</f>
        <v>16.8</v>
      </c>
      <c r="N54" s="9"/>
      <c r="O54" s="14" t="s">
        <v>210</v>
      </c>
      <c r="P54" s="16" t="str">
        <f>IF($P$3&gt;60,IF($P$53&gt;=3,$P$53,3),"N.A.")</f>
        <v>N.A.</v>
      </c>
      <c r="Q54" s="13"/>
      <c r="R54" s="13"/>
      <c r="AB54" s="340" t="s">
        <v>48</v>
      </c>
    </row>
    <row r="55" spans="1:29">
      <c r="A55" s="82"/>
      <c r="B55" s="139" t="s">
        <v>163</v>
      </c>
      <c r="C55" s="265"/>
      <c r="D55" s="266" t="s">
        <v>164</v>
      </c>
      <c r="E55" s="140" t="s">
        <v>204</v>
      </c>
      <c r="F55" s="140" t="s">
        <v>205</v>
      </c>
      <c r="G55" s="140" t="s">
        <v>206</v>
      </c>
      <c r="H55" s="140" t="s">
        <v>207</v>
      </c>
      <c r="J55" s="1"/>
      <c r="K55" s="1"/>
      <c r="L55" s="14" t="s">
        <v>241</v>
      </c>
      <c r="M55" s="16">
        <f>IF($P$3&lt;=60,IF($M$54&gt;=0.04*$M$52,$M$54,0.04*$M$52),"N.A.")</f>
        <v>16.8</v>
      </c>
      <c r="N55" s="9"/>
      <c r="O55" s="14" t="s">
        <v>198</v>
      </c>
      <c r="P55" s="16" t="str">
        <f>$P$54</f>
        <v>N.A.</v>
      </c>
      <c r="Q55" s="13"/>
      <c r="R55" s="13"/>
      <c r="AB55" s="341" t="s">
        <v>176</v>
      </c>
      <c r="AC55" s="343" t="s">
        <v>149</v>
      </c>
    </row>
    <row r="56" spans="1:29">
      <c r="A56" s="178" t="str">
        <f>$B$21</f>
        <v>Joist</v>
      </c>
      <c r="B56" s="243">
        <f>IF($AB$55="N",0,$AB56)</f>
        <v>0</v>
      </c>
      <c r="C56" s="236">
        <f t="shared" ref="C56:C83" si="0">IF($P$3&lt;=60,IF($B56="","",$M$66),IF($B56="","",$M$66))</f>
        <v>1.0543552349348324</v>
      </c>
      <c r="D56" s="224">
        <f t="shared" ref="D56:D83" si="1">IF($P$3&lt;=60,IF($B56="","",$M$67),IF($B56="","",$M$67))</f>
        <v>66.304605046205836</v>
      </c>
      <c r="E56" s="236">
        <f t="shared" ref="E56:E83" si="2">IF($P$3&lt;=60,IF($B56="","",$M$67*($B$31-$M$61)),IF($B56="","",IF($B$27&lt;=10,"-",$D56*$B$31-$M$67*$M$61)))</f>
        <v>25.195749917558217</v>
      </c>
      <c r="F56" s="224">
        <f t="shared" ref="F56:F83" si="3">IF($P$3&lt;=60,IF($B56="","",$M$67*($B$32-$M$60)),IF($B56="","",$D56*$B$32-$M$67*$M$60))</f>
        <v>-71.608973449902308</v>
      </c>
      <c r="G56" s="236">
        <f t="shared" ref="G56:G83" si="4">IF($P$3&lt;=60,IF($B56="","",$M$67*($B$33-$M$60)),IF($B56="","",$D56*$B$33-$M$67*$M$60))</f>
        <v>-84.869894459143467</v>
      </c>
      <c r="H56" s="224">
        <f t="shared" ref="H56:H83" si="5">IF($P$3&lt;=60,IF($B56="","",$M$67*($B$34-$M$60)),IF($B56="","",$D56*$B$34-$M$67*$M$60))</f>
        <v>-84.869894459143467</v>
      </c>
      <c r="J56" s="1"/>
      <c r="K56" s="1"/>
      <c r="L56" s="14" t="s">
        <v>210</v>
      </c>
      <c r="M56" s="16">
        <f>IF($P$3&lt;=60,IF($M$55&gt;=3,$M$55,3),"N.A.")</f>
        <v>16.8</v>
      </c>
      <c r="N56" s="17"/>
      <c r="O56" s="13"/>
      <c r="P56" s="13"/>
      <c r="Q56" s="13"/>
      <c r="R56" s="13"/>
      <c r="AB56" s="267"/>
    </row>
    <row r="57" spans="1:29">
      <c r="A57" s="141" t="str">
        <f t="shared" ref="A57:A81" si="6">IF($B57=$B$12,"For z = hr:","")</f>
        <v/>
      </c>
      <c r="B57" s="222">
        <f>IF($AB$55="N",IF($B$12&gt;=15,15,IF($B56=$B$12,"",IF($B56="","",$B$12))),IF(OR($AB57="",$AB57&gt;$B$12),"",$AB57))</f>
        <v>15</v>
      </c>
      <c r="C57" s="237">
        <f t="shared" si="0"/>
        <v>1.0543552349348324</v>
      </c>
      <c r="D57" s="229">
        <f t="shared" si="1"/>
        <v>66.304605046205836</v>
      </c>
      <c r="E57" s="237">
        <f t="shared" si="2"/>
        <v>25.195749917558217</v>
      </c>
      <c r="F57" s="229">
        <f t="shared" si="3"/>
        <v>-71.608973449902308</v>
      </c>
      <c r="G57" s="237">
        <f t="shared" si="4"/>
        <v>-84.869894459143467</v>
      </c>
      <c r="H57" s="229">
        <f t="shared" si="5"/>
        <v>-84.869894459143467</v>
      </c>
      <c r="J57" s="1"/>
      <c r="K57" s="1"/>
      <c r="L57" s="14" t="s">
        <v>198</v>
      </c>
      <c r="M57" s="16">
        <f>$M$56</f>
        <v>16.8</v>
      </c>
      <c r="N57" s="17"/>
      <c r="O57" s="13"/>
      <c r="P57" s="13"/>
      <c r="Q57" s="13"/>
      <c r="R57" s="13"/>
      <c r="AB57" s="267"/>
    </row>
    <row r="58" spans="1:29">
      <c r="A58" s="141" t="str">
        <f t="shared" si="6"/>
        <v/>
      </c>
      <c r="B58" s="222">
        <f>IF($AB$55="N",IF($B$12&gt;=20,20,IF($B57=$B$12,"",IF($B57="","",$B$12))),IF(OR($AB58="",$AB58&gt;$B$12),"",$AB58))</f>
        <v>20</v>
      </c>
      <c r="C58" s="237">
        <f t="shared" si="0"/>
        <v>1.0543552349348324</v>
      </c>
      <c r="D58" s="229">
        <f t="shared" si="1"/>
        <v>66.304605046205836</v>
      </c>
      <c r="E58" s="237">
        <f t="shared" si="2"/>
        <v>25.195749917558217</v>
      </c>
      <c r="F58" s="229">
        <f t="shared" si="3"/>
        <v>-71.608973449902308</v>
      </c>
      <c r="G58" s="237">
        <f t="shared" si="4"/>
        <v>-84.869894459143467</v>
      </c>
      <c r="H58" s="229">
        <f t="shared" si="5"/>
        <v>-84.869894459143467</v>
      </c>
      <c r="J58" s="1"/>
      <c r="K58" s="1"/>
      <c r="L58" s="13"/>
      <c r="M58" s="13"/>
      <c r="N58" s="13"/>
      <c r="O58" s="13"/>
      <c r="P58" s="13"/>
      <c r="Q58" s="13"/>
      <c r="R58" s="13"/>
      <c r="AB58" s="267"/>
    </row>
    <row r="59" spans="1:29">
      <c r="A59" s="141" t="str">
        <f t="shared" si="6"/>
        <v/>
      </c>
      <c r="B59" s="222">
        <f>IF($AB$55="N",IF($B$12&gt;=25,25,IF($B58=$B$12,"",IF($B58="","",$B$12))),IF(OR($AB59="",$AB59&gt;$B$12),"",$AB59))</f>
        <v>25</v>
      </c>
      <c r="C59" s="237">
        <f t="shared" si="0"/>
        <v>1.0543552349348324</v>
      </c>
      <c r="D59" s="229">
        <f t="shared" si="1"/>
        <v>66.304605046205836</v>
      </c>
      <c r="E59" s="237">
        <f t="shared" si="2"/>
        <v>25.195749917558217</v>
      </c>
      <c r="F59" s="229">
        <f t="shared" si="3"/>
        <v>-71.608973449902308</v>
      </c>
      <c r="G59" s="237">
        <f t="shared" si="4"/>
        <v>-84.869894459143467</v>
      </c>
      <c r="H59" s="229">
        <f t="shared" si="5"/>
        <v>-84.869894459143467</v>
      </c>
      <c r="J59" s="1"/>
      <c r="K59" s="1"/>
      <c r="L59" s="13" t="s">
        <v>486</v>
      </c>
      <c r="M59" s="13"/>
      <c r="N59" s="13"/>
      <c r="O59" s="13"/>
      <c r="P59" s="13"/>
      <c r="Q59" s="13"/>
      <c r="R59" s="13"/>
      <c r="AB59" s="267"/>
    </row>
    <row r="60" spans="1:29">
      <c r="A60" s="141" t="str">
        <f t="shared" si="6"/>
        <v/>
      </c>
      <c r="B60" s="222">
        <f>IF($AB$55="N",IF($B$12&gt;=30,30,IF($B59=$B$12,"",IF($B59="","",$B$12))),IF(OR($AB60="",$AB60&gt;$B$12),"",$AB60))</f>
        <v>30</v>
      </c>
      <c r="C60" s="237">
        <f t="shared" si="0"/>
        <v>1.0543552349348324</v>
      </c>
      <c r="D60" s="229">
        <f t="shared" si="1"/>
        <v>66.304605046205836</v>
      </c>
      <c r="E60" s="237">
        <f t="shared" si="2"/>
        <v>25.195749917558217</v>
      </c>
      <c r="F60" s="229">
        <f t="shared" si="3"/>
        <v>-71.608973449902308</v>
      </c>
      <c r="G60" s="237">
        <f t="shared" si="4"/>
        <v>-84.869894459143467</v>
      </c>
      <c r="H60" s="229">
        <f t="shared" si="5"/>
        <v>-84.869894459143467</v>
      </c>
      <c r="J60" s="1"/>
      <c r="K60" s="1"/>
      <c r="L60" s="18" t="s">
        <v>256</v>
      </c>
      <c r="M60" s="5">
        <f>IF($B$19="Y",0.18,0.55)</f>
        <v>0.18</v>
      </c>
      <c r="N60" s="13"/>
      <c r="O60" s="13"/>
      <c r="P60" s="13"/>
      <c r="Q60" s="13"/>
      <c r="R60" s="13"/>
      <c r="AB60" s="267"/>
    </row>
    <row r="61" spans="1:29">
      <c r="A61" s="141" t="str">
        <f t="shared" si="6"/>
        <v/>
      </c>
      <c r="B61" s="222">
        <f>IF($AB$55="N",IF($B$12&gt;=35,35,IF($B60=$B$12,"",IF($B60="","",$B$12))),IF(OR($AB61="",$AB61&gt;$B$12),"",$AB61))</f>
        <v>35</v>
      </c>
      <c r="C61" s="237">
        <f t="shared" si="0"/>
        <v>1.0543552349348324</v>
      </c>
      <c r="D61" s="229">
        <f t="shared" si="1"/>
        <v>66.304605046205836</v>
      </c>
      <c r="E61" s="237">
        <f t="shared" si="2"/>
        <v>25.195749917558217</v>
      </c>
      <c r="F61" s="229">
        <f t="shared" si="3"/>
        <v>-71.608973449902308</v>
      </c>
      <c r="G61" s="237">
        <f t="shared" si="4"/>
        <v>-84.869894459143467</v>
      </c>
      <c r="H61" s="229">
        <f t="shared" si="5"/>
        <v>-84.869894459143467</v>
      </c>
      <c r="J61" s="1"/>
      <c r="K61" s="1"/>
      <c r="L61" s="18" t="s">
        <v>257</v>
      </c>
      <c r="M61" s="5">
        <f>IF($B$19="Y",-0.18,-0.55)</f>
        <v>-0.18</v>
      </c>
      <c r="N61" s="13"/>
      <c r="O61" s="13"/>
      <c r="P61" s="13"/>
      <c r="Q61" s="13"/>
      <c r="R61" s="13"/>
      <c r="AB61" s="267"/>
    </row>
    <row r="62" spans="1:29">
      <c r="A62" s="141" t="str">
        <f t="shared" si="6"/>
        <v/>
      </c>
      <c r="B62" s="222">
        <f>IF($AB$55="N",IF($B$12&gt;=40,40,IF($B61=$B$12,"",IF($B61="","",$B$12))),IF(OR($AB62="",$AB62&gt;$B$12),"",$AB62))</f>
        <v>40</v>
      </c>
      <c r="C62" s="237">
        <f t="shared" si="0"/>
        <v>1.0543552349348324</v>
      </c>
      <c r="D62" s="229">
        <f t="shared" si="1"/>
        <v>66.304605046205836</v>
      </c>
      <c r="E62" s="237">
        <f t="shared" si="2"/>
        <v>25.195749917558217</v>
      </c>
      <c r="F62" s="229">
        <f t="shared" si="3"/>
        <v>-71.608973449902308</v>
      </c>
      <c r="G62" s="237">
        <f t="shared" si="4"/>
        <v>-84.869894459143467</v>
      </c>
      <c r="H62" s="229">
        <f t="shared" si="5"/>
        <v>-84.869894459143467</v>
      </c>
      <c r="J62" s="1"/>
      <c r="K62" s="1"/>
      <c r="L62" s="13"/>
      <c r="M62" s="13"/>
      <c r="N62" s="13"/>
      <c r="O62" s="13"/>
      <c r="P62" s="13"/>
      <c r="Q62" s="13"/>
      <c r="R62" s="13"/>
      <c r="AB62" s="267"/>
    </row>
    <row r="63" spans="1:29">
      <c r="A63" s="141" t="str">
        <f t="shared" si="6"/>
        <v>For z = hr:</v>
      </c>
      <c r="B63" s="222">
        <f>IF($AB$55="N",IF($B$12&gt;=45,45,IF($B62=$B$12,"",IF($B62="","",$B$12))),IF(OR($AB63="",$AB63&gt;$B$12),"",$AB63))</f>
        <v>42</v>
      </c>
      <c r="C63" s="237">
        <f t="shared" si="0"/>
        <v>1.0543552349348324</v>
      </c>
      <c r="D63" s="229">
        <f t="shared" si="1"/>
        <v>66.304605046205836</v>
      </c>
      <c r="E63" s="237">
        <f t="shared" si="2"/>
        <v>25.195749917558217</v>
      </c>
      <c r="F63" s="229">
        <f t="shared" si="3"/>
        <v>-71.608973449902308</v>
      </c>
      <c r="G63" s="237">
        <f t="shared" si="4"/>
        <v>-84.869894459143467</v>
      </c>
      <c r="H63" s="229">
        <f t="shared" si="5"/>
        <v>-84.869894459143467</v>
      </c>
      <c r="J63" s="1"/>
      <c r="K63" s="1"/>
      <c r="L63" s="13" t="s">
        <v>539</v>
      </c>
      <c r="M63" s="13"/>
      <c r="N63" s="13"/>
      <c r="O63" s="13"/>
      <c r="P63" s="13"/>
      <c r="Q63" s="13"/>
      <c r="R63" s="13"/>
      <c r="AB63" s="267"/>
    </row>
    <row r="64" spans="1:29">
      <c r="A64" s="141" t="str">
        <f t="shared" si="6"/>
        <v/>
      </c>
      <c r="B64" s="222" t="str">
        <f>IF($AB$55="N",IF($B$12&gt;=50,50,IF($B63=$B$12,"",IF($B63="","",$B$12))),IF(OR($AB64="",$AB64&gt;$B$12),"",$AB64))</f>
        <v/>
      </c>
      <c r="C64" s="237" t="str">
        <f t="shared" si="0"/>
        <v/>
      </c>
      <c r="D64" s="229" t="str">
        <f t="shared" si="1"/>
        <v/>
      </c>
      <c r="E64" s="237" t="str">
        <f t="shared" si="2"/>
        <v/>
      </c>
      <c r="F64" s="229" t="str">
        <f t="shared" si="3"/>
        <v/>
      </c>
      <c r="G64" s="237" t="str">
        <f t="shared" si="4"/>
        <v/>
      </c>
      <c r="H64" s="229" t="str">
        <f t="shared" si="5"/>
        <v/>
      </c>
      <c r="J64" s="1"/>
      <c r="K64" s="1"/>
      <c r="L64" s="20" t="s">
        <v>353</v>
      </c>
      <c r="M64" s="10">
        <f>IF($B$11="A",5,IF($B$11="B",7,IF($B$11="C",9.5,IF($B$11="D",11.5,"Error!"))))</f>
        <v>9.5</v>
      </c>
      <c r="N64" s="17" t="s">
        <v>488</v>
      </c>
      <c r="O64" s="13"/>
      <c r="P64" s="13"/>
      <c r="Q64" s="13"/>
      <c r="R64" s="13"/>
      <c r="AB64" s="267"/>
    </row>
    <row r="65" spans="1:29">
      <c r="A65" s="141" t="str">
        <f t="shared" si="6"/>
        <v/>
      </c>
      <c r="B65" s="222" t="str">
        <f>IF($AB$55="N",IF($B$12&gt;=55,55,IF($B64=$B$12,"",IF($B64="","",$B$12))),IF(OR($AB65="",$AB65&gt;$B$12),"",$AB65))</f>
        <v/>
      </c>
      <c r="C65" s="237" t="str">
        <f t="shared" si="0"/>
        <v/>
      </c>
      <c r="D65" s="229" t="str">
        <f t="shared" si="1"/>
        <v/>
      </c>
      <c r="E65" s="237" t="str">
        <f t="shared" si="2"/>
        <v/>
      </c>
      <c r="F65" s="229" t="str">
        <f t="shared" si="3"/>
        <v/>
      </c>
      <c r="G65" s="237" t="str">
        <f t="shared" si="4"/>
        <v/>
      </c>
      <c r="H65" s="229" t="str">
        <f t="shared" si="5"/>
        <v/>
      </c>
      <c r="J65" s="1"/>
      <c r="K65" s="1"/>
      <c r="L65" s="14" t="s">
        <v>174</v>
      </c>
      <c r="M65" s="12">
        <f>IF($B$11="A",1500,IF($B$11="B",1200,IF($B$11="C",900,IF($B$11="D",700,"Error!"))))</f>
        <v>900</v>
      </c>
      <c r="N65" s="17" t="s">
        <v>488</v>
      </c>
      <c r="O65" s="13"/>
      <c r="P65" s="13"/>
      <c r="Q65" s="13"/>
      <c r="R65" s="13"/>
      <c r="AB65" s="267"/>
    </row>
    <row r="66" spans="1:29">
      <c r="A66" s="141" t="str">
        <f t="shared" si="6"/>
        <v/>
      </c>
      <c r="B66" s="222" t="str">
        <f>IF($AB$55="N",IF($B$12&gt;=60,60,IF($B65=$B$12,"",IF($B65="","",$B$12))),IF(OR($AB66="",$AB66&gt;$B$12),"",$AB66))</f>
        <v/>
      </c>
      <c r="C66" s="237" t="str">
        <f t="shared" si="0"/>
        <v/>
      </c>
      <c r="D66" s="229" t="str">
        <f t="shared" si="1"/>
        <v/>
      </c>
      <c r="E66" s="237" t="str">
        <f t="shared" si="2"/>
        <v/>
      </c>
      <c r="F66" s="229" t="str">
        <f t="shared" si="3"/>
        <v/>
      </c>
      <c r="G66" s="237" t="str">
        <f t="shared" si="4"/>
        <v/>
      </c>
      <c r="H66" s="229" t="str">
        <f t="shared" si="5"/>
        <v/>
      </c>
      <c r="J66" s="1"/>
      <c r="K66" s="10"/>
      <c r="L66" s="14" t="s">
        <v>175</v>
      </c>
      <c r="M66" s="10">
        <f>IF($B$11="A",IF($P$3&lt;100,2.01*(100/$M$65)^(2/$M$64),2.01*($P$3/$M$65)^(2/$M$64)),IF($B$11="B",IF($P$3&lt;30,2.01*(30/$M$65)^(2/$M$64),2.01*($P$3/$M$65)^(2/$M$64)),IF(OR($B$11="C",$B$11="D"),IF($P$3&lt;15,2.01*(15/$M$65)^(2/$M$64),2.01*($P$3/$M$65)^(2/$M$64)))))</f>
        <v>1.0543552349348324</v>
      </c>
      <c r="N66" s="13" t="s">
        <v>508</v>
      </c>
      <c r="O66" s="13"/>
      <c r="P66" s="13"/>
      <c r="Q66" s="13"/>
      <c r="R66" s="13"/>
      <c r="AB66" s="267"/>
    </row>
    <row r="67" spans="1:29">
      <c r="A67" s="141" t="str">
        <f t="shared" si="6"/>
        <v/>
      </c>
      <c r="B67" s="222" t="str">
        <f>IF($AB$55="N",IF($B$12&gt;=70,70,IF($B66=$B$12,"",IF($B66="","",$B$12))),IF(OR($AB67="",$AB67&gt;$B$12),"",$AB67))</f>
        <v/>
      </c>
      <c r="C67" s="237" t="str">
        <f t="shared" si="0"/>
        <v/>
      </c>
      <c r="D67" s="229" t="str">
        <f t="shared" si="1"/>
        <v/>
      </c>
      <c r="E67" s="237" t="str">
        <f t="shared" si="2"/>
        <v/>
      </c>
      <c r="F67" s="229" t="str">
        <f t="shared" si="3"/>
        <v/>
      </c>
      <c r="G67" s="237" t="str">
        <f t="shared" si="4"/>
        <v/>
      </c>
      <c r="H67" s="229" t="str">
        <f t="shared" si="5"/>
        <v/>
      </c>
      <c r="J67" s="1"/>
      <c r="K67" s="1"/>
      <c r="L67" s="14" t="s">
        <v>266</v>
      </c>
      <c r="M67" s="10">
        <f>0.00256*$M$66*$B$17*$B$18*$B$9^2</f>
        <v>66.304605046205836</v>
      </c>
      <c r="N67" s="13"/>
      <c r="O67" s="13"/>
      <c r="P67" s="13"/>
      <c r="Q67" s="13"/>
      <c r="R67" s="13"/>
      <c r="AB67" s="267"/>
    </row>
    <row r="68" spans="1:29">
      <c r="A68" s="141" t="str">
        <f t="shared" si="6"/>
        <v/>
      </c>
      <c r="B68" s="222" t="str">
        <f>IF($AB$55="N",IF($B$12&gt;=80,80,IF($B67=$B$12,"",IF($B67="","",$B$12))),IF(OR($AB68="",$AB68&gt;$B$12),"",$AB68))</f>
        <v/>
      </c>
      <c r="C68" s="237" t="str">
        <f t="shared" si="0"/>
        <v/>
      </c>
      <c r="D68" s="229" t="str">
        <f t="shared" si="1"/>
        <v/>
      </c>
      <c r="E68" s="237" t="str">
        <f t="shared" si="2"/>
        <v/>
      </c>
      <c r="F68" s="229" t="str">
        <f t="shared" si="3"/>
        <v/>
      </c>
      <c r="G68" s="237" t="str">
        <f t="shared" si="4"/>
        <v/>
      </c>
      <c r="H68" s="229" t="str">
        <f t="shared" si="5"/>
        <v/>
      </c>
      <c r="J68" s="1"/>
      <c r="K68" s="1"/>
      <c r="N68" s="13"/>
      <c r="O68" s="13"/>
      <c r="P68" s="13"/>
      <c r="Q68" s="13"/>
      <c r="R68" s="13"/>
      <c r="AB68" s="267"/>
    </row>
    <row r="69" spans="1:29">
      <c r="A69" s="141" t="str">
        <f t="shared" si="6"/>
        <v/>
      </c>
      <c r="B69" s="222" t="str">
        <f>IF($AB$55="N",IF($B$12&gt;=90,90,IF($B68=$B$12,"",IF($B68="","",$B$12))),IF(OR($AB69="",$AB69&gt;$B$12),"",$AB69))</f>
        <v/>
      </c>
      <c r="C69" s="237" t="str">
        <f t="shared" si="0"/>
        <v/>
      </c>
      <c r="D69" s="229" t="str">
        <f t="shared" si="1"/>
        <v/>
      </c>
      <c r="E69" s="237" t="str">
        <f t="shared" si="2"/>
        <v/>
      </c>
      <c r="F69" s="229" t="str">
        <f t="shared" si="3"/>
        <v/>
      </c>
      <c r="G69" s="237" t="str">
        <f t="shared" si="4"/>
        <v/>
      </c>
      <c r="H69" s="229" t="str">
        <f t="shared" si="5"/>
        <v/>
      </c>
      <c r="J69" s="1"/>
      <c r="K69" s="1"/>
      <c r="L69" s="13"/>
      <c r="M69" s="13"/>
      <c r="N69" s="13"/>
      <c r="O69" s="13"/>
      <c r="P69" s="13"/>
      <c r="Q69" s="13"/>
      <c r="R69" s="13"/>
      <c r="AB69" s="267"/>
    </row>
    <row r="70" spans="1:29">
      <c r="A70" s="141" t="str">
        <f t="shared" si="6"/>
        <v/>
      </c>
      <c r="B70" s="222" t="str">
        <f>IF($AB$55="N",IF($B$12&gt;=100,100,IF($B69=$B$12,"",IF($B69="","",$B$12))),IF(OR($AB70="",$AB70&gt;$B$12),"",$AB70))</f>
        <v/>
      </c>
      <c r="C70" s="237" t="str">
        <f t="shared" si="0"/>
        <v/>
      </c>
      <c r="D70" s="229" t="str">
        <f t="shared" si="1"/>
        <v/>
      </c>
      <c r="E70" s="237" t="str">
        <f t="shared" si="2"/>
        <v/>
      </c>
      <c r="F70" s="229" t="str">
        <f t="shared" si="3"/>
        <v/>
      </c>
      <c r="G70" s="237" t="str">
        <f t="shared" si="4"/>
        <v/>
      </c>
      <c r="H70" s="229" t="str">
        <f t="shared" si="5"/>
        <v/>
      </c>
      <c r="J70" s="1"/>
      <c r="K70" s="1"/>
      <c r="L70" s="13"/>
      <c r="M70" s="13"/>
      <c r="N70" s="13"/>
      <c r="O70" s="13"/>
      <c r="P70" s="19"/>
      <c r="Q70" s="13"/>
      <c r="R70" s="13"/>
      <c r="AB70" s="267"/>
    </row>
    <row r="71" spans="1:29">
      <c r="A71" s="141" t="str">
        <f t="shared" si="6"/>
        <v/>
      </c>
      <c r="B71" s="222" t="str">
        <f>IF($AB$55="N",IF($B$12&gt;=120,120,IF($B70=$B$12,"",IF($B70="","",$B$12))),IF(OR($AB71="",$AB71&gt;$B$12),"",$AB71))</f>
        <v/>
      </c>
      <c r="C71" s="237" t="str">
        <f t="shared" si="0"/>
        <v/>
      </c>
      <c r="D71" s="229" t="str">
        <f t="shared" si="1"/>
        <v/>
      </c>
      <c r="E71" s="237" t="str">
        <f t="shared" si="2"/>
        <v/>
      </c>
      <c r="F71" s="229" t="str">
        <f t="shared" si="3"/>
        <v/>
      </c>
      <c r="G71" s="237" t="str">
        <f t="shared" si="4"/>
        <v/>
      </c>
      <c r="H71" s="229" t="str">
        <f t="shared" si="5"/>
        <v/>
      </c>
      <c r="J71" s="1"/>
      <c r="K71" s="1"/>
      <c r="L71" s="13"/>
      <c r="M71" s="13"/>
      <c r="N71" s="13"/>
      <c r="O71" s="13"/>
      <c r="P71" s="13"/>
      <c r="Q71" s="13"/>
      <c r="R71" s="13"/>
      <c r="AB71" s="267"/>
    </row>
    <row r="72" spans="1:29">
      <c r="A72" s="141" t="str">
        <f t="shared" si="6"/>
        <v/>
      </c>
      <c r="B72" s="222" t="str">
        <f>IF($AB$55="N",IF($B$12&gt;=140,140,IF($B71=$B$12,"",IF($B71="","",$B$12))),IF(OR($AB72="",$AB72&gt;$B$12),"",$AB72))</f>
        <v/>
      </c>
      <c r="C72" s="237" t="str">
        <f t="shared" si="0"/>
        <v/>
      </c>
      <c r="D72" s="229" t="str">
        <f t="shared" si="1"/>
        <v/>
      </c>
      <c r="E72" s="237" t="str">
        <f t="shared" si="2"/>
        <v/>
      </c>
      <c r="F72" s="229" t="str">
        <f t="shared" si="3"/>
        <v/>
      </c>
      <c r="G72" s="237" t="str">
        <f t="shared" si="4"/>
        <v/>
      </c>
      <c r="H72" s="229" t="str">
        <f t="shared" si="5"/>
        <v/>
      </c>
      <c r="J72" s="1"/>
      <c r="K72" s="1"/>
      <c r="L72" s="13"/>
      <c r="M72" s="13"/>
      <c r="N72" s="13"/>
      <c r="O72" s="13"/>
      <c r="P72" s="13"/>
      <c r="Q72" s="13"/>
      <c r="R72" s="13"/>
      <c r="AB72" s="267"/>
    </row>
    <row r="73" spans="1:29">
      <c r="A73" s="141" t="str">
        <f t="shared" si="6"/>
        <v/>
      </c>
      <c r="B73" s="222" t="str">
        <f>IF($AB$55="N",IF($B$12&gt;=160,160,IF($B72=$B$12,"",IF($B72="","",$B$12))),IF(OR($AB73="",$AB73&gt;$B$12),"",$AB73))</f>
        <v/>
      </c>
      <c r="C73" s="237" t="str">
        <f t="shared" si="0"/>
        <v/>
      </c>
      <c r="D73" s="229" t="str">
        <f t="shared" si="1"/>
        <v/>
      </c>
      <c r="E73" s="237" t="str">
        <f t="shared" si="2"/>
        <v/>
      </c>
      <c r="F73" s="229" t="str">
        <f t="shared" si="3"/>
        <v/>
      </c>
      <c r="G73" s="237" t="str">
        <f t="shared" si="4"/>
        <v/>
      </c>
      <c r="H73" s="229" t="str">
        <f t="shared" si="5"/>
        <v/>
      </c>
      <c r="J73" s="1"/>
      <c r="K73" s="1"/>
      <c r="L73" s="13"/>
      <c r="M73" s="13"/>
      <c r="N73" s="13"/>
      <c r="O73" s="13"/>
      <c r="P73" s="13"/>
      <c r="Q73" s="13"/>
      <c r="R73" s="13"/>
      <c r="AB73" s="267"/>
    </row>
    <row r="74" spans="1:29">
      <c r="A74" s="141" t="str">
        <f t="shared" si="6"/>
        <v/>
      </c>
      <c r="B74" s="222" t="str">
        <f>IF($AB$55="N",IF($B$12&gt;=180,180,IF($B73=$B$12,"",IF($B73="","",$B$12))),IF(OR($AB74="",$AB74&gt;$B$12),"",$AB74))</f>
        <v/>
      </c>
      <c r="C74" s="237" t="str">
        <f t="shared" si="0"/>
        <v/>
      </c>
      <c r="D74" s="229" t="str">
        <f t="shared" si="1"/>
        <v/>
      </c>
      <c r="E74" s="237" t="str">
        <f t="shared" si="2"/>
        <v/>
      </c>
      <c r="F74" s="229" t="str">
        <f t="shared" si="3"/>
        <v/>
      </c>
      <c r="G74" s="237" t="str">
        <f t="shared" si="4"/>
        <v/>
      </c>
      <c r="H74" s="229" t="str">
        <f t="shared" si="5"/>
        <v/>
      </c>
      <c r="J74" s="1"/>
      <c r="K74" s="1"/>
      <c r="L74" s="13"/>
      <c r="M74" s="13"/>
      <c r="N74" s="13"/>
      <c r="O74" s="13"/>
      <c r="P74" s="13"/>
      <c r="Q74" s="13"/>
      <c r="R74" s="13"/>
      <c r="AB74" s="267"/>
    </row>
    <row r="75" spans="1:29">
      <c r="A75" s="141" t="str">
        <f t="shared" si="6"/>
        <v/>
      </c>
      <c r="B75" s="222" t="str">
        <f>IF($AB$55="N",IF($B$12&gt;=200,200,IF($B74=$B$12,"",IF($B74="","",$B$12))),IF(OR($AB75="",$AB75&gt;$B$12),"",$AB75))</f>
        <v/>
      </c>
      <c r="C75" s="237" t="str">
        <f t="shared" si="0"/>
        <v/>
      </c>
      <c r="D75" s="229" t="str">
        <f t="shared" si="1"/>
        <v/>
      </c>
      <c r="E75" s="237" t="str">
        <f t="shared" si="2"/>
        <v/>
      </c>
      <c r="F75" s="229" t="str">
        <f t="shared" si="3"/>
        <v/>
      </c>
      <c r="G75" s="237" t="str">
        <f t="shared" si="4"/>
        <v/>
      </c>
      <c r="H75" s="229" t="str">
        <f t="shared" si="5"/>
        <v/>
      </c>
      <c r="J75" s="1"/>
      <c r="K75" s="1"/>
      <c r="L75" s="13"/>
      <c r="M75" s="13"/>
      <c r="N75" s="13"/>
      <c r="O75" s="13"/>
      <c r="P75" s="13"/>
      <c r="Q75" s="13"/>
      <c r="R75" s="13"/>
      <c r="AB75" s="267"/>
    </row>
    <row r="76" spans="1:29">
      <c r="A76" s="141" t="str">
        <f t="shared" si="6"/>
        <v/>
      </c>
      <c r="B76" s="222" t="str">
        <f>IF($AB$55="N",IF($B$12&gt;=250,250,IF($B75=$B$12,"",IF($B75="","",$B$12))),IF(OR($AB76="",$AB76&gt;$B$12),"",$AB76))</f>
        <v/>
      </c>
      <c r="C76" s="237" t="str">
        <f t="shared" si="0"/>
        <v/>
      </c>
      <c r="D76" s="229" t="str">
        <f t="shared" si="1"/>
        <v/>
      </c>
      <c r="E76" s="237" t="str">
        <f t="shared" si="2"/>
        <v/>
      </c>
      <c r="F76" s="229" t="str">
        <f t="shared" si="3"/>
        <v/>
      </c>
      <c r="G76" s="237" t="str">
        <f t="shared" si="4"/>
        <v/>
      </c>
      <c r="H76" s="229" t="str">
        <f t="shared" si="5"/>
        <v/>
      </c>
      <c r="J76" s="1"/>
      <c r="K76" s="1"/>
      <c r="L76" s="13"/>
      <c r="M76" s="13"/>
      <c r="N76" s="13"/>
      <c r="O76" s="13"/>
      <c r="P76" s="13"/>
      <c r="Q76" s="13"/>
      <c r="R76" s="13"/>
      <c r="AB76" s="267"/>
    </row>
    <row r="77" spans="1:29">
      <c r="A77" s="141" t="str">
        <f t="shared" si="6"/>
        <v/>
      </c>
      <c r="B77" s="222" t="str">
        <f>IF($AB$55="N",IF($B$12&gt;=300,300,IF($B76=$B$12,"",IF($B76="","",$B$12))),IF(OR($AB77="",$AB77&gt;$B$12),"",$AB77))</f>
        <v/>
      </c>
      <c r="C77" s="237" t="str">
        <f t="shared" si="0"/>
        <v/>
      </c>
      <c r="D77" s="229" t="str">
        <f t="shared" si="1"/>
        <v/>
      </c>
      <c r="E77" s="237" t="str">
        <f t="shared" si="2"/>
        <v/>
      </c>
      <c r="F77" s="229" t="str">
        <f t="shared" si="3"/>
        <v/>
      </c>
      <c r="G77" s="237" t="str">
        <f t="shared" si="4"/>
        <v/>
      </c>
      <c r="H77" s="229" t="str">
        <f t="shared" si="5"/>
        <v/>
      </c>
      <c r="J77" s="1"/>
      <c r="K77" s="1"/>
      <c r="L77" s="13"/>
      <c r="M77" s="13"/>
      <c r="N77" s="13"/>
      <c r="O77" s="13"/>
      <c r="P77" s="13"/>
      <c r="Q77" s="13"/>
      <c r="R77" s="13"/>
      <c r="AB77" s="267"/>
    </row>
    <row r="78" spans="1:29">
      <c r="A78" s="141" t="str">
        <f t="shared" si="6"/>
        <v/>
      </c>
      <c r="B78" s="222" t="str">
        <f>IF($AB$55="N",IF($B$12&gt;=350,350,IF($B77=$B$12,"",IF($B77="","",$B$12))),IF(OR($AB78="",$AB78&gt;$B$12),"",$AB78))</f>
        <v/>
      </c>
      <c r="C78" s="237" t="str">
        <f t="shared" si="0"/>
        <v/>
      </c>
      <c r="D78" s="229" t="str">
        <f t="shared" si="1"/>
        <v/>
      </c>
      <c r="E78" s="237" t="str">
        <f t="shared" si="2"/>
        <v/>
      </c>
      <c r="F78" s="229" t="str">
        <f t="shared" si="3"/>
        <v/>
      </c>
      <c r="G78" s="237" t="str">
        <f t="shared" si="4"/>
        <v/>
      </c>
      <c r="H78" s="229" t="str">
        <f t="shared" si="5"/>
        <v/>
      </c>
      <c r="J78" s="1"/>
      <c r="K78" s="1"/>
      <c r="L78" s="13"/>
      <c r="M78" s="13"/>
      <c r="N78" s="13"/>
      <c r="O78" s="13"/>
      <c r="P78" s="13"/>
      <c r="Q78" s="13"/>
      <c r="R78" s="13"/>
      <c r="AB78" s="267"/>
    </row>
    <row r="79" spans="1:29">
      <c r="A79" s="141" t="str">
        <f t="shared" si="6"/>
        <v/>
      </c>
      <c r="B79" s="222" t="str">
        <f>IF($AB$55="N",IF($B$12&gt;=400,400,IF($B78=$B$12,"",IF($B78="","",$B$12))),IF(OR($AB79="",$AB79&gt;$B$12),"",$AB79))</f>
        <v/>
      </c>
      <c r="C79" s="237" t="str">
        <f t="shared" si="0"/>
        <v/>
      </c>
      <c r="D79" s="229" t="str">
        <f t="shared" si="1"/>
        <v/>
      </c>
      <c r="E79" s="237" t="str">
        <f t="shared" si="2"/>
        <v/>
      </c>
      <c r="F79" s="229" t="str">
        <f t="shared" si="3"/>
        <v/>
      </c>
      <c r="G79" s="237" t="str">
        <f t="shared" si="4"/>
        <v/>
      </c>
      <c r="H79" s="229" t="str">
        <f t="shared" si="5"/>
        <v/>
      </c>
      <c r="J79" s="1"/>
      <c r="K79" s="1"/>
      <c r="L79" s="13"/>
      <c r="M79" s="13"/>
      <c r="N79" s="13"/>
      <c r="O79" s="13"/>
      <c r="P79" s="13"/>
      <c r="Q79" s="13"/>
      <c r="R79" s="13"/>
      <c r="AB79" s="267"/>
      <c r="AC79" s="171"/>
    </row>
    <row r="80" spans="1:29">
      <c r="A80" s="141" t="str">
        <f t="shared" si="6"/>
        <v/>
      </c>
      <c r="B80" s="222" t="str">
        <f>IF($AB$55="N",IF($B$12&gt;=450,450,IF($B79=$B$12,"",IF($B79="","",$B$12))),IF(OR($AB80="",$AB80&gt;$B$12),"",$AB80))</f>
        <v/>
      </c>
      <c r="C80" s="237" t="str">
        <f t="shared" si="0"/>
        <v/>
      </c>
      <c r="D80" s="229" t="str">
        <f t="shared" si="1"/>
        <v/>
      </c>
      <c r="E80" s="237" t="str">
        <f t="shared" si="2"/>
        <v/>
      </c>
      <c r="F80" s="229" t="str">
        <f t="shared" si="3"/>
        <v/>
      </c>
      <c r="G80" s="237" t="str">
        <f t="shared" si="4"/>
        <v/>
      </c>
      <c r="H80" s="229" t="str">
        <f t="shared" si="5"/>
        <v/>
      </c>
      <c r="J80" s="1"/>
      <c r="K80" s="1"/>
      <c r="L80" s="13"/>
      <c r="M80" s="13"/>
      <c r="N80" s="13"/>
      <c r="O80" s="13"/>
      <c r="P80" s="13"/>
      <c r="Q80" s="13"/>
      <c r="R80" s="13"/>
      <c r="AB80" s="267"/>
      <c r="AC80" s="171"/>
    </row>
    <row r="81" spans="1:29">
      <c r="A81" s="141" t="str">
        <f t="shared" si="6"/>
        <v/>
      </c>
      <c r="B81" s="222" t="str">
        <f>IF($AB$55="N",IF($B$12&gt;=500,500,IF($B80=$B$12,"",IF($B80="","",$B$12))),IF(OR($AB81="",$AB81&gt;$B$12),"",$AB81))</f>
        <v/>
      </c>
      <c r="C81" s="237" t="str">
        <f t="shared" si="0"/>
        <v/>
      </c>
      <c r="D81" s="229" t="str">
        <f t="shared" si="1"/>
        <v/>
      </c>
      <c r="E81" s="237" t="str">
        <f t="shared" si="2"/>
        <v/>
      </c>
      <c r="F81" s="229" t="str">
        <f t="shared" si="3"/>
        <v/>
      </c>
      <c r="G81" s="237" t="str">
        <f t="shared" si="4"/>
        <v/>
      </c>
      <c r="H81" s="229" t="str">
        <f t="shared" si="5"/>
        <v/>
      </c>
      <c r="J81" s="1"/>
      <c r="K81" s="1"/>
      <c r="L81" s="13"/>
      <c r="M81" s="13"/>
      <c r="N81" s="13"/>
      <c r="O81" s="13"/>
      <c r="P81" s="13"/>
      <c r="Q81" s="13"/>
      <c r="R81" s="13"/>
      <c r="AB81" s="342"/>
      <c r="AC81" s="171"/>
    </row>
    <row r="82" spans="1:29">
      <c r="A82" s="141" t="s">
        <v>361</v>
      </c>
      <c r="B82" s="229">
        <f>$B$13</f>
        <v>42</v>
      </c>
      <c r="C82" s="237">
        <f t="shared" si="0"/>
        <v>1.0543552349348324</v>
      </c>
      <c r="D82" s="229">
        <f t="shared" si="1"/>
        <v>66.304605046205836</v>
      </c>
      <c r="E82" s="237">
        <f t="shared" si="2"/>
        <v>25.195749917558217</v>
      </c>
      <c r="F82" s="229">
        <f t="shared" si="3"/>
        <v>-71.608973449902308</v>
      </c>
      <c r="G82" s="237">
        <f t="shared" si="4"/>
        <v>-84.869894459143467</v>
      </c>
      <c r="H82" s="229">
        <f t="shared" si="5"/>
        <v>-84.869894459143467</v>
      </c>
      <c r="J82" s="1"/>
      <c r="K82" s="1"/>
      <c r="L82" s="13"/>
      <c r="M82" s="13"/>
      <c r="N82" s="13"/>
      <c r="O82" s="13"/>
      <c r="P82" s="13"/>
      <c r="Q82" s="13"/>
      <c r="R82" s="13"/>
    </row>
    <row r="83" spans="1:29">
      <c r="A83" s="179" t="s">
        <v>362</v>
      </c>
      <c r="B83" s="226">
        <f>$B$28</f>
        <v>42</v>
      </c>
      <c r="C83" s="238">
        <f t="shared" si="0"/>
        <v>1.0543552349348324</v>
      </c>
      <c r="D83" s="226">
        <f t="shared" si="1"/>
        <v>66.304605046205836</v>
      </c>
      <c r="E83" s="238">
        <f t="shared" si="2"/>
        <v>25.195749917558217</v>
      </c>
      <c r="F83" s="226">
        <f t="shared" si="3"/>
        <v>-71.608973449902308</v>
      </c>
      <c r="G83" s="238">
        <f t="shared" si="4"/>
        <v>-84.869894459143467</v>
      </c>
      <c r="H83" s="226">
        <f t="shared" si="5"/>
        <v>-84.869894459143467</v>
      </c>
      <c r="J83" s="1"/>
      <c r="K83" s="1"/>
      <c r="L83" s="13"/>
      <c r="M83" s="13"/>
      <c r="N83" s="13"/>
      <c r="O83" s="13"/>
      <c r="P83" s="13"/>
      <c r="Q83" s="13"/>
      <c r="R83" s="13"/>
    </row>
    <row r="84" spans="1:29">
      <c r="A84" s="63"/>
      <c r="B84" s="64"/>
      <c r="C84" s="64"/>
      <c r="D84" s="64"/>
      <c r="E84" s="64"/>
      <c r="F84" s="64"/>
      <c r="G84" s="64"/>
      <c r="H84" s="69"/>
      <c r="J84" s="1"/>
      <c r="K84" s="1"/>
      <c r="L84" s="13"/>
      <c r="M84" s="13"/>
      <c r="N84" s="13"/>
      <c r="O84" s="13"/>
      <c r="P84" s="13"/>
      <c r="Q84" s="13"/>
      <c r="R84" s="13"/>
    </row>
    <row r="85" spans="1:29">
      <c r="A85" s="63" t="s">
        <v>308</v>
      </c>
      <c r="B85" s="64"/>
      <c r="C85" s="64"/>
      <c r="D85" s="64"/>
      <c r="E85" s="64"/>
      <c r="F85" s="64"/>
      <c r="G85" s="64"/>
      <c r="H85" s="69"/>
      <c r="J85" s="1"/>
      <c r="K85" s="1"/>
      <c r="L85" s="13"/>
      <c r="M85" s="13"/>
      <c r="N85" s="13"/>
      <c r="O85" s="13"/>
      <c r="P85" s="13"/>
      <c r="Q85" s="13"/>
      <c r="R85" s="13"/>
    </row>
    <row r="86" spans="1:29">
      <c r="A86" s="102" t="s">
        <v>340</v>
      </c>
      <c r="B86" s="64"/>
      <c r="C86" s="64"/>
      <c r="D86" s="224">
        <f>IF($B$28&lt;=60,$M$57,$P$55)</f>
        <v>16.8</v>
      </c>
      <c r="E86" s="129" t="s">
        <v>200</v>
      </c>
      <c r="F86" s="64"/>
      <c r="G86" s="92"/>
      <c r="H86" s="69"/>
      <c r="J86" s="1"/>
      <c r="K86" s="1"/>
      <c r="L86" s="13"/>
      <c r="M86" s="13"/>
      <c r="N86" s="13"/>
      <c r="O86" s="13"/>
      <c r="P86" s="13"/>
      <c r="Q86" s="13"/>
      <c r="R86" s="13"/>
    </row>
    <row r="87" spans="1:29">
      <c r="A87" s="63" t="str">
        <f>IF($B$28&lt;=60,"            3. Width of Zone 3 (corner), 'a' =",IF($B$27&lt;=10,"            3. Width of Zone 3 (corner), ' 2*a' =","            3. Width of Zone 3 (corner), 'a' ="))</f>
        <v xml:space="preserve">            3. Width of Zone 3 (corner), 'a' =</v>
      </c>
      <c r="B87" s="64"/>
      <c r="C87" s="64"/>
      <c r="D87" s="226">
        <f>IF($B$28&lt;=60,$M$57,IF($B$27&lt;=10,2*$P$55,$P$55))</f>
        <v>16.8</v>
      </c>
      <c r="E87" s="64" t="s">
        <v>200</v>
      </c>
      <c r="F87" s="64"/>
      <c r="G87" s="64"/>
      <c r="H87" s="69"/>
      <c r="J87" s="1"/>
      <c r="K87" s="1"/>
      <c r="L87" s="13"/>
      <c r="M87" s="13"/>
      <c r="N87" s="13"/>
      <c r="O87" s="13"/>
      <c r="P87" s="13"/>
      <c r="Q87" s="13"/>
      <c r="R87" s="13"/>
    </row>
    <row r="88" spans="1:29">
      <c r="A88" s="594" t="s">
        <v>542</v>
      </c>
      <c r="B88" s="64"/>
      <c r="C88" s="92"/>
      <c r="D88" s="64"/>
      <c r="E88" s="64"/>
      <c r="F88" s="64"/>
      <c r="G88" s="64"/>
      <c r="H88" s="69"/>
      <c r="J88" s="1"/>
      <c r="K88" s="1"/>
      <c r="L88" s="13"/>
      <c r="M88" s="13"/>
      <c r="N88" s="13"/>
      <c r="O88" s="13"/>
      <c r="P88" s="13"/>
      <c r="Q88" s="13"/>
      <c r="R88" s="13"/>
    </row>
    <row r="89" spans="1:29">
      <c r="A89" s="594" t="s">
        <v>544</v>
      </c>
      <c r="B89" s="64"/>
      <c r="C89" s="64"/>
      <c r="D89" s="64"/>
      <c r="E89" s="64"/>
      <c r="F89" s="64"/>
      <c r="G89" s="64"/>
      <c r="H89" s="69"/>
      <c r="J89" s="1"/>
      <c r="K89" s="1"/>
      <c r="L89" s="13"/>
      <c r="M89" s="13"/>
      <c r="N89" s="13"/>
      <c r="O89" s="13"/>
      <c r="P89" s="13"/>
      <c r="Q89" s="13"/>
      <c r="R89" s="13"/>
    </row>
    <row r="90" spans="1:29">
      <c r="A90" s="594" t="s">
        <v>543</v>
      </c>
      <c r="B90" s="64"/>
      <c r="C90" s="64"/>
      <c r="D90" s="64"/>
      <c r="E90" s="64"/>
      <c r="F90" s="64"/>
      <c r="G90" s="64"/>
      <c r="H90" s="69"/>
      <c r="J90" s="1"/>
      <c r="K90" s="1"/>
      <c r="L90" s="13"/>
      <c r="M90" s="13"/>
      <c r="N90" s="13"/>
      <c r="O90" s="13"/>
      <c r="P90" s="13"/>
      <c r="Q90" s="13"/>
      <c r="R90" s="13"/>
    </row>
    <row r="91" spans="1:29">
      <c r="A91" s="63" t="s">
        <v>367</v>
      </c>
      <c r="B91" s="64"/>
      <c r="C91" s="64"/>
      <c r="D91" s="64"/>
      <c r="E91" s="64"/>
      <c r="F91" s="64"/>
      <c r="G91" s="64"/>
      <c r="H91" s="69"/>
      <c r="S91" s="13"/>
    </row>
    <row r="92" spans="1:29">
      <c r="A92" s="63" t="s">
        <v>366</v>
      </c>
      <c r="B92" s="64"/>
      <c r="C92" s="64"/>
      <c r="D92" s="64"/>
      <c r="E92" s="64"/>
      <c r="F92" s="64"/>
      <c r="G92" s="64"/>
      <c r="H92" s="69"/>
      <c r="S92" s="13"/>
    </row>
    <row r="93" spans="1:29">
      <c r="A93" s="309" t="s">
        <v>541</v>
      </c>
      <c r="B93" s="92"/>
      <c r="C93" s="64"/>
      <c r="D93" s="64"/>
      <c r="E93" s="64"/>
      <c r="F93" s="64"/>
      <c r="G93" s="64"/>
      <c r="H93" s="69"/>
      <c r="S93" s="13"/>
    </row>
    <row r="94" spans="1:29">
      <c r="A94" s="63" t="s">
        <v>155</v>
      </c>
      <c r="B94" s="64" t="s">
        <v>151</v>
      </c>
      <c r="C94" s="64"/>
      <c r="D94" s="64"/>
      <c r="E94" s="64"/>
      <c r="F94" s="64"/>
      <c r="G94" s="64"/>
      <c r="H94" s="69"/>
      <c r="S94" s="13"/>
    </row>
    <row r="95" spans="1:29">
      <c r="A95" s="63"/>
      <c r="B95" s="64" t="s">
        <v>152</v>
      </c>
      <c r="C95" s="64"/>
      <c r="D95" s="64"/>
      <c r="E95" s="64"/>
      <c r="F95" s="64"/>
      <c r="G95" s="64"/>
      <c r="H95" s="69"/>
      <c r="S95" s="13"/>
    </row>
    <row r="96" spans="1:29">
      <c r="A96" s="108"/>
      <c r="B96" s="105" t="s">
        <v>153</v>
      </c>
      <c r="C96" s="64"/>
      <c r="D96" s="64"/>
      <c r="E96" s="64"/>
      <c r="F96" s="64"/>
      <c r="G96" s="64"/>
      <c r="H96" s="69"/>
      <c r="S96" s="13"/>
    </row>
    <row r="97" spans="1:19">
      <c r="A97" s="63"/>
      <c r="B97" s="64"/>
      <c r="C97" s="64"/>
      <c r="D97" s="64"/>
      <c r="E97" s="64"/>
      <c r="F97" s="64"/>
      <c r="G97" s="64"/>
      <c r="H97" s="69"/>
      <c r="S97" s="13"/>
    </row>
    <row r="98" spans="1:19">
      <c r="A98" s="63"/>
      <c r="B98" s="64"/>
      <c r="C98" s="64"/>
      <c r="D98" s="64"/>
      <c r="E98" s="64"/>
      <c r="F98" s="64"/>
      <c r="G98" s="64"/>
      <c r="H98" s="69"/>
      <c r="S98" s="13"/>
    </row>
    <row r="99" spans="1:19">
      <c r="A99" s="63"/>
      <c r="B99" s="64"/>
      <c r="C99" s="64"/>
      <c r="D99" s="64"/>
      <c r="E99" s="64"/>
      <c r="F99" s="64"/>
      <c r="G99" s="64"/>
      <c r="H99" s="69"/>
    </row>
    <row r="100" spans="1:19">
      <c r="A100" s="63"/>
      <c r="B100" s="64"/>
      <c r="C100" s="64"/>
      <c r="D100" s="64"/>
      <c r="E100" s="64"/>
      <c r="F100" s="64"/>
      <c r="G100" s="64"/>
      <c r="H100" s="69"/>
    </row>
    <row r="101" spans="1:19">
      <c r="A101" s="63"/>
      <c r="B101" s="64"/>
      <c r="C101" s="64"/>
      <c r="D101" s="64"/>
      <c r="E101" s="64"/>
      <c r="F101" s="64"/>
      <c r="G101" s="64"/>
      <c r="H101" s="69"/>
    </row>
    <row r="102" spans="1:19">
      <c r="A102" s="63"/>
      <c r="B102" s="64"/>
      <c r="C102" s="64"/>
      <c r="D102" s="64"/>
      <c r="E102" s="64"/>
      <c r="F102" s="64"/>
      <c r="G102" s="64"/>
      <c r="H102" s="69"/>
    </row>
    <row r="103" spans="1:19">
      <c r="A103" s="63"/>
      <c r="B103" s="64"/>
      <c r="C103" s="64"/>
      <c r="D103" s="64"/>
      <c r="E103" s="64"/>
      <c r="F103" s="64"/>
      <c r="G103" s="64"/>
      <c r="H103" s="69"/>
    </row>
    <row r="104" spans="1:19">
      <c r="A104" s="88"/>
      <c r="B104" s="73"/>
      <c r="C104" s="73"/>
      <c r="D104" s="73"/>
      <c r="E104" s="73"/>
      <c r="F104" s="73"/>
      <c r="G104" s="73"/>
      <c r="H104" s="89"/>
    </row>
    <row r="105" spans="1:19">
      <c r="A105" s="120"/>
      <c r="B105" s="121"/>
      <c r="C105" s="121"/>
      <c r="D105" s="121"/>
      <c r="E105" s="121"/>
      <c r="F105" s="121"/>
      <c r="G105" s="259"/>
      <c r="H105" s="254"/>
    </row>
    <row r="106" spans="1:19" ht="15.6">
      <c r="A106" s="124" t="s">
        <v>443</v>
      </c>
      <c r="B106" s="64"/>
      <c r="C106" s="64"/>
      <c r="D106" s="64"/>
      <c r="E106" s="64"/>
      <c r="F106" s="64"/>
      <c r="G106" s="57"/>
      <c r="H106" s="255"/>
    </row>
    <row r="107" spans="1:19">
      <c r="A107" s="63"/>
      <c r="B107" s="64"/>
      <c r="C107" s="64"/>
      <c r="D107" s="64"/>
      <c r="E107" s="64"/>
      <c r="F107" s="64"/>
      <c r="G107" s="64"/>
      <c r="H107" s="69"/>
    </row>
    <row r="108" spans="1:19">
      <c r="A108" s="63"/>
      <c r="B108" s="164"/>
      <c r="C108" s="64"/>
      <c r="D108" s="64"/>
      <c r="E108" s="64"/>
      <c r="F108" s="64"/>
      <c r="G108" s="57"/>
      <c r="H108" s="260"/>
    </row>
    <row r="109" spans="1:19">
      <c r="A109" s="63"/>
      <c r="B109" s="64"/>
      <c r="C109" s="64"/>
      <c r="D109" s="64"/>
      <c r="E109" s="64"/>
      <c r="F109" s="64"/>
      <c r="G109" s="64"/>
      <c r="H109" s="69"/>
    </row>
    <row r="110" spans="1:19">
      <c r="A110" s="63"/>
      <c r="B110" s="64"/>
      <c r="C110" s="64"/>
      <c r="D110" s="64"/>
      <c r="E110" s="64"/>
      <c r="F110" s="64"/>
      <c r="G110" s="64"/>
      <c r="H110" s="69"/>
    </row>
    <row r="111" spans="1:19">
      <c r="A111" s="128"/>
      <c r="B111" s="129"/>
      <c r="C111" s="64"/>
      <c r="D111" s="64"/>
      <c r="E111" s="64"/>
      <c r="F111" s="64"/>
      <c r="G111" s="64"/>
      <c r="H111" s="69"/>
    </row>
    <row r="112" spans="1:19">
      <c r="A112" s="128"/>
      <c r="B112" s="129"/>
      <c r="C112" s="64"/>
      <c r="D112" s="64"/>
      <c r="E112" s="64"/>
      <c r="F112" s="64"/>
      <c r="G112" s="64"/>
      <c r="H112" s="69"/>
    </row>
    <row r="113" spans="1:8">
      <c r="A113" s="166"/>
      <c r="B113" s="64"/>
      <c r="C113" s="64"/>
      <c r="D113" s="64"/>
      <c r="E113" s="64"/>
      <c r="F113" s="64"/>
      <c r="G113" s="64"/>
      <c r="H113" s="69"/>
    </row>
    <row r="114" spans="1:8">
      <c r="A114" s="63"/>
      <c r="B114" s="64"/>
      <c r="C114" s="64"/>
      <c r="D114" s="64"/>
      <c r="E114" s="64"/>
      <c r="F114" s="64"/>
      <c r="G114" s="64"/>
      <c r="H114" s="69"/>
    </row>
    <row r="115" spans="1:8">
      <c r="A115" s="63"/>
      <c r="B115" s="64"/>
      <c r="C115" s="64"/>
      <c r="D115" s="64"/>
      <c r="E115" s="64"/>
      <c r="F115" s="64"/>
      <c r="G115" s="64"/>
      <c r="H115" s="69"/>
    </row>
    <row r="116" spans="1:8">
      <c r="A116" s="63"/>
      <c r="B116" s="64"/>
      <c r="C116" s="64"/>
      <c r="D116" s="64"/>
      <c r="E116" s="64"/>
      <c r="F116" s="64"/>
      <c r="G116" s="64"/>
      <c r="H116" s="69"/>
    </row>
    <row r="117" spans="1:8">
      <c r="A117" s="63"/>
      <c r="B117" s="64"/>
      <c r="C117" s="64"/>
      <c r="D117" s="64"/>
      <c r="E117" s="64"/>
      <c r="F117" s="64"/>
      <c r="G117" s="64"/>
      <c r="H117" s="69"/>
    </row>
    <row r="118" spans="1:8">
      <c r="A118" s="63"/>
      <c r="B118" s="64"/>
      <c r="C118" s="64"/>
      <c r="D118" s="64"/>
      <c r="E118" s="64"/>
      <c r="F118" s="64"/>
      <c r="G118" s="64"/>
      <c r="H118" s="69"/>
    </row>
    <row r="119" spans="1:8">
      <c r="A119" s="63"/>
      <c r="B119" s="64"/>
      <c r="C119" s="64"/>
      <c r="D119" s="64"/>
      <c r="E119" s="64"/>
      <c r="F119" s="64"/>
      <c r="G119" s="64"/>
      <c r="H119" s="69"/>
    </row>
    <row r="120" spans="1:8">
      <c r="A120" s="63"/>
      <c r="B120" s="64"/>
      <c r="C120" s="64"/>
      <c r="D120" s="64"/>
      <c r="E120" s="64"/>
      <c r="F120" s="64"/>
      <c r="G120" s="64"/>
      <c r="H120" s="69"/>
    </row>
    <row r="121" spans="1:8">
      <c r="A121" s="63"/>
      <c r="B121" s="64"/>
      <c r="C121" s="64"/>
      <c r="D121" s="64"/>
      <c r="E121" s="64"/>
      <c r="F121" s="64"/>
      <c r="G121" s="64"/>
      <c r="H121" s="69"/>
    </row>
    <row r="122" spans="1:8">
      <c r="A122" s="63"/>
      <c r="B122" s="64"/>
      <c r="C122" s="64"/>
      <c r="D122" s="64"/>
      <c r="E122" s="64"/>
      <c r="F122" s="64"/>
      <c r="G122" s="64"/>
      <c r="H122" s="69"/>
    </row>
    <row r="123" spans="1:8">
      <c r="A123" s="63"/>
      <c r="B123" s="64"/>
      <c r="C123" s="64"/>
      <c r="D123" s="64"/>
      <c r="E123" s="64"/>
      <c r="F123" s="64"/>
      <c r="G123" s="64"/>
      <c r="H123" s="69"/>
    </row>
    <row r="124" spans="1:8">
      <c r="A124" s="63"/>
      <c r="B124" s="64"/>
      <c r="C124" s="64"/>
      <c r="D124" s="64"/>
      <c r="E124" s="64"/>
      <c r="F124" s="64"/>
      <c r="G124" s="64"/>
      <c r="H124" s="69"/>
    </row>
    <row r="125" spans="1:8">
      <c r="A125" s="63"/>
      <c r="B125" s="64"/>
      <c r="C125" s="64"/>
      <c r="D125" s="64"/>
      <c r="E125" s="64"/>
      <c r="F125" s="64"/>
      <c r="G125" s="64"/>
      <c r="H125" s="69"/>
    </row>
    <row r="126" spans="1:8">
      <c r="A126" s="63"/>
      <c r="B126" s="64"/>
      <c r="C126" s="64"/>
      <c r="D126" s="64"/>
      <c r="E126" s="64"/>
      <c r="F126" s="64"/>
      <c r="G126" s="64"/>
      <c r="H126" s="69"/>
    </row>
    <row r="127" spans="1:8">
      <c r="A127" s="346" t="s">
        <v>65</v>
      </c>
      <c r="B127" s="347"/>
      <c r="C127" s="348" t="s">
        <v>66</v>
      </c>
      <c r="D127" s="347"/>
      <c r="E127" s="347"/>
      <c r="F127" s="348" t="s">
        <v>67</v>
      </c>
      <c r="G127" s="347"/>
      <c r="H127" s="349"/>
    </row>
    <row r="128" spans="1:8">
      <c r="A128" s="63"/>
      <c r="B128" s="64"/>
      <c r="C128" s="64"/>
      <c r="D128" s="64"/>
      <c r="E128" s="64"/>
      <c r="F128" s="64"/>
      <c r="G128" s="64"/>
      <c r="H128" s="69"/>
    </row>
    <row r="129" spans="1:8">
      <c r="A129" s="63"/>
      <c r="B129" s="64"/>
      <c r="C129" s="164" t="s">
        <v>327</v>
      </c>
      <c r="D129" s="64"/>
      <c r="E129" s="64"/>
      <c r="F129" s="64"/>
      <c r="G129" s="64"/>
      <c r="H129" s="69"/>
    </row>
    <row r="130" spans="1:8" ht="15.6">
      <c r="A130" s="63"/>
      <c r="B130" s="93" t="s">
        <v>329</v>
      </c>
      <c r="C130" s="64"/>
      <c r="D130" s="64"/>
      <c r="E130" s="64"/>
      <c r="F130" s="64"/>
      <c r="G130" s="64"/>
      <c r="H130" s="69"/>
    </row>
    <row r="131" spans="1:8">
      <c r="A131" s="63"/>
      <c r="B131" s="64"/>
      <c r="C131" s="64"/>
      <c r="D131" s="64"/>
      <c r="E131" s="64"/>
      <c r="F131" s="64"/>
      <c r="G131" s="64"/>
      <c r="H131" s="69"/>
    </row>
    <row r="132" spans="1:8">
      <c r="A132" s="63"/>
      <c r="B132" s="64"/>
      <c r="C132" s="64"/>
      <c r="D132" s="64"/>
      <c r="E132" s="64"/>
      <c r="F132" s="64"/>
      <c r="G132" s="64"/>
      <c r="H132" s="69"/>
    </row>
    <row r="133" spans="1:8">
      <c r="A133" s="63"/>
      <c r="B133" s="64"/>
      <c r="C133" s="64"/>
      <c r="D133" s="64"/>
      <c r="E133" s="64"/>
      <c r="F133" s="64"/>
      <c r="G133" s="64"/>
      <c r="H133" s="69"/>
    </row>
    <row r="134" spans="1:8">
      <c r="A134" s="63"/>
      <c r="B134" s="64"/>
      <c r="C134" s="64"/>
      <c r="D134" s="64"/>
      <c r="E134" s="64"/>
      <c r="F134" s="64"/>
      <c r="G134" s="64"/>
      <c r="H134" s="69"/>
    </row>
    <row r="135" spans="1:8">
      <c r="A135" s="63"/>
      <c r="B135" s="64"/>
      <c r="C135" s="64"/>
      <c r="D135" s="64"/>
      <c r="E135" s="64"/>
      <c r="F135" s="64"/>
      <c r="G135" s="64"/>
      <c r="H135" s="69"/>
    </row>
    <row r="136" spans="1:8">
      <c r="A136" s="63"/>
      <c r="B136" s="64"/>
      <c r="C136" s="64"/>
      <c r="D136" s="64"/>
      <c r="E136" s="64"/>
      <c r="F136" s="64"/>
      <c r="G136" s="64"/>
      <c r="H136" s="69"/>
    </row>
    <row r="137" spans="1:8">
      <c r="A137" s="63"/>
      <c r="B137" s="64"/>
      <c r="C137" s="64"/>
      <c r="D137" s="64"/>
      <c r="E137" s="64"/>
      <c r="F137" s="64"/>
      <c r="G137" s="64"/>
      <c r="H137" s="69"/>
    </row>
    <row r="138" spans="1:8">
      <c r="A138" s="63"/>
      <c r="B138" s="64"/>
      <c r="C138" s="64"/>
      <c r="D138" s="64"/>
      <c r="E138" s="64"/>
      <c r="F138" s="64"/>
      <c r="G138" s="64"/>
      <c r="H138" s="69"/>
    </row>
    <row r="139" spans="1:8">
      <c r="A139" s="63"/>
      <c r="B139" s="64"/>
      <c r="C139" s="64"/>
      <c r="D139" s="64"/>
      <c r="E139" s="64"/>
      <c r="F139" s="64"/>
      <c r="G139" s="64"/>
      <c r="H139" s="69"/>
    </row>
    <row r="140" spans="1:8">
      <c r="A140" s="63"/>
      <c r="B140" s="64"/>
      <c r="C140" s="64"/>
      <c r="D140" s="64"/>
      <c r="E140" s="64"/>
      <c r="F140" s="64"/>
      <c r="G140" s="64"/>
      <c r="H140" s="69"/>
    </row>
    <row r="141" spans="1:8">
      <c r="A141" s="63"/>
      <c r="B141" s="64"/>
      <c r="C141" s="64"/>
      <c r="D141" s="64"/>
      <c r="E141" s="64"/>
      <c r="F141" s="64"/>
      <c r="G141" s="64"/>
      <c r="H141" s="69"/>
    </row>
    <row r="142" spans="1:8">
      <c r="A142" s="63"/>
      <c r="B142" s="64"/>
      <c r="C142" s="64"/>
      <c r="D142" s="64"/>
      <c r="E142" s="64"/>
      <c r="F142" s="64"/>
      <c r="G142" s="64"/>
      <c r="H142" s="69"/>
    </row>
    <row r="143" spans="1:8">
      <c r="A143" s="63"/>
      <c r="B143" s="64"/>
      <c r="C143" s="64"/>
      <c r="D143" s="64"/>
      <c r="E143" s="64"/>
      <c r="F143" s="64"/>
      <c r="G143" s="64"/>
      <c r="H143" s="69"/>
    </row>
    <row r="144" spans="1:8">
      <c r="A144" s="63"/>
      <c r="B144" s="64"/>
      <c r="C144" s="64"/>
      <c r="D144" s="64"/>
      <c r="E144" s="64"/>
      <c r="F144" s="64"/>
      <c r="G144" s="64"/>
      <c r="H144" s="69"/>
    </row>
    <row r="145" spans="1:8">
      <c r="A145" s="63"/>
      <c r="B145" s="64"/>
      <c r="C145" s="64"/>
      <c r="D145" s="64"/>
      <c r="E145" s="64"/>
      <c r="F145" s="64"/>
      <c r="G145" s="64"/>
      <c r="H145" s="69"/>
    </row>
    <row r="146" spans="1:8">
      <c r="A146" s="63"/>
      <c r="B146" s="64"/>
      <c r="C146" s="64"/>
      <c r="D146" s="64"/>
      <c r="E146" s="64"/>
      <c r="F146" s="64"/>
      <c r="G146" s="64"/>
      <c r="H146" s="69"/>
    </row>
    <row r="147" spans="1:8">
      <c r="A147" s="63"/>
      <c r="B147" s="64"/>
      <c r="C147" s="64"/>
      <c r="D147" s="64"/>
      <c r="E147" s="64"/>
      <c r="F147" s="64"/>
      <c r="G147" s="64"/>
      <c r="H147" s="69"/>
    </row>
    <row r="148" spans="1:8">
      <c r="A148" s="63"/>
      <c r="B148" s="64"/>
      <c r="C148" s="64"/>
      <c r="D148" s="64"/>
      <c r="E148" s="64"/>
      <c r="F148" s="64"/>
      <c r="G148" s="64"/>
      <c r="H148" s="69"/>
    </row>
    <row r="149" spans="1:8">
      <c r="A149" s="63"/>
      <c r="B149" s="64"/>
      <c r="C149" s="164" t="s">
        <v>328</v>
      </c>
      <c r="D149" s="64"/>
      <c r="E149" s="64"/>
      <c r="F149" s="64"/>
      <c r="G149" s="64"/>
      <c r="H149" s="69"/>
    </row>
    <row r="150" spans="1:8" ht="15.6">
      <c r="A150" s="63"/>
      <c r="B150" s="93" t="s">
        <v>339</v>
      </c>
      <c r="C150" s="64"/>
      <c r="D150" s="64"/>
      <c r="E150" s="64"/>
      <c r="F150" s="64"/>
      <c r="G150" s="64"/>
      <c r="H150" s="69"/>
    </row>
    <row r="151" spans="1:8">
      <c r="A151" s="63"/>
      <c r="B151" s="64"/>
      <c r="C151" s="64"/>
      <c r="D151" s="64"/>
      <c r="E151" s="64"/>
      <c r="F151" s="64"/>
      <c r="G151" s="80"/>
      <c r="H151" s="123"/>
    </row>
    <row r="152" spans="1:8">
      <c r="A152" s="63"/>
      <c r="B152" s="64"/>
      <c r="C152" s="64"/>
      <c r="D152" s="64"/>
      <c r="E152" s="64"/>
      <c r="F152" s="64"/>
      <c r="G152" s="64"/>
      <c r="H152" s="69"/>
    </row>
    <row r="153" spans="1:8">
      <c r="A153" s="63"/>
      <c r="B153" s="64"/>
      <c r="C153" s="64"/>
      <c r="D153" s="64"/>
      <c r="E153" s="64"/>
      <c r="F153" s="64"/>
      <c r="G153" s="64"/>
      <c r="H153" s="69"/>
    </row>
    <row r="154" spans="1:8">
      <c r="A154" s="63"/>
      <c r="B154" s="64"/>
      <c r="C154" s="64"/>
      <c r="D154" s="64"/>
      <c r="E154" s="64"/>
      <c r="F154" s="64"/>
      <c r="G154" s="64"/>
      <c r="H154" s="69"/>
    </row>
    <row r="155" spans="1:8">
      <c r="A155" s="63"/>
      <c r="B155" s="64"/>
      <c r="C155" s="64"/>
      <c r="D155" s="64"/>
      <c r="E155" s="64"/>
      <c r="F155" s="64"/>
      <c r="G155" s="64"/>
      <c r="H155" s="69"/>
    </row>
    <row r="156" spans="1:8">
      <c r="A156" s="88"/>
      <c r="B156" s="73"/>
      <c r="C156" s="73"/>
      <c r="D156" s="73"/>
      <c r="E156" s="73"/>
      <c r="F156" s="73"/>
      <c r="G156" s="73"/>
      <c r="H156" s="89"/>
    </row>
  </sheetData>
  <sheetProtection sheet="1" objects="1" scenarios="1"/>
  <mergeCells count="1">
    <mergeCell ref="AA1:AB1"/>
  </mergeCells>
  <phoneticPr fontId="42" type="noConversion"/>
  <conditionalFormatting sqref="AB56:AB81">
    <cfRule type="cellIs" dxfId="1" priority="1" stopIfTrue="1" operator="greaterThan">
      <formula>$B$12</formula>
    </cfRule>
  </conditionalFormatting>
  <dataValidations count="9">
    <dataValidation type="list" allowBlank="1" showInputMessage="1" showErrorMessage="1" errorTitle="Warning!" error="Invalid reply" sqref="B21">
      <formula1>$J$14:$J$17</formula1>
    </dataValidation>
    <dataValidation type="list" allowBlank="1" showInputMessage="1" showErrorMessage="1" errorTitle="Warning!" error="Invalid reply (must input either Y or N)" sqref="B23 B19">
      <formula1>$J$12:$J$13</formula1>
    </dataValidation>
    <dataValidation type="list" allowBlank="1" showInputMessage="1" showErrorMessage="1" errorTitle="Warning!" error="Invalid building category_x000a_Must input either I, II, III, or IV" sqref="B10">
      <formula1>$J$3:$J$6</formula1>
    </dataValidation>
    <dataValidation type="list" allowBlank="1" showInputMessage="1" showErrorMessage="1" errorTitle="Warning!" error="Invalid roof type (must input either G or M)" sqref="B16">
      <formula1>$J$10:$J$11</formula1>
    </dataValidation>
    <dataValidation type="list" allowBlank="1" showInputMessage="1" showErrorMessage="1" errorTitle="Warning!" error="Invalid exposure category_x000a_Must input either B, C, or D" sqref="B11">
      <formula1>$J$7:$J$9</formula1>
    </dataValidation>
    <dataValidation type="decimal" operator="greaterThanOrEqual" allowBlank="1" showInputMessage="1" showErrorMessage="1" errorTitle="Warning!" error="Minimum design wind speed = 85 mph" sqref="B9">
      <formula1>85</formula1>
    </dataValidation>
    <dataValidation type="list" allowBlank="1" showInputMessage="1" showErrorMessage="1" sqref="AB55">
      <formula1>$J$12:$J$13</formula1>
    </dataValidation>
    <dataValidation type="decimal" allowBlank="1" showInputMessage="1" showErrorMessage="1" sqref="AB56:AB81">
      <formula1>0</formula1>
      <formula2>$B$12</formula2>
    </dataValidation>
    <dataValidation type="list" allowBlank="1" showInputMessage="1" showErrorMessage="1" prompt="Is location in a hurricane prone or non-hurricane prone region?" sqref="B20">
      <formula1>$J$12:$J$13</formula1>
    </dataValidation>
  </dataValidations>
  <pageMargins left="1" right="0.5" top="1" bottom="1" header="0.5" footer="0.5"/>
  <pageSetup scale="90" orientation="portrait" horizontalDpi="4294967292" r:id="rId1"/>
  <headerFooter alignWithMargins="0">
    <oddHeader>&amp;R"ASCE710W.xls" Program
Version 2.2</oddHeader>
    <oddFooter>&amp;C&amp;P of &amp;N&amp;R&amp;D  &amp;T</oddFooter>
  </headerFooter>
  <rowBreaks count="2" manualBreakCount="2">
    <brk id="52" max="7" man="1"/>
    <brk id="104" max="7"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69"/>
  <sheetViews>
    <sheetView zoomScaleNormal="100" workbookViewId="0">
      <selection activeCell="C9" sqref="C9"/>
    </sheetView>
  </sheetViews>
  <sheetFormatPr defaultColWidth="9.109375" defaultRowHeight="13.2"/>
  <cols>
    <col min="1" max="1" width="12.33203125" style="368" customWidth="1"/>
    <col min="2" max="9" width="9.109375" style="368"/>
    <col min="10" max="10" width="8" style="436" customWidth="1"/>
    <col min="11" max="14" width="9.109375" style="422" hidden="1" customWidth="1"/>
    <col min="15" max="15" width="10.6640625" style="422" hidden="1" customWidth="1"/>
    <col min="16" max="17" width="9.109375" style="422" hidden="1" customWidth="1"/>
    <col min="18" max="18" width="10.6640625" style="422" hidden="1" customWidth="1"/>
    <col min="19" max="21" width="9.109375" style="422" hidden="1" customWidth="1"/>
    <col min="22" max="25" width="10.6640625" style="422" hidden="1" customWidth="1"/>
    <col min="26" max="26" width="9.109375" style="422" hidden="1" customWidth="1"/>
    <col min="27" max="27" width="11.6640625" style="55" customWidth="1"/>
    <col min="28" max="28" width="11.6640625" style="350" customWidth="1"/>
    <col min="29" max="29" width="9.5546875" style="55" bestFit="1" customWidth="1"/>
    <col min="30" max="30" width="9.6640625" style="55" customWidth="1"/>
    <col min="31" max="32" width="5.6640625" style="55" customWidth="1"/>
    <col min="33" max="35" width="9.109375" style="55"/>
    <col min="36" max="16384" width="9.109375" style="368"/>
  </cols>
  <sheetData>
    <row r="1" spans="1:35" ht="15.6">
      <c r="A1" s="42" t="s">
        <v>466</v>
      </c>
      <c r="B1" s="43"/>
      <c r="C1" s="369"/>
      <c r="D1" s="369"/>
      <c r="E1" s="369"/>
      <c r="F1" s="369"/>
      <c r="G1" s="43"/>
      <c r="H1" s="43"/>
      <c r="I1" s="43"/>
      <c r="J1" s="421"/>
      <c r="L1" s="423"/>
      <c r="N1" s="424" t="s">
        <v>243</v>
      </c>
      <c r="Q1" s="335"/>
      <c r="AA1" s="649" t="str">
        <f>Doc!K1</f>
        <v>Version 2.4 Updated 10/20/15</v>
      </c>
      <c r="AB1" s="650"/>
    </row>
    <row r="2" spans="1:35">
      <c r="A2" s="44" t="s">
        <v>546</v>
      </c>
      <c r="B2" s="370"/>
      <c r="C2" s="45"/>
      <c r="D2" s="370"/>
      <c r="E2" s="370"/>
      <c r="F2" s="370"/>
      <c r="G2" s="46"/>
      <c r="H2" s="46"/>
      <c r="I2" s="46"/>
      <c r="J2" s="60"/>
      <c r="L2" s="423"/>
      <c r="AB2" s="351"/>
      <c r="AC2" s="351"/>
    </row>
    <row r="3" spans="1:35">
      <c r="A3" s="61" t="s">
        <v>107</v>
      </c>
      <c r="B3" s="371"/>
      <c r="C3" s="371"/>
      <c r="D3" s="371"/>
      <c r="E3" s="371"/>
      <c r="F3" s="371"/>
      <c r="G3" s="48"/>
      <c r="H3" s="48"/>
      <c r="I3" s="48"/>
      <c r="J3" s="425"/>
      <c r="L3" s="426" t="s">
        <v>433</v>
      </c>
      <c r="N3" s="437" t="s">
        <v>94</v>
      </c>
      <c r="O3" s="430"/>
      <c r="P3" s="430"/>
      <c r="Q3" s="427"/>
      <c r="R3" s="429"/>
      <c r="S3" s="428"/>
      <c r="T3" s="427"/>
      <c r="U3" s="428"/>
      <c r="V3" s="427"/>
      <c r="W3" s="427"/>
      <c r="AB3" s="278"/>
      <c r="AC3" s="278"/>
    </row>
    <row r="4" spans="1:35">
      <c r="A4" s="352" t="s">
        <v>156</v>
      </c>
      <c r="B4" s="353"/>
      <c r="C4" s="354"/>
      <c r="D4" s="354"/>
      <c r="E4" s="354"/>
      <c r="F4" s="355" t="s">
        <v>448</v>
      </c>
      <c r="G4" s="356"/>
      <c r="H4" s="357"/>
      <c r="I4" s="357"/>
      <c r="J4" s="358"/>
      <c r="L4" s="426" t="s">
        <v>424</v>
      </c>
      <c r="N4" s="438" t="s">
        <v>353</v>
      </c>
      <c r="O4" s="51">
        <f>IF($C$11="A",5,IF($C$11="B",7,IF($C$11="C",9.5,IF($C$11="D",11.5,"Error!"))))</f>
        <v>9.5</v>
      </c>
      <c r="P4" s="443" t="s">
        <v>488</v>
      </c>
      <c r="Q4" s="50"/>
      <c r="R4" s="50"/>
      <c r="S4" s="50"/>
      <c r="T4" s="375"/>
      <c r="U4" s="375"/>
      <c r="V4" s="375"/>
      <c r="W4" s="375"/>
      <c r="AC4" s="350"/>
    </row>
    <row r="5" spans="1:35">
      <c r="A5" s="352" t="s">
        <v>157</v>
      </c>
      <c r="B5" s="534"/>
      <c r="C5" s="359"/>
      <c r="D5" s="359"/>
      <c r="E5" s="359"/>
      <c r="F5" s="194" t="s">
        <v>447</v>
      </c>
      <c r="G5" s="356"/>
      <c r="H5" s="360"/>
      <c r="I5" s="361" t="s">
        <v>446</v>
      </c>
      <c r="J5" s="358"/>
      <c r="L5" s="426" t="s">
        <v>425</v>
      </c>
      <c r="N5" s="439" t="s">
        <v>174</v>
      </c>
      <c r="O5" s="50">
        <f>IF($C$11="A",1500,IF($C$11="B",1200,IF($C$11="C",900,IF($C$11="D",700,"Error!"))))</f>
        <v>900</v>
      </c>
      <c r="P5" s="443" t="s">
        <v>488</v>
      </c>
      <c r="Q5" s="376"/>
      <c r="R5" s="376"/>
      <c r="S5" s="376"/>
      <c r="T5" s="431"/>
      <c r="U5" s="431"/>
      <c r="V5" s="374"/>
      <c r="W5" s="374"/>
      <c r="AE5" s="432"/>
      <c r="AF5" s="433"/>
      <c r="AG5" s="433"/>
      <c r="AH5" s="433"/>
      <c r="AI5" s="434"/>
    </row>
    <row r="6" spans="1:35">
      <c r="A6" s="362"/>
      <c r="B6" s="529"/>
      <c r="C6" s="529"/>
      <c r="D6" s="529"/>
      <c r="E6" s="529"/>
      <c r="F6" s="529"/>
      <c r="G6" s="529"/>
      <c r="H6" s="529"/>
      <c r="I6" s="530"/>
      <c r="J6" s="531"/>
      <c r="L6" s="426" t="s">
        <v>426</v>
      </c>
      <c r="N6" s="373"/>
      <c r="O6" s="51"/>
      <c r="P6" s="440"/>
      <c r="Q6" s="376"/>
      <c r="R6" s="376"/>
      <c r="S6" s="376"/>
      <c r="T6" s="431"/>
      <c r="U6" s="431"/>
      <c r="V6" s="374"/>
      <c r="W6" s="374"/>
      <c r="AB6" s="526" t="s">
        <v>148</v>
      </c>
      <c r="AC6" s="524"/>
      <c r="AD6" s="524"/>
      <c r="AE6" s="525"/>
      <c r="AF6" s="525"/>
      <c r="AG6" s="433"/>
      <c r="AH6" s="433"/>
      <c r="AI6" s="434"/>
    </row>
    <row r="7" spans="1:35">
      <c r="A7" s="65" t="s">
        <v>217</v>
      </c>
      <c r="B7" s="529"/>
      <c r="C7" s="529"/>
      <c r="D7" s="529"/>
      <c r="E7" s="529"/>
      <c r="F7" s="529"/>
      <c r="G7" s="529"/>
      <c r="H7" s="529"/>
      <c r="I7" s="532"/>
      <c r="J7" s="531"/>
      <c r="L7" s="50" t="s">
        <v>389</v>
      </c>
      <c r="R7" s="376"/>
      <c r="S7" s="376"/>
      <c r="T7" s="431"/>
      <c r="U7" s="431"/>
      <c r="V7" s="374"/>
      <c r="W7" s="374"/>
      <c r="AB7" s="524" t="s">
        <v>47</v>
      </c>
      <c r="AC7" s="524"/>
      <c r="AD7" s="524"/>
      <c r="AE7" s="525"/>
      <c r="AF7" s="525"/>
      <c r="AG7" s="433"/>
      <c r="AH7" s="433"/>
      <c r="AI7" s="434"/>
    </row>
    <row r="8" spans="1:35">
      <c r="A8" s="362"/>
      <c r="B8" s="529"/>
      <c r="C8" s="529"/>
      <c r="D8" s="529"/>
      <c r="E8" s="256"/>
      <c r="F8" s="164" t="s">
        <v>240</v>
      </c>
      <c r="G8" s="49"/>
      <c r="H8" s="49"/>
      <c r="I8" s="49"/>
      <c r="J8" s="435"/>
      <c r="L8" s="50" t="s">
        <v>224</v>
      </c>
      <c r="R8" s="376"/>
      <c r="S8" s="376"/>
      <c r="T8" s="431"/>
      <c r="U8" s="431"/>
      <c r="V8" s="374"/>
      <c r="W8" s="374"/>
      <c r="AE8" s="433"/>
      <c r="AF8" s="433"/>
      <c r="AG8" s="433"/>
      <c r="AH8" s="433"/>
      <c r="AI8" s="434"/>
    </row>
    <row r="9" spans="1:35">
      <c r="A9" s="280"/>
      <c r="B9" s="366" t="s">
        <v>218</v>
      </c>
      <c r="C9" s="215">
        <v>170</v>
      </c>
      <c r="D9" s="417" t="s">
        <v>69</v>
      </c>
      <c r="E9" s="49"/>
      <c r="F9" s="49"/>
      <c r="G9" s="49"/>
      <c r="H9" s="49"/>
      <c r="I9" s="49"/>
      <c r="J9" s="435"/>
      <c r="L9" s="50" t="s">
        <v>427</v>
      </c>
      <c r="R9" s="376"/>
      <c r="S9" s="376"/>
      <c r="T9" s="431"/>
      <c r="U9" s="431"/>
      <c r="V9" s="374"/>
      <c r="W9" s="374"/>
    </row>
    <row r="10" spans="1:35">
      <c r="A10" s="280"/>
      <c r="B10" s="366" t="s">
        <v>62</v>
      </c>
      <c r="C10" s="268" t="s">
        <v>424</v>
      </c>
      <c r="D10" s="417" t="s">
        <v>459</v>
      </c>
      <c r="E10" s="49"/>
      <c r="F10" s="372" t="s">
        <v>348</v>
      </c>
      <c r="G10" s="49"/>
      <c r="H10" s="49"/>
      <c r="I10" s="49"/>
      <c r="J10" s="435"/>
      <c r="L10" s="423" t="s">
        <v>393</v>
      </c>
      <c r="R10" s="376"/>
      <c r="S10" s="376"/>
      <c r="T10" s="431"/>
      <c r="U10" s="431"/>
      <c r="V10" s="374"/>
      <c r="W10" s="374"/>
      <c r="AD10" s="363"/>
    </row>
    <row r="11" spans="1:35">
      <c r="A11" s="280"/>
      <c r="B11" s="366" t="s">
        <v>460</v>
      </c>
      <c r="C11" s="216" t="s">
        <v>224</v>
      </c>
      <c r="D11" s="417" t="s">
        <v>482</v>
      </c>
      <c r="E11" s="49"/>
      <c r="F11" s="372" t="s">
        <v>349</v>
      </c>
      <c r="G11" s="49"/>
      <c r="H11" s="49"/>
      <c r="I11" s="49"/>
      <c r="J11" s="435"/>
      <c r="L11" s="423" t="s">
        <v>176</v>
      </c>
      <c r="R11" s="376"/>
      <c r="S11" s="376"/>
      <c r="T11" s="431"/>
      <c r="U11" s="431"/>
      <c r="V11" s="374"/>
      <c r="W11" s="374"/>
    </row>
    <row r="12" spans="1:35">
      <c r="A12" s="280"/>
      <c r="B12" s="366" t="s">
        <v>221</v>
      </c>
      <c r="C12" s="267">
        <v>1</v>
      </c>
      <c r="D12" s="417" t="s">
        <v>628</v>
      </c>
      <c r="E12" s="49"/>
      <c r="F12" s="441" t="s">
        <v>93</v>
      </c>
      <c r="G12" s="380">
        <f>$O$4</f>
        <v>9.5</v>
      </c>
      <c r="H12" s="345" t="s">
        <v>488</v>
      </c>
      <c r="I12" s="49"/>
      <c r="J12" s="435"/>
      <c r="L12" s="423"/>
      <c r="R12" s="376"/>
      <c r="S12" s="376"/>
      <c r="T12" s="431"/>
      <c r="U12" s="431"/>
      <c r="V12" s="374"/>
      <c r="W12" s="374"/>
      <c r="AE12" s="364"/>
      <c r="AF12" s="364"/>
    </row>
    <row r="13" spans="1:35">
      <c r="A13" s="280"/>
      <c r="B13" s="366" t="s">
        <v>95</v>
      </c>
      <c r="C13" s="267">
        <v>125</v>
      </c>
      <c r="D13" s="417" t="s">
        <v>200</v>
      </c>
      <c r="E13" s="49"/>
      <c r="F13" s="377" t="s">
        <v>174</v>
      </c>
      <c r="G13" s="639">
        <f>$O$5</f>
        <v>900</v>
      </c>
      <c r="H13" s="304" t="s">
        <v>488</v>
      </c>
      <c r="I13" s="49"/>
      <c r="J13" s="435"/>
      <c r="L13" s="423"/>
      <c r="R13" s="376"/>
      <c r="S13" s="376"/>
      <c r="T13" s="431"/>
      <c r="U13" s="431"/>
      <c r="V13" s="374"/>
      <c r="W13" s="374"/>
      <c r="AE13" s="364"/>
      <c r="AF13" s="364"/>
    </row>
    <row r="14" spans="1:35">
      <c r="A14" s="280"/>
      <c r="B14" s="366" t="s">
        <v>134</v>
      </c>
      <c r="C14" s="267">
        <v>150</v>
      </c>
      <c r="D14" s="417" t="s">
        <v>27</v>
      </c>
      <c r="E14" s="49"/>
      <c r="F14" s="83" t="s">
        <v>264</v>
      </c>
      <c r="G14" s="640">
        <f>$B$91</f>
        <v>1.337480609952844</v>
      </c>
      <c r="H14" s="418" t="str">
        <f>IF($B$91&gt;=1,"Hz. (f &gt;=1)","Hz.  (f &lt; 1)")</f>
        <v>Hz. (f &gt;=1)</v>
      </c>
      <c r="I14" s="49"/>
      <c r="J14" s="435"/>
      <c r="R14" s="376"/>
      <c r="S14" s="376"/>
      <c r="T14" s="431"/>
      <c r="U14" s="431"/>
      <c r="V14" s="374"/>
      <c r="W14" s="374"/>
      <c r="AE14" s="364"/>
      <c r="AF14" s="364"/>
    </row>
    <row r="15" spans="1:35">
      <c r="A15" s="280"/>
      <c r="B15" s="366" t="s">
        <v>25</v>
      </c>
      <c r="C15" s="267">
        <v>100</v>
      </c>
      <c r="D15" s="417" t="s">
        <v>28</v>
      </c>
      <c r="E15" s="49"/>
      <c r="F15" s="366" t="s">
        <v>254</v>
      </c>
      <c r="G15" s="242">
        <f>$B$104</f>
        <v>0.85</v>
      </c>
      <c r="H15" s="71" t="s">
        <v>374</v>
      </c>
      <c r="I15" s="107" t="str">
        <f>IF($B$91&gt;=1," Rigid"," Flexible")</f>
        <v xml:space="preserve"> Rigid</v>
      </c>
      <c r="J15" s="435"/>
      <c r="R15" s="376"/>
      <c r="S15" s="376"/>
      <c r="T15" s="431"/>
      <c r="U15" s="431"/>
      <c r="V15" s="374"/>
      <c r="W15" s="374"/>
      <c r="AE15" s="364"/>
      <c r="AF15" s="364"/>
    </row>
    <row r="16" spans="1:35">
      <c r="A16" s="442"/>
      <c r="B16" s="466" t="s">
        <v>347</v>
      </c>
      <c r="C16" s="239">
        <v>0.01</v>
      </c>
      <c r="D16" s="467" t="s">
        <v>140</v>
      </c>
      <c r="E16" s="49"/>
      <c r="I16" s="49"/>
      <c r="J16" s="435"/>
      <c r="L16" s="423"/>
      <c r="R16" s="376"/>
      <c r="S16" s="376"/>
      <c r="T16" s="431"/>
      <c r="U16" s="431"/>
      <c r="V16" s="374"/>
      <c r="W16" s="374"/>
      <c r="AE16" s="364"/>
      <c r="AF16" s="364"/>
    </row>
    <row r="17" spans="1:32">
      <c r="A17" s="442"/>
      <c r="B17" s="377" t="s">
        <v>138</v>
      </c>
      <c r="C17" s="252">
        <v>0.02</v>
      </c>
      <c r="D17" s="467" t="s">
        <v>139</v>
      </c>
      <c r="E17" s="49"/>
      <c r="F17" s="49"/>
      <c r="G17" s="49"/>
      <c r="H17" s="49"/>
      <c r="I17" s="49"/>
      <c r="J17" s="435"/>
      <c r="L17" s="423"/>
      <c r="R17" s="376"/>
      <c r="S17" s="376"/>
      <c r="T17" s="431"/>
      <c r="U17" s="431"/>
      <c r="V17" s="374"/>
      <c r="W17" s="374"/>
      <c r="AE17" s="364"/>
      <c r="AF17" s="364"/>
    </row>
    <row r="18" spans="1:32">
      <c r="A18" s="280"/>
      <c r="B18" s="366" t="s">
        <v>369</v>
      </c>
      <c r="C18" s="537">
        <v>0.85</v>
      </c>
      <c r="D18" s="468" t="s">
        <v>160</v>
      </c>
      <c r="E18" s="49"/>
      <c r="F18" s="436" t="s">
        <v>630</v>
      </c>
      <c r="G18" s="49"/>
      <c r="H18" s="49"/>
      <c r="I18" s="49"/>
      <c r="J18" s="435"/>
      <c r="L18" s="423"/>
      <c r="R18" s="376"/>
      <c r="S18" s="376"/>
      <c r="T18" s="431"/>
      <c r="U18" s="431"/>
      <c r="V18" s="374"/>
      <c r="W18" s="374"/>
      <c r="AE18" s="364"/>
      <c r="AF18" s="364"/>
    </row>
    <row r="19" spans="1:32">
      <c r="A19" s="280"/>
      <c r="B19" s="323" t="s">
        <v>402</v>
      </c>
      <c r="C19" s="227" t="s">
        <v>176</v>
      </c>
      <c r="D19" s="49"/>
      <c r="E19" s="49"/>
      <c r="F19" s="436" t="s">
        <v>629</v>
      </c>
      <c r="G19" s="49"/>
      <c r="H19" s="49"/>
      <c r="I19" s="49"/>
      <c r="J19" s="435"/>
      <c r="L19" s="423"/>
      <c r="S19" s="376"/>
      <c r="T19" s="431"/>
      <c r="U19" s="431"/>
      <c r="V19" s="374"/>
      <c r="W19" s="374"/>
      <c r="AE19" s="364"/>
      <c r="AF19" s="364"/>
    </row>
    <row r="20" spans="1:32">
      <c r="A20" s="280"/>
      <c r="B20" s="49"/>
      <c r="C20" s="49"/>
      <c r="D20" s="49"/>
      <c r="E20" s="49"/>
      <c r="F20" s="436" t="s">
        <v>639</v>
      </c>
      <c r="G20" s="49"/>
      <c r="H20" s="49"/>
      <c r="I20" s="90"/>
      <c r="J20" s="435"/>
      <c r="L20" s="423"/>
      <c r="R20" s="376"/>
      <c r="S20" s="376"/>
      <c r="T20" s="431"/>
      <c r="U20" s="431"/>
      <c r="V20" s="374"/>
      <c r="W20" s="374"/>
      <c r="AF20" s="364"/>
    </row>
    <row r="21" spans="1:32">
      <c r="A21" s="507" t="s">
        <v>637</v>
      </c>
      <c r="B21" s="49"/>
      <c r="C21" s="49"/>
      <c r="D21" s="417"/>
      <c r="E21" s="49"/>
      <c r="F21" s="52" t="s">
        <v>141</v>
      </c>
      <c r="G21" s="49"/>
      <c r="H21" s="49"/>
      <c r="I21" s="49"/>
      <c r="J21" s="435"/>
      <c r="L21" s="423"/>
      <c r="R21" s="376"/>
      <c r="S21" s="376"/>
      <c r="T21" s="431"/>
      <c r="U21" s="431"/>
      <c r="V21" s="374"/>
      <c r="W21" s="374"/>
      <c r="AF21" s="364"/>
    </row>
    <row r="22" spans="1:32">
      <c r="A22" s="646" t="s">
        <v>638</v>
      </c>
      <c r="B22" s="49"/>
      <c r="C22" s="49"/>
      <c r="D22" s="49"/>
      <c r="E22" s="49"/>
      <c r="F22" s="49" t="s">
        <v>142</v>
      </c>
      <c r="G22" s="49"/>
      <c r="H22" s="49"/>
      <c r="I22" s="49"/>
      <c r="J22" s="435"/>
      <c r="L22" s="423"/>
      <c r="M22" s="436"/>
      <c r="R22" s="376"/>
      <c r="S22" s="376"/>
      <c r="T22" s="431"/>
      <c r="U22" s="431"/>
      <c r="V22" s="374"/>
      <c r="W22" s="374"/>
      <c r="AB22" s="470" t="s">
        <v>135</v>
      </c>
      <c r="AC22" s="471"/>
      <c r="AD22" s="472"/>
      <c r="AE22" s="473"/>
      <c r="AF22" s="364"/>
    </row>
    <row r="23" spans="1:32">
      <c r="A23" s="469" t="s">
        <v>96</v>
      </c>
      <c r="B23" s="49"/>
      <c r="C23" s="49"/>
      <c r="D23" s="49"/>
      <c r="E23" s="49"/>
      <c r="F23" s="49"/>
      <c r="G23" s="49"/>
      <c r="H23" s="49"/>
      <c r="I23" s="49"/>
      <c r="J23" s="435"/>
      <c r="L23" s="423"/>
      <c r="M23" s="436"/>
      <c r="O23" s="50"/>
      <c r="R23" s="376"/>
      <c r="S23" s="376"/>
      <c r="T23" s="431"/>
      <c r="U23" s="431"/>
      <c r="V23" s="374"/>
      <c r="W23" s="374"/>
      <c r="AB23" s="474" t="s">
        <v>136</v>
      </c>
      <c r="AC23" s="350"/>
      <c r="AE23" s="475"/>
      <c r="AF23" s="364"/>
    </row>
    <row r="24" spans="1:32">
      <c r="A24" s="280"/>
      <c r="B24" s="49"/>
      <c r="C24" s="49"/>
      <c r="D24" s="49"/>
      <c r="E24" s="49"/>
      <c r="F24" s="49"/>
      <c r="G24" s="49"/>
      <c r="H24" s="49"/>
      <c r="I24" s="49"/>
      <c r="J24" s="435"/>
      <c r="L24" s="423"/>
      <c r="M24" s="436"/>
      <c r="R24" s="376"/>
      <c r="S24" s="376"/>
      <c r="T24" s="431"/>
      <c r="U24" s="431"/>
      <c r="V24" s="374"/>
      <c r="W24" s="374"/>
      <c r="AB24" s="476" t="s">
        <v>137</v>
      </c>
      <c r="AE24" s="477"/>
      <c r="AF24" s="364"/>
    </row>
    <row r="25" spans="1:32">
      <c r="A25" s="280"/>
      <c r="B25" s="455" t="s">
        <v>408</v>
      </c>
      <c r="C25" s="369"/>
      <c r="D25" s="369"/>
      <c r="E25" s="369"/>
      <c r="F25" s="274"/>
      <c r="G25" s="74"/>
      <c r="H25" s="74"/>
      <c r="I25" s="75"/>
      <c r="J25" s="435"/>
      <c r="L25" s="423"/>
      <c r="M25" s="436"/>
      <c r="R25" s="376"/>
      <c r="S25" s="376"/>
      <c r="T25" s="431"/>
      <c r="U25" s="431"/>
      <c r="V25" s="374"/>
      <c r="W25" s="374"/>
      <c r="AB25" s="478" t="s">
        <v>97</v>
      </c>
      <c r="AC25" s="479"/>
      <c r="AD25" s="479"/>
      <c r="AE25" s="480"/>
      <c r="AF25" s="364"/>
    </row>
    <row r="26" spans="1:32">
      <c r="A26" s="280"/>
      <c r="B26" s="459"/>
      <c r="C26" s="420"/>
      <c r="D26" s="419"/>
      <c r="E26" s="459"/>
      <c r="F26" s="533" t="s">
        <v>407</v>
      </c>
      <c r="G26" s="276"/>
      <c r="H26" s="276"/>
      <c r="I26" s="522"/>
      <c r="J26" s="435"/>
      <c r="L26" s="423"/>
      <c r="M26" s="436"/>
      <c r="R26" s="376"/>
      <c r="S26" s="376"/>
      <c r="T26" s="431"/>
      <c r="U26" s="431"/>
      <c r="V26" s="374"/>
      <c r="W26" s="374"/>
      <c r="AF26" s="364"/>
    </row>
    <row r="27" spans="1:32">
      <c r="A27" s="280"/>
      <c r="B27" s="140" t="s">
        <v>162</v>
      </c>
      <c r="C27" s="458" t="s">
        <v>158</v>
      </c>
      <c r="D27" s="139" t="s">
        <v>159</v>
      </c>
      <c r="E27" s="140" t="s">
        <v>70</v>
      </c>
      <c r="F27" s="462">
        <v>1.2</v>
      </c>
      <c r="G27" s="450">
        <v>1.6</v>
      </c>
      <c r="H27" s="450">
        <v>1.8</v>
      </c>
      <c r="I27" s="450">
        <v>2</v>
      </c>
      <c r="J27" s="435"/>
      <c r="L27" s="423"/>
      <c r="M27" s="436"/>
      <c r="R27" s="376"/>
      <c r="S27" s="376"/>
      <c r="T27" s="431"/>
      <c r="U27" s="431"/>
      <c r="V27" s="374"/>
      <c r="W27" s="374"/>
      <c r="AB27" s="340" t="s">
        <v>48</v>
      </c>
      <c r="AC27" s="1"/>
      <c r="AD27" s="1"/>
      <c r="AF27" s="364"/>
    </row>
    <row r="28" spans="1:32">
      <c r="A28" s="280"/>
      <c r="B28" s="464" t="s">
        <v>163</v>
      </c>
      <c r="C28" s="508"/>
      <c r="D28" s="465" t="s">
        <v>164</v>
      </c>
      <c r="E28" s="464" t="s">
        <v>164</v>
      </c>
      <c r="F28" s="454" t="s">
        <v>68</v>
      </c>
      <c r="G28" s="112" t="s">
        <v>68</v>
      </c>
      <c r="H28" s="112" t="s">
        <v>68</v>
      </c>
      <c r="I28" s="112" t="s">
        <v>68</v>
      </c>
      <c r="J28" s="435"/>
      <c r="M28" s="436"/>
      <c r="R28" s="376"/>
      <c r="S28" s="376"/>
      <c r="T28" s="431"/>
      <c r="U28" s="431"/>
      <c r="V28" s="374"/>
      <c r="W28" s="374"/>
      <c r="AB28" s="341" t="s">
        <v>176</v>
      </c>
      <c r="AC28" s="535" t="s">
        <v>149</v>
      </c>
      <c r="AD28" s="536"/>
      <c r="AF28" s="364"/>
    </row>
    <row r="29" spans="1:32">
      <c r="A29" s="280"/>
      <c r="B29" s="305"/>
      <c r="C29" s="463"/>
      <c r="D29" s="82"/>
      <c r="E29" s="305"/>
      <c r="F29" s="461" t="s">
        <v>164</v>
      </c>
      <c r="G29" s="460" t="s">
        <v>164</v>
      </c>
      <c r="H29" s="460" t="s">
        <v>164</v>
      </c>
      <c r="I29" s="460" t="s">
        <v>164</v>
      </c>
      <c r="J29" s="435"/>
      <c r="M29" s="436"/>
      <c r="R29" s="376"/>
      <c r="S29" s="376"/>
      <c r="T29" s="431"/>
      <c r="U29" s="431"/>
      <c r="V29" s="374"/>
      <c r="W29" s="374"/>
      <c r="AB29" s="267"/>
      <c r="AC29" s="536"/>
      <c r="AD29" s="536"/>
      <c r="AE29" s="364"/>
      <c r="AF29" s="364"/>
    </row>
    <row r="30" spans="1:32">
      <c r="A30" s="280" t="str">
        <f t="shared" ref="A30:A55" si="0">IF($B30=$C$13,"For z = h:","")</f>
        <v/>
      </c>
      <c r="B30" s="456">
        <f>IF($AB$28="N",0,$AB29)</f>
        <v>0</v>
      </c>
      <c r="C30" s="457">
        <f>2.01*(IF($B30&lt;=15,15,$B30)/$O$5)^(2/$O$4)</f>
        <v>0.84888415207790313</v>
      </c>
      <c r="D30" s="378">
        <f>0.00256*$C30*$C$12*$C$18*$C$9^2</f>
        <v>53.383268341231854</v>
      </c>
      <c r="E30" s="378">
        <f>$D30*$G$15</f>
        <v>45.375778090047078</v>
      </c>
      <c r="F30" s="380">
        <f>$E30*$F$27</f>
        <v>54.450933708056489</v>
      </c>
      <c r="G30" s="380">
        <f>$E30*$G$27</f>
        <v>72.601244944075333</v>
      </c>
      <c r="H30" s="380">
        <f>$E30*$H$27</f>
        <v>81.676400562084737</v>
      </c>
      <c r="I30" s="380">
        <f>$E30*$I$27</f>
        <v>90.751556180094155</v>
      </c>
      <c r="J30" s="435"/>
      <c r="M30" s="436"/>
      <c r="AB30" s="267"/>
      <c r="AC30" s="536"/>
      <c r="AD30" s="536"/>
      <c r="AE30" s="364"/>
      <c r="AF30" s="364"/>
    </row>
    <row r="31" spans="1:32">
      <c r="A31" s="384" t="str">
        <f t="shared" si="0"/>
        <v/>
      </c>
      <c r="B31" s="231">
        <f>IF($AB$28="N",IF($C$13&gt;=15,15,IF($B30=$C$13,"",IF($B30="","",$C$13))),IF(OR($AB30="",$AB30&gt;$B$13),"",$AB30))</f>
        <v>15</v>
      </c>
      <c r="C31" s="229">
        <f t="shared" ref="C31:C55" si="1">IF($B31="","",2.01*(IF($B31&lt;=15,15,$B31)/$O$5)^(2/$O$4))</f>
        <v>0.84888415207790313</v>
      </c>
      <c r="D31" s="379">
        <f t="shared" ref="D31:D55" si="2">IF($B31="","",0.00256*$C31*$C$12*$C$18*$C$9^2)</f>
        <v>53.383268341231854</v>
      </c>
      <c r="E31" s="379">
        <f t="shared" ref="E31:E55" si="3">IF($B31="","",$D31*$G$15)</f>
        <v>45.375778090047078</v>
      </c>
      <c r="F31" s="379">
        <f t="shared" ref="F31:F55" si="4">IF($B31="","",$E31*$F$27)</f>
        <v>54.450933708056489</v>
      </c>
      <c r="G31" s="379">
        <f t="shared" ref="G31:G55" si="5">IF($B31="","",$E31*$G$27)</f>
        <v>72.601244944075333</v>
      </c>
      <c r="H31" s="379">
        <f t="shared" ref="H31:H55" si="6">IF($B31="","",$E31*$H$27)</f>
        <v>81.676400562084737</v>
      </c>
      <c r="I31" s="379">
        <f t="shared" ref="I31:I55" si="7">IF($B31="","",$E31*$I$27)</f>
        <v>90.751556180094155</v>
      </c>
      <c r="J31" s="435"/>
      <c r="M31" s="436"/>
      <c r="R31" s="443"/>
      <c r="U31" s="428"/>
      <c r="V31" s="428"/>
      <c r="W31" s="440"/>
      <c r="AB31" s="267"/>
      <c r="AC31" s="536"/>
      <c r="AD31" s="536"/>
      <c r="AE31" s="364"/>
      <c r="AF31" s="364"/>
    </row>
    <row r="32" spans="1:32">
      <c r="A32" s="384" t="str">
        <f t="shared" si="0"/>
        <v/>
      </c>
      <c r="B32" s="231">
        <f>IF($AB$28="N",IF($C$13&gt;=20,20,IF($B31=$C$13,"",IF($B31="","",$C$13))),IF(OR($AB31="",$AB31&gt;$B$13),"",$AB31))</f>
        <v>20</v>
      </c>
      <c r="C32" s="379">
        <f t="shared" si="1"/>
        <v>0.9018853194026647</v>
      </c>
      <c r="D32" s="379">
        <f t="shared" si="2"/>
        <v>56.716320950083741</v>
      </c>
      <c r="E32" s="379">
        <f t="shared" si="3"/>
        <v>48.208872807571176</v>
      </c>
      <c r="F32" s="379">
        <f t="shared" si="4"/>
        <v>57.850647369085408</v>
      </c>
      <c r="G32" s="379">
        <f t="shared" si="5"/>
        <v>77.134196492113887</v>
      </c>
      <c r="H32" s="379">
        <f t="shared" si="6"/>
        <v>86.775971053628112</v>
      </c>
      <c r="I32" s="379">
        <f t="shared" si="7"/>
        <v>96.417745615142351</v>
      </c>
      <c r="J32" s="435"/>
      <c r="M32" s="436"/>
      <c r="R32" s="444"/>
      <c r="S32" s="50"/>
      <c r="T32" s="50"/>
      <c r="U32" s="50"/>
      <c r="V32" s="50"/>
      <c r="W32" s="440"/>
      <c r="AB32" s="267"/>
      <c r="AC32" s="536"/>
      <c r="AD32" s="536"/>
      <c r="AE32" s="364"/>
      <c r="AF32" s="364"/>
    </row>
    <row r="33" spans="1:35">
      <c r="A33" s="384" t="str">
        <f t="shared" si="0"/>
        <v/>
      </c>
      <c r="B33" s="231">
        <f>IF($AB$28="N",IF($C$13&gt;=25,25,IF($B32=$C$13,"",IF($B32="","",$C$13))),IF(OR($AB32="",$AB32&gt;$B$13),"",$AB32))</f>
        <v>25</v>
      </c>
      <c r="C33" s="379">
        <f t="shared" si="1"/>
        <v>0.94526466907719109</v>
      </c>
      <c r="D33" s="379">
        <f t="shared" si="2"/>
        <v>59.444292085455871</v>
      </c>
      <c r="E33" s="379">
        <f t="shared" si="3"/>
        <v>50.527648272637492</v>
      </c>
      <c r="F33" s="379">
        <f t="shared" si="4"/>
        <v>60.633177927164986</v>
      </c>
      <c r="G33" s="379">
        <f t="shared" si="5"/>
        <v>80.844237236219996</v>
      </c>
      <c r="H33" s="379">
        <f t="shared" si="6"/>
        <v>90.949766890747483</v>
      </c>
      <c r="I33" s="379">
        <f t="shared" si="7"/>
        <v>101.05529654527498</v>
      </c>
      <c r="J33" s="435"/>
      <c r="M33" s="436"/>
      <c r="R33" s="56"/>
      <c r="S33" s="56"/>
      <c r="T33" s="56"/>
      <c r="U33" s="56"/>
      <c r="V33" s="56"/>
      <c r="W33" s="440"/>
      <c r="AB33" s="267"/>
      <c r="AC33" s="536"/>
      <c r="AD33" s="536"/>
      <c r="AE33" s="364"/>
      <c r="AF33" s="364"/>
    </row>
    <row r="34" spans="1:35">
      <c r="A34" s="384" t="str">
        <f t="shared" si="0"/>
        <v/>
      </c>
      <c r="B34" s="231">
        <f>IF($AB$28="N",IF($C$13&gt;=30,30,IF($B33=$C$13,"",IF($B33="","",$C$13))),IF(OR($AB33="",$AB33&gt;$B$13),"",$AB33))</f>
        <v>30</v>
      </c>
      <c r="C34" s="379">
        <f t="shared" si="1"/>
        <v>0.98225254263640283</v>
      </c>
      <c r="D34" s="379">
        <f t="shared" si="2"/>
        <v>61.770326297249881</v>
      </c>
      <c r="E34" s="379">
        <f t="shared" si="3"/>
        <v>52.504777352662394</v>
      </c>
      <c r="F34" s="379">
        <f t="shared" si="4"/>
        <v>63.005732823194869</v>
      </c>
      <c r="G34" s="379">
        <f t="shared" si="5"/>
        <v>84.007643764259839</v>
      </c>
      <c r="H34" s="379">
        <f t="shared" si="6"/>
        <v>94.508599234792314</v>
      </c>
      <c r="I34" s="379">
        <f t="shared" si="7"/>
        <v>105.00955470532479</v>
      </c>
      <c r="J34" s="435"/>
      <c r="M34" s="436"/>
      <c r="R34" s="56"/>
      <c r="S34" s="56"/>
      <c r="T34" s="56"/>
      <c r="U34" s="56"/>
      <c r="V34" s="56"/>
      <c r="W34" s="440"/>
      <c r="AB34" s="267"/>
      <c r="AC34" s="536"/>
      <c r="AD34" s="536"/>
      <c r="AE34" s="364"/>
      <c r="AF34" s="364"/>
    </row>
    <row r="35" spans="1:35">
      <c r="A35" s="384" t="str">
        <f t="shared" si="0"/>
        <v/>
      </c>
      <c r="B35" s="231">
        <f>IF($AB$28="N",IF($C$13&gt;=35,35,IF($B34=$C$13,"",IF($B34="","",$C$13))),IF(OR($AB34="",$AB34&gt;$B$13),"",$AB34))</f>
        <v>35</v>
      </c>
      <c r="C35" s="379">
        <f t="shared" si="1"/>
        <v>1.0146522497823687</v>
      </c>
      <c r="D35" s="379">
        <f t="shared" si="2"/>
        <v>63.807827240713955</v>
      </c>
      <c r="E35" s="379">
        <f t="shared" si="3"/>
        <v>54.236653154606863</v>
      </c>
      <c r="F35" s="379">
        <f t="shared" si="4"/>
        <v>65.083983785528233</v>
      </c>
      <c r="G35" s="379">
        <f t="shared" si="5"/>
        <v>86.778645047370986</v>
      </c>
      <c r="H35" s="379">
        <f t="shared" si="6"/>
        <v>97.625975678292349</v>
      </c>
      <c r="I35" s="379">
        <f t="shared" si="7"/>
        <v>108.47330630921373</v>
      </c>
      <c r="J35" s="435"/>
      <c r="M35" s="436"/>
      <c r="R35" s="50"/>
      <c r="S35" s="51"/>
      <c r="T35" s="51"/>
      <c r="U35" s="51"/>
      <c r="V35" s="51"/>
      <c r="W35" s="440"/>
      <c r="AB35" s="267"/>
      <c r="AC35" s="536"/>
      <c r="AD35" s="536"/>
      <c r="AE35" s="364"/>
      <c r="AF35" s="364"/>
    </row>
    <row r="36" spans="1:35">
      <c r="A36" s="384" t="str">
        <f t="shared" si="0"/>
        <v/>
      </c>
      <c r="B36" s="231">
        <f>IF($AB$28="N",IF($C$13&gt;=40,40,IF($B35=$C$13,"",IF($B35="","",$C$13))),IF(OR($AB35="",$AB35&gt;$B$13),"",$AB35))</f>
        <v>40</v>
      </c>
      <c r="C36" s="379">
        <f t="shared" si="1"/>
        <v>1.0435807359358187</v>
      </c>
      <c r="D36" s="379">
        <f t="shared" si="2"/>
        <v>65.627035592354275</v>
      </c>
      <c r="E36" s="379">
        <f t="shared" si="3"/>
        <v>55.78298025350113</v>
      </c>
      <c r="F36" s="379">
        <f t="shared" si="4"/>
        <v>66.939576304201353</v>
      </c>
      <c r="G36" s="379">
        <f t="shared" si="5"/>
        <v>89.252768405601813</v>
      </c>
      <c r="H36" s="379">
        <f t="shared" si="6"/>
        <v>100.40936445630203</v>
      </c>
      <c r="I36" s="379">
        <f t="shared" si="7"/>
        <v>111.56596050700226</v>
      </c>
      <c r="J36" s="435"/>
      <c r="M36" s="436"/>
      <c r="R36" s="50"/>
      <c r="S36" s="51"/>
      <c r="T36" s="51"/>
      <c r="U36" s="51"/>
      <c r="V36" s="51"/>
      <c r="W36" s="440"/>
      <c r="AB36" s="267"/>
      <c r="AC36" s="536"/>
      <c r="AD36" s="536"/>
      <c r="AE36" s="364"/>
      <c r="AF36" s="364"/>
    </row>
    <row r="37" spans="1:35">
      <c r="A37" s="384" t="str">
        <f t="shared" si="0"/>
        <v/>
      </c>
      <c r="B37" s="231">
        <f>IF($AB$28="N",IF($C$13&gt;=45,45,IF($B36=$C$13,"",IF($B36="","",$C$13))),IF(OR($AB36="",$AB36&gt;$B$13),"",$AB36))</f>
        <v>45</v>
      </c>
      <c r="C37" s="379">
        <f t="shared" si="1"/>
        <v>1.0697813089525581</v>
      </c>
      <c r="D37" s="379">
        <f t="shared" si="2"/>
        <v>67.274695307314147</v>
      </c>
      <c r="E37" s="379">
        <f t="shared" si="3"/>
        <v>57.183491011217022</v>
      </c>
      <c r="F37" s="379">
        <f t="shared" si="4"/>
        <v>68.620189213460421</v>
      </c>
      <c r="G37" s="379">
        <f t="shared" si="5"/>
        <v>91.493585617947247</v>
      </c>
      <c r="H37" s="379">
        <f t="shared" si="6"/>
        <v>102.93028382019064</v>
      </c>
      <c r="I37" s="379">
        <f t="shared" si="7"/>
        <v>114.36698202243404</v>
      </c>
      <c r="J37" s="435"/>
      <c r="M37" s="436"/>
      <c r="R37" s="50"/>
      <c r="S37" s="51"/>
      <c r="T37" s="51"/>
      <c r="U37" s="51"/>
      <c r="V37" s="51"/>
      <c r="W37" s="440"/>
      <c r="AB37" s="267"/>
      <c r="AC37" s="536"/>
      <c r="AD37" s="536"/>
    </row>
    <row r="38" spans="1:35" ht="12.75" customHeight="1">
      <c r="A38" s="384" t="str">
        <f t="shared" si="0"/>
        <v/>
      </c>
      <c r="B38" s="231">
        <f>IF($AB$28="N",IF($C$13&gt;=50,50,IF($B37=$C$13,"",IF($B37="","",$C$13))),IF(OR($AB37="",$AB37&gt;$B$13),"",$AB37))</f>
        <v>50</v>
      </c>
      <c r="C38" s="379">
        <f t="shared" si="1"/>
        <v>1.0937754255308798</v>
      </c>
      <c r="D38" s="379">
        <f t="shared" si="2"/>
        <v>68.783598920105135</v>
      </c>
      <c r="E38" s="379">
        <f t="shared" si="3"/>
        <v>58.466059082089366</v>
      </c>
      <c r="F38" s="379">
        <f t="shared" si="4"/>
        <v>70.159270898507231</v>
      </c>
      <c r="G38" s="379">
        <f t="shared" si="5"/>
        <v>93.545694531342988</v>
      </c>
      <c r="H38" s="379">
        <f t="shared" si="6"/>
        <v>105.23890634776086</v>
      </c>
      <c r="I38" s="379">
        <f t="shared" si="7"/>
        <v>116.93211816417873</v>
      </c>
      <c r="J38" s="435"/>
      <c r="M38" s="436"/>
      <c r="R38" s="50"/>
      <c r="S38" s="51"/>
      <c r="T38" s="51"/>
      <c r="U38" s="51"/>
      <c r="V38" s="51"/>
      <c r="W38" s="440"/>
      <c r="AB38" s="267"/>
      <c r="AC38" s="536"/>
      <c r="AD38" s="536"/>
    </row>
    <row r="39" spans="1:35">
      <c r="A39" s="384" t="str">
        <f t="shared" si="0"/>
        <v/>
      </c>
      <c r="B39" s="231">
        <f>IF($AB$28="N",IF($C$13&gt;=55,55,IF($B38=$C$13,"",IF($B38="","",$C$13))),IF(OR($AB38="",$AB38&gt;$B$13),"",$AB38))</f>
        <v>55</v>
      </c>
      <c r="C39" s="379">
        <f t="shared" si="1"/>
        <v>1.1159440247091945</v>
      </c>
      <c r="D39" s="379">
        <f t="shared" si="2"/>
        <v>70.177702315472303</v>
      </c>
      <c r="E39" s="379">
        <f t="shared" si="3"/>
        <v>59.651046968151455</v>
      </c>
      <c r="F39" s="379">
        <f t="shared" si="4"/>
        <v>71.58125636178174</v>
      </c>
      <c r="G39" s="379">
        <f t="shared" si="5"/>
        <v>95.441675149042339</v>
      </c>
      <c r="H39" s="379">
        <f t="shared" si="6"/>
        <v>107.37188454267262</v>
      </c>
      <c r="I39" s="379">
        <f t="shared" si="7"/>
        <v>119.30209393630291</v>
      </c>
      <c r="J39" s="435"/>
      <c r="M39" s="436"/>
      <c r="R39" s="423"/>
      <c r="S39" s="445"/>
      <c r="T39" s="51"/>
      <c r="U39" s="445"/>
      <c r="V39" s="445"/>
      <c r="W39" s="440"/>
      <c r="AB39" s="267"/>
      <c r="AC39" s="536"/>
      <c r="AD39" s="536"/>
    </row>
    <row r="40" spans="1:35">
      <c r="A40" s="384" t="str">
        <f t="shared" si="0"/>
        <v/>
      </c>
      <c r="B40" s="231">
        <f>IF($AB$28="N",IF($C$13&gt;=60,60,IF($B39=$C$13,"",IF($B39="","",$C$13))),IF(OR($AB39="",$AB39&gt;$B$13),"",$AB39))</f>
        <v>60</v>
      </c>
      <c r="C40" s="379">
        <f t="shared" si="1"/>
        <v>1.136574472681563</v>
      </c>
      <c r="D40" s="379">
        <f t="shared" si="2"/>
        <v>71.475076918841836</v>
      </c>
      <c r="E40" s="379">
        <f t="shared" si="3"/>
        <v>60.753815381015556</v>
      </c>
      <c r="F40" s="379">
        <f t="shared" si="4"/>
        <v>72.904578457218662</v>
      </c>
      <c r="G40" s="379">
        <f t="shared" si="5"/>
        <v>97.206104609624902</v>
      </c>
      <c r="H40" s="379">
        <f t="shared" si="6"/>
        <v>109.35686768582801</v>
      </c>
      <c r="I40" s="379">
        <f t="shared" si="7"/>
        <v>121.50763076203111</v>
      </c>
      <c r="J40" s="435"/>
      <c r="N40" s="438"/>
      <c r="O40" s="56"/>
      <c r="R40" s="423"/>
      <c r="S40" s="445"/>
      <c r="T40" s="51"/>
      <c r="U40" s="445"/>
      <c r="V40" s="445"/>
      <c r="W40" s="440"/>
      <c r="AB40" s="267"/>
      <c r="AC40" s="536"/>
      <c r="AD40" s="536"/>
      <c r="AE40" s="363"/>
    </row>
    <row r="41" spans="1:35">
      <c r="A41" s="451" t="str">
        <f t="shared" si="0"/>
        <v/>
      </c>
      <c r="B41" s="231">
        <f>IF($AB$28="N",IF($C$13&gt;=70,70,IF($B40=$C$13,"",IF($B40="","",$C$13))),IF(OR($AB40="",$AB40&gt;$B$13),"",$AB40))</f>
        <v>70</v>
      </c>
      <c r="C41" s="379">
        <f t="shared" si="1"/>
        <v>1.1740645055051222</v>
      </c>
      <c r="D41" s="379">
        <f t="shared" si="2"/>
        <v>73.83269011899732</v>
      </c>
      <c r="E41" s="379">
        <f t="shared" si="3"/>
        <v>62.757786601147721</v>
      </c>
      <c r="F41" s="379">
        <f t="shared" si="4"/>
        <v>75.309343921377263</v>
      </c>
      <c r="G41" s="379">
        <f t="shared" si="5"/>
        <v>100.41245856183636</v>
      </c>
      <c r="H41" s="379">
        <f t="shared" si="6"/>
        <v>112.96401588206589</v>
      </c>
      <c r="I41" s="379">
        <f t="shared" si="7"/>
        <v>125.51557320229544</v>
      </c>
      <c r="J41" s="435"/>
      <c r="R41" s="440"/>
      <c r="S41" s="440"/>
      <c r="T41" s="440"/>
      <c r="U41" s="440"/>
      <c r="V41" s="440"/>
      <c r="W41" s="440"/>
      <c r="AB41" s="267"/>
      <c r="AC41" s="536"/>
      <c r="AD41" s="536"/>
      <c r="AF41" s="364"/>
      <c r="AG41" s="364"/>
      <c r="AH41" s="364"/>
      <c r="AI41" s="364"/>
    </row>
    <row r="42" spans="1:35">
      <c r="A42" s="451" t="str">
        <f t="shared" si="0"/>
        <v/>
      </c>
      <c r="B42" s="231">
        <f>IF($AB$28="N",IF($C$13&gt;=80,80,IF($B41=$C$13,"",IF($B41="","",$C$13))),IF(OR($AB41="",$AB41&gt;$B$13),"",$AB41))</f>
        <v>80</v>
      </c>
      <c r="C42" s="379">
        <f t="shared" si="1"/>
        <v>1.2075379529823704</v>
      </c>
      <c r="D42" s="379">
        <f t="shared" si="2"/>
        <v>75.937714726430542</v>
      </c>
      <c r="E42" s="379">
        <f t="shared" si="3"/>
        <v>64.547057517465959</v>
      </c>
      <c r="F42" s="379">
        <f t="shared" si="4"/>
        <v>77.456469020959148</v>
      </c>
      <c r="G42" s="379">
        <f t="shared" si="5"/>
        <v>103.27529202794554</v>
      </c>
      <c r="H42" s="379">
        <f t="shared" si="6"/>
        <v>116.18470353143873</v>
      </c>
      <c r="I42" s="379">
        <f t="shared" si="7"/>
        <v>129.09411503493192</v>
      </c>
      <c r="J42" s="435"/>
      <c r="R42" s="446"/>
      <c r="T42" s="440"/>
      <c r="U42" s="440"/>
      <c r="V42" s="440"/>
      <c r="W42" s="440"/>
      <c r="AB42" s="267"/>
      <c r="AC42" s="536"/>
      <c r="AD42" s="536"/>
      <c r="AF42" s="364"/>
      <c r="AG42" s="364"/>
      <c r="AH42" s="364"/>
      <c r="AI42" s="364"/>
    </row>
    <row r="43" spans="1:35">
      <c r="A43" s="451" t="str">
        <f t="shared" si="0"/>
        <v/>
      </c>
      <c r="B43" s="231">
        <f>IF($AB$28="N",IF($C$13&gt;=90,90,IF($B42=$C$13,"",IF($B42="","",$C$13))),IF(OR($AB42="",$AB42&gt;$B$13),"",$AB42))</f>
        <v>90</v>
      </c>
      <c r="C43" s="379">
        <f t="shared" si="1"/>
        <v>1.2378549042427129</v>
      </c>
      <c r="D43" s="379">
        <f t="shared" si="2"/>
        <v>77.844238650168947</v>
      </c>
      <c r="E43" s="379">
        <f t="shared" si="3"/>
        <v>66.167602852643597</v>
      </c>
      <c r="F43" s="379">
        <f t="shared" si="4"/>
        <v>79.401123423172308</v>
      </c>
      <c r="G43" s="379">
        <f t="shared" si="5"/>
        <v>105.86816456422976</v>
      </c>
      <c r="H43" s="379">
        <f t="shared" si="6"/>
        <v>119.10168513475848</v>
      </c>
      <c r="I43" s="379">
        <f t="shared" si="7"/>
        <v>132.33520570528719</v>
      </c>
      <c r="J43" s="435"/>
      <c r="K43" s="447"/>
      <c r="R43" s="438"/>
      <c r="S43" s="51"/>
      <c r="T43" s="440"/>
      <c r="U43" s="440"/>
      <c r="V43" s="440"/>
      <c r="W43" s="440"/>
      <c r="AB43" s="267"/>
      <c r="AC43" s="536"/>
      <c r="AD43" s="536"/>
      <c r="AF43" s="364"/>
      <c r="AG43" s="364"/>
      <c r="AH43" s="364"/>
      <c r="AI43" s="364"/>
    </row>
    <row r="44" spans="1:35">
      <c r="A44" s="451" t="str">
        <f t="shared" si="0"/>
        <v/>
      </c>
      <c r="B44" s="231">
        <f>IF($AB$28="N",IF($C$13&gt;=100,100,IF($B43=$C$13,"",IF($B43="","",$C$13))),IF(OR($AB43="",$AB43&gt;$B$13),"",$AB43))</f>
        <v>100</v>
      </c>
      <c r="C44" s="379">
        <f t="shared" si="1"/>
        <v>1.2656187421700444</v>
      </c>
      <c r="D44" s="379">
        <f t="shared" si="2"/>
        <v>79.5902064676023</v>
      </c>
      <c r="E44" s="379">
        <f t="shared" si="3"/>
        <v>67.651675497461952</v>
      </c>
      <c r="F44" s="379">
        <f t="shared" si="4"/>
        <v>81.182010596954342</v>
      </c>
      <c r="G44" s="379">
        <f t="shared" si="5"/>
        <v>108.24268079593912</v>
      </c>
      <c r="H44" s="379">
        <f t="shared" si="6"/>
        <v>121.77301589543151</v>
      </c>
      <c r="I44" s="379">
        <f t="shared" si="7"/>
        <v>135.3033509949239</v>
      </c>
      <c r="J44" s="435"/>
      <c r="R44" s="438"/>
      <c r="S44" s="51"/>
      <c r="T44" s="440"/>
      <c r="U44" s="440"/>
      <c r="V44" s="440"/>
      <c r="W44" s="440"/>
      <c r="AB44" s="267"/>
      <c r="AC44" s="536"/>
      <c r="AD44" s="536"/>
      <c r="AF44" s="365"/>
      <c r="AG44" s="365"/>
      <c r="AH44" s="365"/>
      <c r="AI44" s="365"/>
    </row>
    <row r="45" spans="1:35">
      <c r="A45" s="451" t="str">
        <f t="shared" si="0"/>
        <v/>
      </c>
      <c r="B45" s="231">
        <f>IF($AB$28="N",IF($C$13&gt;=120,120,IF($B44=$C$13,"",IF($B44="","",$C$13))),IF(OR($AB44="",$AB44&gt;$B$13),"",$AB44))</f>
        <v>120</v>
      </c>
      <c r="C45" s="379">
        <f t="shared" si="1"/>
        <v>1.3151419577740455</v>
      </c>
      <c r="D45" s="379">
        <f t="shared" si="2"/>
        <v>82.704543213361731</v>
      </c>
      <c r="E45" s="379">
        <f t="shared" si="3"/>
        <v>70.298861731357476</v>
      </c>
      <c r="F45" s="379">
        <f t="shared" si="4"/>
        <v>84.358634077628963</v>
      </c>
      <c r="G45" s="379">
        <f t="shared" si="5"/>
        <v>112.47817877017197</v>
      </c>
      <c r="H45" s="379">
        <f t="shared" si="6"/>
        <v>126.53795111644347</v>
      </c>
      <c r="I45" s="379">
        <f t="shared" si="7"/>
        <v>140.59772346271495</v>
      </c>
      <c r="J45" s="435"/>
      <c r="K45" s="436"/>
      <c r="R45" s="438"/>
      <c r="S45" s="51"/>
      <c r="T45" s="440"/>
      <c r="U45" s="440"/>
      <c r="V45" s="440"/>
      <c r="W45" s="440"/>
      <c r="AB45" s="267"/>
      <c r="AC45" s="536"/>
      <c r="AD45" s="536"/>
      <c r="AF45" s="365"/>
      <c r="AG45" s="365"/>
      <c r="AH45" s="365"/>
      <c r="AI45" s="365"/>
    </row>
    <row r="46" spans="1:35">
      <c r="A46" s="451" t="str">
        <f t="shared" si="0"/>
        <v>For z = h:</v>
      </c>
      <c r="B46" s="231">
        <f>IF($AB$28="N",IF($C$13&gt;=140,140,IF($B45=$C$13,"",IF($B45="","",$C$13))),IF(OR($AB45="",$AB45&gt;$B$13),"",$AB45))</f>
        <v>125</v>
      </c>
      <c r="C46" s="379">
        <f t="shared" si="1"/>
        <v>1.3264931313968156</v>
      </c>
      <c r="D46" s="379">
        <f t="shared" si="2"/>
        <v>83.418377658272703</v>
      </c>
      <c r="E46" s="379">
        <f t="shared" si="3"/>
        <v>70.905621009531799</v>
      </c>
      <c r="F46" s="379">
        <f t="shared" si="4"/>
        <v>85.086745211438156</v>
      </c>
      <c r="G46" s="379">
        <f t="shared" si="5"/>
        <v>113.44899361525088</v>
      </c>
      <c r="H46" s="379">
        <f t="shared" si="6"/>
        <v>127.63011781715724</v>
      </c>
      <c r="I46" s="379">
        <f t="shared" si="7"/>
        <v>141.8112420190636</v>
      </c>
      <c r="J46" s="435"/>
      <c r="K46" s="436"/>
      <c r="R46" s="438"/>
      <c r="S46" s="374"/>
      <c r="T46" s="440"/>
      <c r="U46" s="440"/>
      <c r="V46" s="440"/>
      <c r="W46" s="440"/>
      <c r="AB46" s="267"/>
      <c r="AC46" s="536"/>
      <c r="AD46" s="536"/>
      <c r="AF46" s="365"/>
      <c r="AG46" s="365"/>
      <c r="AH46" s="365"/>
      <c r="AI46" s="365"/>
    </row>
    <row r="47" spans="1:35">
      <c r="A47" s="413" t="str">
        <f t="shared" si="0"/>
        <v/>
      </c>
      <c r="B47" s="231" t="str">
        <f>IF($AB$28="N",IF($C$13&gt;=160,160,IF($B46=$C$13,"",IF($B46="","",$C$13))),IF(OR($AB46="",$AB46&gt;$B$13),"",$AB46))</f>
        <v/>
      </c>
      <c r="C47" s="379" t="str">
        <f t="shared" si="1"/>
        <v/>
      </c>
      <c r="D47" s="379" t="str">
        <f t="shared" si="2"/>
        <v/>
      </c>
      <c r="E47" s="379" t="str">
        <f t="shared" si="3"/>
        <v/>
      </c>
      <c r="F47" s="379" t="str">
        <f t="shared" si="4"/>
        <v/>
      </c>
      <c r="G47" s="379" t="str">
        <f t="shared" si="5"/>
        <v/>
      </c>
      <c r="H47" s="379" t="str">
        <f t="shared" si="6"/>
        <v/>
      </c>
      <c r="I47" s="379" t="str">
        <f t="shared" si="7"/>
        <v/>
      </c>
      <c r="J47" s="435"/>
      <c r="K47" s="436"/>
      <c r="R47" s="438"/>
      <c r="S47" s="374"/>
      <c r="T47" s="440"/>
      <c r="U47" s="440"/>
      <c r="V47" s="440"/>
      <c r="W47" s="440"/>
      <c r="AB47" s="267"/>
      <c r="AC47" s="536"/>
      <c r="AD47" s="536"/>
      <c r="AF47" s="365"/>
      <c r="AG47" s="365"/>
      <c r="AH47" s="365"/>
      <c r="AI47" s="365"/>
    </row>
    <row r="48" spans="1:35">
      <c r="A48" s="451" t="str">
        <f t="shared" si="0"/>
        <v/>
      </c>
      <c r="B48" s="231" t="str">
        <f>IF($AB$28="N",IF($C$13&gt;=180,180,IF($B47=$C$13,"",IF($B47="","",$C$13))),IF(OR($AB47="",$AB47&gt;$B$13),"",$AB47))</f>
        <v/>
      </c>
      <c r="C48" s="379" t="str">
        <f t="shared" si="1"/>
        <v/>
      </c>
      <c r="D48" s="379" t="str">
        <f t="shared" si="2"/>
        <v/>
      </c>
      <c r="E48" s="379" t="str">
        <f t="shared" si="3"/>
        <v/>
      </c>
      <c r="F48" s="379" t="str">
        <f t="shared" si="4"/>
        <v/>
      </c>
      <c r="G48" s="379" t="str">
        <f t="shared" si="5"/>
        <v/>
      </c>
      <c r="H48" s="379" t="str">
        <f t="shared" si="6"/>
        <v/>
      </c>
      <c r="I48" s="379" t="str">
        <f t="shared" si="7"/>
        <v/>
      </c>
      <c r="J48" s="435"/>
      <c r="K48" s="436"/>
      <c r="R48" s="438"/>
      <c r="S48" s="376"/>
      <c r="T48" s="440"/>
      <c r="U48" s="440"/>
      <c r="V48" s="440"/>
      <c r="W48" s="440"/>
      <c r="AB48" s="267"/>
      <c r="AC48" s="536"/>
      <c r="AD48" s="536"/>
      <c r="AF48" s="365"/>
      <c r="AG48" s="365"/>
      <c r="AH48" s="365"/>
      <c r="AI48" s="365"/>
    </row>
    <row r="49" spans="1:35">
      <c r="A49" s="451" t="str">
        <f t="shared" si="0"/>
        <v/>
      </c>
      <c r="B49" s="231" t="str">
        <f>IF($AB$28="N",IF($C$13&gt;=200,200,IF($B48=$C$13,"",IF($B48="","",$C$13))),IF(OR($AB48="",$AB48&gt;$B$13),"",$AB48))</f>
        <v/>
      </c>
      <c r="C49" s="379" t="str">
        <f t="shared" si="1"/>
        <v/>
      </c>
      <c r="D49" s="379" t="str">
        <f t="shared" si="2"/>
        <v/>
      </c>
      <c r="E49" s="379" t="str">
        <f t="shared" si="3"/>
        <v/>
      </c>
      <c r="F49" s="379" t="str">
        <f t="shared" si="4"/>
        <v/>
      </c>
      <c r="G49" s="379" t="str">
        <f t="shared" si="5"/>
        <v/>
      </c>
      <c r="H49" s="379" t="str">
        <f t="shared" si="6"/>
        <v/>
      </c>
      <c r="I49" s="379" t="str">
        <f t="shared" si="7"/>
        <v/>
      </c>
      <c r="J49" s="435"/>
      <c r="AB49" s="267"/>
      <c r="AC49" s="536"/>
      <c r="AD49" s="536"/>
      <c r="AF49" s="365"/>
      <c r="AG49" s="365"/>
      <c r="AH49" s="365"/>
      <c r="AI49" s="365"/>
    </row>
    <row r="50" spans="1:35">
      <c r="A50" s="451" t="str">
        <f t="shared" si="0"/>
        <v/>
      </c>
      <c r="B50" s="231" t="str">
        <f>IF($AB$28="N",IF($C$13&gt;=250,250,IF($B49=$C$13,"",IF($B49="","",$C$13))),IF(OR($AB49="",$AB49&gt;$B$13),"",$AB49))</f>
        <v/>
      </c>
      <c r="C50" s="379" t="str">
        <f t="shared" si="1"/>
        <v/>
      </c>
      <c r="D50" s="379" t="str">
        <f t="shared" si="2"/>
        <v/>
      </c>
      <c r="E50" s="379" t="str">
        <f t="shared" si="3"/>
        <v/>
      </c>
      <c r="F50" s="379" t="str">
        <f t="shared" si="4"/>
        <v/>
      </c>
      <c r="G50" s="379" t="str">
        <f t="shared" si="5"/>
        <v/>
      </c>
      <c r="H50" s="379" t="str">
        <f t="shared" si="6"/>
        <v/>
      </c>
      <c r="I50" s="379" t="str">
        <f t="shared" si="7"/>
        <v/>
      </c>
      <c r="J50" s="435"/>
      <c r="AB50" s="267"/>
      <c r="AC50" s="536"/>
      <c r="AD50" s="536"/>
    </row>
    <row r="51" spans="1:35">
      <c r="A51" s="451" t="str">
        <f t="shared" si="0"/>
        <v/>
      </c>
      <c r="B51" s="231" t="str">
        <f>IF($AB$28="N",IF($C$13&gt;=300,300,IF($B50=$C$13,"",IF($B50="","",$C$13))),IF(OR($AB50="",$AB50&gt;$B$13),"",$AB50))</f>
        <v/>
      </c>
      <c r="C51" s="379" t="str">
        <f t="shared" si="1"/>
        <v/>
      </c>
      <c r="D51" s="379" t="str">
        <f t="shared" si="2"/>
        <v/>
      </c>
      <c r="E51" s="379" t="str">
        <f t="shared" si="3"/>
        <v/>
      </c>
      <c r="F51" s="379" t="str">
        <f t="shared" si="4"/>
        <v/>
      </c>
      <c r="G51" s="379" t="str">
        <f t="shared" si="5"/>
        <v/>
      </c>
      <c r="H51" s="379" t="str">
        <f t="shared" si="6"/>
        <v/>
      </c>
      <c r="I51" s="379" t="str">
        <f t="shared" si="7"/>
        <v/>
      </c>
      <c r="J51" s="435"/>
      <c r="AB51" s="267"/>
      <c r="AC51" s="536"/>
      <c r="AD51" s="536"/>
    </row>
    <row r="52" spans="1:35">
      <c r="A52" s="384" t="str">
        <f t="shared" si="0"/>
        <v/>
      </c>
      <c r="B52" s="231" t="str">
        <f>IF($AB$28="N",IF($C$13&gt;=350,350,IF($B51=$C$13,"",IF($B51="","",$C$13))),IF(OR($AB51="",$AB51&gt;$B$13),"",$AB51))</f>
        <v/>
      </c>
      <c r="C52" s="379" t="str">
        <f t="shared" si="1"/>
        <v/>
      </c>
      <c r="D52" s="379" t="str">
        <f t="shared" si="2"/>
        <v/>
      </c>
      <c r="E52" s="379" t="str">
        <f t="shared" si="3"/>
        <v/>
      </c>
      <c r="F52" s="379" t="str">
        <f t="shared" si="4"/>
        <v/>
      </c>
      <c r="G52" s="379" t="str">
        <f t="shared" si="5"/>
        <v/>
      </c>
      <c r="H52" s="379" t="str">
        <f t="shared" si="6"/>
        <v/>
      </c>
      <c r="I52" s="379" t="str">
        <f t="shared" si="7"/>
        <v/>
      </c>
      <c r="J52" s="435"/>
      <c r="AB52" s="267"/>
      <c r="AC52" s="536"/>
      <c r="AD52" s="536"/>
    </row>
    <row r="53" spans="1:35">
      <c r="A53" s="452" t="str">
        <f t="shared" si="0"/>
        <v/>
      </c>
      <c r="B53" s="231" t="str">
        <f>IF($AB$28="N",IF($C$13&gt;=400,400,IF($B52=$C$13,"",IF($B52="","",$C$13))),IF(OR($AB52="",$AB52&gt;$B$13),"",$AB52))</f>
        <v/>
      </c>
      <c r="C53" s="379" t="str">
        <f t="shared" si="1"/>
        <v/>
      </c>
      <c r="D53" s="379" t="str">
        <f t="shared" si="2"/>
        <v/>
      </c>
      <c r="E53" s="379" t="str">
        <f t="shared" si="3"/>
        <v/>
      </c>
      <c r="F53" s="379" t="str">
        <f t="shared" si="4"/>
        <v/>
      </c>
      <c r="G53" s="379" t="str">
        <f t="shared" si="5"/>
        <v/>
      </c>
      <c r="H53" s="379" t="str">
        <f t="shared" si="6"/>
        <v/>
      </c>
      <c r="I53" s="379" t="str">
        <f t="shared" si="7"/>
        <v/>
      </c>
      <c r="J53" s="435"/>
      <c r="AB53" s="267"/>
      <c r="AC53" s="536"/>
      <c r="AD53" s="536"/>
    </row>
    <row r="54" spans="1:35">
      <c r="A54" s="453" t="str">
        <f t="shared" si="0"/>
        <v/>
      </c>
      <c r="B54" s="231" t="str">
        <f>IF($AB$28="N",IF($C$13&gt;=450,450,IF($B53=$C$13,"",IF($B53="","",$C$13))),IF(OR($AB53="",$AB53&gt;$B$13),"",$AB53))</f>
        <v/>
      </c>
      <c r="C54" s="379" t="str">
        <f t="shared" si="1"/>
        <v/>
      </c>
      <c r="D54" s="379" t="str">
        <f t="shared" si="2"/>
        <v/>
      </c>
      <c r="E54" s="379" t="str">
        <f t="shared" si="3"/>
        <v/>
      </c>
      <c r="F54" s="379" t="str">
        <f t="shared" si="4"/>
        <v/>
      </c>
      <c r="G54" s="379" t="str">
        <f t="shared" si="5"/>
        <v/>
      </c>
      <c r="H54" s="379" t="str">
        <f t="shared" si="6"/>
        <v/>
      </c>
      <c r="I54" s="379" t="str">
        <f t="shared" si="7"/>
        <v/>
      </c>
      <c r="J54" s="435"/>
      <c r="AB54" s="342"/>
      <c r="AC54" s="536"/>
      <c r="AD54" s="536"/>
    </row>
    <row r="55" spans="1:35">
      <c r="A55" s="384" t="str">
        <f t="shared" si="0"/>
        <v/>
      </c>
      <c r="B55" s="232" t="str">
        <f>IF($AB$28="N",IF($C$13&gt;=500,500,IF($B54=$C$13,"",IF($B54="","",$C$13))),IF(OR($AB54="",$AB54&gt;$B$13),"",$AB54))</f>
        <v/>
      </c>
      <c r="C55" s="448" t="str">
        <f t="shared" si="1"/>
        <v/>
      </c>
      <c r="D55" s="448" t="str">
        <f t="shared" si="2"/>
        <v/>
      </c>
      <c r="E55" s="448" t="str">
        <f t="shared" si="3"/>
        <v/>
      </c>
      <c r="F55" s="448" t="str">
        <f t="shared" si="4"/>
        <v/>
      </c>
      <c r="G55" s="448" t="str">
        <f t="shared" si="5"/>
        <v/>
      </c>
      <c r="H55" s="448" t="str">
        <f t="shared" si="6"/>
        <v/>
      </c>
      <c r="I55" s="448" t="str">
        <f t="shared" si="7"/>
        <v/>
      </c>
      <c r="J55" s="435"/>
    </row>
    <row r="56" spans="1:35">
      <c r="A56" s="54"/>
      <c r="B56" s="367"/>
      <c r="C56" s="367"/>
      <c r="D56" s="367"/>
      <c r="E56" s="367"/>
      <c r="F56" s="367"/>
      <c r="G56" s="367"/>
      <c r="H56" s="367"/>
      <c r="I56" s="367"/>
      <c r="J56" s="449"/>
    </row>
    <row r="57" spans="1:35">
      <c r="A57" s="381"/>
      <c r="B57" s="382"/>
      <c r="C57" s="382"/>
      <c r="D57" s="382"/>
      <c r="E57" s="382"/>
      <c r="F57" s="382"/>
      <c r="G57" s="382"/>
      <c r="H57" s="382"/>
      <c r="I57" s="259"/>
      <c r="J57" s="254"/>
    </row>
    <row r="58" spans="1:35">
      <c r="A58" s="383" t="s">
        <v>334</v>
      </c>
      <c r="B58" s="49"/>
      <c r="C58" s="49"/>
      <c r="D58" s="49"/>
      <c r="E58" s="49"/>
      <c r="F58" s="49"/>
      <c r="G58" s="49"/>
      <c r="H58" s="49"/>
      <c r="I58" s="57"/>
      <c r="J58" s="255"/>
    </row>
    <row r="59" spans="1:35">
      <c r="A59" s="280"/>
      <c r="B59" s="49"/>
      <c r="C59" s="49"/>
      <c r="D59" s="49"/>
      <c r="E59" s="49"/>
      <c r="F59" s="49"/>
      <c r="G59" s="49"/>
      <c r="H59" s="49"/>
      <c r="I59" s="57"/>
      <c r="J59" s="260"/>
    </row>
    <row r="60" spans="1:35">
      <c r="A60" s="384" t="s">
        <v>439</v>
      </c>
      <c r="B60" s="385" t="str">
        <f>IF($B$91&lt;1,"Yes","No")</f>
        <v>No</v>
      </c>
      <c r="C60" s="157" t="str">
        <f>IF($B$91&gt;=1,"f &gt;=1 Hz.","f &lt; 1 Hz.")</f>
        <v>f &gt;=1 Hz.</v>
      </c>
      <c r="D60" s="49"/>
      <c r="E60" s="49"/>
      <c r="F60" s="49"/>
      <c r="G60" s="49"/>
      <c r="H60" s="49"/>
      <c r="I60" s="49"/>
      <c r="J60" s="386"/>
    </row>
    <row r="61" spans="1:35">
      <c r="A61" s="280"/>
      <c r="B61" s="49"/>
      <c r="C61" s="49"/>
      <c r="D61" s="49"/>
      <c r="E61" s="49"/>
      <c r="F61" s="49"/>
      <c r="G61" s="49"/>
      <c r="H61" s="49"/>
      <c r="I61" s="49"/>
      <c r="J61" s="387"/>
    </row>
    <row r="62" spans="1:35">
      <c r="A62" s="388" t="s">
        <v>384</v>
      </c>
      <c r="B62" s="49"/>
      <c r="C62" s="90"/>
      <c r="D62" s="49"/>
      <c r="E62" s="90"/>
      <c r="F62" s="49"/>
      <c r="G62" s="49"/>
      <c r="H62" s="49"/>
      <c r="I62" s="49"/>
      <c r="J62" s="387"/>
    </row>
    <row r="63" spans="1:35">
      <c r="A63" s="384" t="s">
        <v>254</v>
      </c>
      <c r="B63" s="389">
        <f>IF($B$60="No",0.85,"N.A.")</f>
        <v>0.85</v>
      </c>
      <c r="C63" s="49"/>
      <c r="D63" s="49"/>
      <c r="E63" s="49"/>
      <c r="F63" s="49"/>
      <c r="G63" s="49"/>
      <c r="H63" s="49"/>
      <c r="I63" s="49"/>
      <c r="J63" s="387"/>
    </row>
    <row r="64" spans="1:35">
      <c r="A64" s="280"/>
      <c r="B64" s="49"/>
      <c r="C64" s="49"/>
      <c r="D64" s="49"/>
      <c r="E64" s="49"/>
      <c r="F64" s="49"/>
      <c r="G64" s="49"/>
      <c r="H64" s="49"/>
      <c r="I64" s="49"/>
      <c r="J64" s="387"/>
    </row>
    <row r="65" spans="1:10">
      <c r="A65" s="643" t="s">
        <v>562</v>
      </c>
      <c r="B65" s="49"/>
      <c r="C65" s="49"/>
      <c r="D65" s="49"/>
      <c r="E65" s="49"/>
      <c r="F65" s="49"/>
      <c r="G65" s="49"/>
      <c r="H65" s="366"/>
      <c r="I65" s="49"/>
      <c r="J65" s="387"/>
    </row>
    <row r="66" spans="1:10">
      <c r="A66" s="390" t="s">
        <v>250</v>
      </c>
      <c r="B66" s="250">
        <f>IF($C$11="A",1/5,IF($C$11="B",1/7,IF($C$11="C",1/9.5,IF($C$11="D",1/11.5,"Error!"))))</f>
        <v>0.10526315789473684</v>
      </c>
      <c r="C66" s="391"/>
      <c r="D66" s="49"/>
      <c r="E66" s="49"/>
      <c r="F66" s="49"/>
      <c r="G66" s="49"/>
      <c r="H66" s="392"/>
      <c r="I66" s="393"/>
      <c r="J66" s="387"/>
    </row>
    <row r="67" spans="1:10">
      <c r="A67" s="394" t="s">
        <v>251</v>
      </c>
      <c r="B67" s="225">
        <f>IF($C$11="A",0.64,IF($C$11="B",0.84,IF($C$11="C",1,IF($C$11="D",1.07,"Error!"))))</f>
        <v>1</v>
      </c>
      <c r="C67" s="391"/>
      <c r="D67" s="49"/>
      <c r="E67" s="49"/>
      <c r="F67" s="49"/>
      <c r="G67" s="49"/>
      <c r="H67" s="395"/>
      <c r="I67" s="90"/>
      <c r="J67" s="387"/>
    </row>
    <row r="68" spans="1:10">
      <c r="A68" s="390" t="s">
        <v>249</v>
      </c>
      <c r="B68" s="251">
        <f>IF($C$11="A",1/3,IF($C$11="B",1/4,IF($C$11="C",1/6.5,IF($C$11="D",1/9,"Error!"))))</f>
        <v>0.15384615384615385</v>
      </c>
      <c r="C68" s="391"/>
      <c r="D68" s="49"/>
      <c r="E68" s="49"/>
      <c r="F68" s="49"/>
      <c r="G68" s="49"/>
      <c r="H68" s="392"/>
      <c r="I68" s="393"/>
      <c r="J68" s="387"/>
    </row>
    <row r="69" spans="1:10">
      <c r="A69" s="394" t="s">
        <v>227</v>
      </c>
      <c r="B69" s="225">
        <f>IF($C$11="A",0.3,IF($C$11="B",0.45,IF($C$11="C",0.65,IF($C$11="D",0.8,"Error!"))))</f>
        <v>0.65</v>
      </c>
      <c r="C69" s="391"/>
      <c r="D69" s="49"/>
      <c r="E69" s="49"/>
      <c r="F69" s="49"/>
      <c r="G69" s="49"/>
      <c r="H69" s="395"/>
      <c r="I69" s="90"/>
      <c r="J69" s="387"/>
    </row>
    <row r="70" spans="1:10">
      <c r="A70" s="384" t="s">
        <v>229</v>
      </c>
      <c r="B70" s="225">
        <f>IF($C$11="A",0.45,IF($C$11="B",0.3,IF($C$11="C",0.2,IF($C$11="D",0.15,"Error!"))))</f>
        <v>0.2</v>
      </c>
      <c r="C70" s="391"/>
      <c r="D70" s="49"/>
      <c r="E70" s="49"/>
      <c r="F70" s="49"/>
      <c r="G70" s="49"/>
      <c r="H70" s="366"/>
      <c r="I70" s="90"/>
      <c r="J70" s="387"/>
    </row>
    <row r="71" spans="1:10">
      <c r="A71" s="396" t="s">
        <v>255</v>
      </c>
      <c r="B71" s="397">
        <f>IF($C$11="A",180,IF($C$11="B",320,IF($C$11="C",500,IF($C$11="D",650,"Error!"))))</f>
        <v>500</v>
      </c>
      <c r="C71" s="391" t="s">
        <v>200</v>
      </c>
      <c r="D71" s="49"/>
      <c r="E71" s="49"/>
      <c r="F71" s="49"/>
      <c r="G71" s="49"/>
      <c r="H71" s="49"/>
      <c r="I71" s="49"/>
      <c r="J71" s="387"/>
    </row>
    <row r="72" spans="1:10">
      <c r="A72" s="398" t="s">
        <v>382</v>
      </c>
      <c r="B72" s="251">
        <f>IF($C$11="A",1/2,IF($C$11="B",1/3,IF($C$11="C",1/5,IF($C$11="D",1/8,"Error!"))))</f>
        <v>0.2</v>
      </c>
      <c r="C72" s="391"/>
      <c r="D72" s="49"/>
      <c r="E72" s="49"/>
      <c r="F72" s="49"/>
      <c r="G72" s="49"/>
      <c r="H72" s="49"/>
      <c r="I72" s="49"/>
      <c r="J72" s="387"/>
    </row>
    <row r="73" spans="1:10">
      <c r="A73" s="384" t="s">
        <v>232</v>
      </c>
      <c r="B73" s="399">
        <f>IF($C$11="A",60,IF($C$11="B",30,IF($C$11="C",15,IF($C$11="D",7,"Error!"))))</f>
        <v>15</v>
      </c>
      <c r="C73" s="391" t="s">
        <v>200</v>
      </c>
      <c r="D73" s="49"/>
      <c r="E73" s="49"/>
      <c r="F73" s="49"/>
      <c r="G73" s="49"/>
      <c r="H73" s="49"/>
      <c r="I73" s="49"/>
      <c r="J73" s="387"/>
    </row>
    <row r="74" spans="1:10">
      <c r="A74" s="280"/>
      <c r="B74" s="49"/>
      <c r="C74" s="49"/>
      <c r="D74" s="49"/>
      <c r="E74" s="49"/>
      <c r="F74" s="49"/>
      <c r="G74" s="49"/>
      <c r="H74" s="49"/>
      <c r="I74" s="49"/>
      <c r="J74" s="387"/>
    </row>
    <row r="75" spans="1:10">
      <c r="A75" s="280" t="s">
        <v>451</v>
      </c>
      <c r="B75" s="49"/>
      <c r="C75" s="49"/>
      <c r="D75" s="49"/>
      <c r="E75" s="49"/>
      <c r="F75" s="49"/>
      <c r="G75" s="49"/>
      <c r="H75" s="400"/>
      <c r="I75" s="401"/>
      <c r="J75" s="387"/>
    </row>
    <row r="76" spans="1:10">
      <c r="A76" s="384" t="s">
        <v>234</v>
      </c>
      <c r="B76" s="219">
        <f>IF(0.6*$C$13&lt;$B$73,$B$73,0.6*$C$13)</f>
        <v>75</v>
      </c>
      <c r="C76" s="402" t="s">
        <v>364</v>
      </c>
      <c r="D76" s="366"/>
      <c r="E76" s="401"/>
      <c r="F76" s="49"/>
      <c r="G76" s="49"/>
      <c r="H76" s="403"/>
      <c r="I76" s="401"/>
      <c r="J76" s="387"/>
    </row>
    <row r="77" spans="1:10">
      <c r="A77" s="384" t="s">
        <v>235</v>
      </c>
      <c r="B77" s="251">
        <f>$B$70*(33/$B$76)^(1/6)</f>
        <v>0.17442367868523798</v>
      </c>
      <c r="C77" s="404" t="s">
        <v>2</v>
      </c>
      <c r="D77" s="366"/>
      <c r="E77" s="405"/>
      <c r="F77" s="49"/>
      <c r="G77" s="49"/>
      <c r="H77" s="366"/>
      <c r="I77" s="393"/>
      <c r="J77" s="387"/>
    </row>
    <row r="78" spans="1:10">
      <c r="A78" s="384" t="s">
        <v>237</v>
      </c>
      <c r="B78" s="225">
        <f>$B$71*($B$76/33)^$B$72</f>
        <v>589.22269892396127</v>
      </c>
      <c r="C78" s="404" t="s">
        <v>21</v>
      </c>
      <c r="D78" s="366"/>
      <c r="E78" s="405"/>
      <c r="F78" s="49"/>
      <c r="G78" s="49"/>
      <c r="H78" s="366"/>
      <c r="I78" s="49"/>
      <c r="J78" s="387"/>
    </row>
    <row r="79" spans="1:10">
      <c r="A79" s="384" t="s">
        <v>377</v>
      </c>
      <c r="B79" s="406">
        <v>3.4</v>
      </c>
      <c r="C79" s="436" t="s">
        <v>632</v>
      </c>
      <c r="D79" s="49"/>
      <c r="E79" s="49"/>
      <c r="F79" s="49"/>
      <c r="G79" s="49"/>
      <c r="H79" s="49"/>
      <c r="I79" s="49"/>
      <c r="J79" s="387"/>
    </row>
    <row r="80" spans="1:10">
      <c r="A80" s="384" t="s">
        <v>378</v>
      </c>
      <c r="B80" s="406">
        <v>3.4</v>
      </c>
      <c r="C80" s="436" t="s">
        <v>632</v>
      </c>
      <c r="D80" s="49"/>
      <c r="E80" s="49"/>
      <c r="F80" s="49"/>
      <c r="G80" s="49"/>
      <c r="H80" s="49"/>
      <c r="I80" s="49"/>
      <c r="J80" s="387"/>
    </row>
    <row r="81" spans="1:10">
      <c r="A81" s="384" t="s">
        <v>379</v>
      </c>
      <c r="B81" s="407">
        <f>(2*(LN(3600*$B$91)))^(1/2)+0.577/(2*LN(3600*$B$91))^(1/2)</f>
        <v>4.2582373245974043</v>
      </c>
      <c r="C81" s="644" t="s">
        <v>567</v>
      </c>
      <c r="D81" s="49"/>
      <c r="E81" s="49"/>
      <c r="F81" s="49"/>
      <c r="G81" s="49"/>
      <c r="H81" s="49"/>
      <c r="I81" s="393"/>
      <c r="J81" s="387"/>
    </row>
    <row r="82" spans="1:10">
      <c r="A82" s="384" t="s">
        <v>238</v>
      </c>
      <c r="B82" s="408">
        <f>SQRT(1/(1+0.63*(($C$14+$C$13)/$B$78)^0.63))</f>
        <v>0.84824934178215916</v>
      </c>
      <c r="C82" s="645" t="s">
        <v>568</v>
      </c>
      <c r="D82" s="366"/>
      <c r="E82" s="405"/>
      <c r="F82" s="49"/>
      <c r="G82" s="49"/>
      <c r="H82" s="366"/>
      <c r="I82" s="393"/>
      <c r="J82" s="387"/>
    </row>
    <row r="83" spans="1:10">
      <c r="A83" s="280"/>
      <c r="B83" s="49"/>
      <c r="C83" s="49"/>
      <c r="D83" s="49"/>
      <c r="E83" s="49"/>
      <c r="F83" s="49"/>
      <c r="G83" s="49"/>
      <c r="H83" s="49"/>
      <c r="I83" s="49"/>
      <c r="J83" s="387"/>
    </row>
    <row r="84" spans="1:10">
      <c r="A84" s="409" t="s">
        <v>422</v>
      </c>
      <c r="B84" s="49"/>
      <c r="C84" s="49"/>
      <c r="D84" s="49"/>
      <c r="E84" s="49"/>
      <c r="F84" s="49"/>
      <c r="G84" s="49"/>
      <c r="H84" s="366"/>
      <c r="I84" s="393"/>
      <c r="J84" s="387"/>
    </row>
    <row r="85" spans="1:10">
      <c r="A85" s="384" t="s">
        <v>254</v>
      </c>
      <c r="B85" s="410">
        <f>IF($B$60="No",0.925*((1+1.7*3.4*$B$77*$B$82)/(1+1.7*3.4*$B$77)),"N.A.")</f>
        <v>0.85452982216444928</v>
      </c>
      <c r="C85" s="645" t="s">
        <v>569</v>
      </c>
      <c r="D85" s="49"/>
      <c r="E85" s="49"/>
      <c r="F85" s="49"/>
      <c r="G85" s="49"/>
      <c r="H85" s="49"/>
      <c r="I85" s="49"/>
      <c r="J85" s="387"/>
    </row>
    <row r="86" spans="1:10">
      <c r="A86" s="280"/>
      <c r="B86" s="49"/>
      <c r="C86" s="49"/>
      <c r="D86" s="49"/>
      <c r="E86" s="49"/>
      <c r="F86" s="49"/>
      <c r="G86" s="49"/>
      <c r="H86" s="49"/>
      <c r="I86" s="49"/>
      <c r="J86" s="387"/>
    </row>
    <row r="87" spans="1:10">
      <c r="A87" s="409" t="s">
        <v>423</v>
      </c>
      <c r="B87" s="49"/>
      <c r="C87" s="49"/>
      <c r="D87" s="49"/>
      <c r="E87" s="49"/>
      <c r="F87" s="49"/>
      <c r="G87" s="49"/>
      <c r="H87" s="49"/>
      <c r="I87" s="49"/>
      <c r="J87" s="387"/>
    </row>
    <row r="88" spans="1:10">
      <c r="A88" s="411" t="s">
        <v>253</v>
      </c>
      <c r="B88" s="250">
        <f>$C$16</f>
        <v>0.01</v>
      </c>
      <c r="C88" s="412" t="s">
        <v>337</v>
      </c>
      <c r="D88" s="49"/>
      <c r="E88" s="49"/>
      <c r="F88" s="49"/>
      <c r="G88" s="49"/>
      <c r="H88" s="49"/>
      <c r="I88" s="49"/>
      <c r="J88" s="387"/>
    </row>
    <row r="89" spans="1:10">
      <c r="A89" s="413" t="s">
        <v>248</v>
      </c>
      <c r="B89" s="251">
        <f>$C$17</f>
        <v>0.02</v>
      </c>
      <c r="C89" s="412" t="s">
        <v>335</v>
      </c>
      <c r="D89" s="49"/>
      <c r="E89" s="49"/>
      <c r="F89" s="49"/>
      <c r="G89" s="49"/>
      <c r="H89" s="49"/>
      <c r="I89" s="49"/>
      <c r="J89" s="387"/>
    </row>
    <row r="90" spans="1:10">
      <c r="A90" s="384" t="s">
        <v>344</v>
      </c>
      <c r="B90" s="251">
        <f>$B$89*$C$13^(3/4)</f>
        <v>0.74767439061061025</v>
      </c>
      <c r="C90" s="402" t="s">
        <v>453</v>
      </c>
      <c r="D90" s="49"/>
      <c r="E90" s="49"/>
      <c r="F90" s="49"/>
      <c r="G90" s="49"/>
      <c r="H90" s="49"/>
      <c r="I90" s="49"/>
      <c r="J90" s="387"/>
    </row>
    <row r="91" spans="1:10">
      <c r="A91" s="384" t="s">
        <v>336</v>
      </c>
      <c r="B91" s="251">
        <f>1/$B$90</f>
        <v>1.337480609952844</v>
      </c>
      <c r="C91" s="402" t="s">
        <v>452</v>
      </c>
      <c r="D91" s="49"/>
      <c r="E91" s="49"/>
      <c r="F91" s="49"/>
      <c r="G91" s="49"/>
      <c r="H91" s="49"/>
      <c r="I91" s="49"/>
      <c r="J91" s="387"/>
    </row>
    <row r="92" spans="1:10">
      <c r="A92" s="394" t="s">
        <v>385</v>
      </c>
      <c r="B92" s="225" t="str">
        <f>IF($B$60="Yes",$C$9*5280/3600,"N.A.")</f>
        <v>N.A.</v>
      </c>
      <c r="C92" s="402" t="s">
        <v>383</v>
      </c>
      <c r="D92" s="49"/>
      <c r="E92" s="49"/>
      <c r="F92" s="49"/>
      <c r="G92" s="49"/>
      <c r="H92" s="49"/>
      <c r="I92" s="49"/>
      <c r="J92" s="387"/>
    </row>
    <row r="93" spans="1:10">
      <c r="A93" s="384" t="s">
        <v>228</v>
      </c>
      <c r="B93" s="225" t="str">
        <f>IF($B$60="Yes",$B$69*($B$76/33)^$B$68*$B$92,"N.A.")</f>
        <v>N.A.</v>
      </c>
      <c r="C93" s="645" t="s">
        <v>570</v>
      </c>
      <c r="D93" s="414"/>
      <c r="E93" s="405"/>
      <c r="F93" s="49"/>
      <c r="G93" s="49"/>
      <c r="H93" s="49"/>
      <c r="I93" s="49"/>
      <c r="J93" s="387"/>
    </row>
    <row r="94" spans="1:10">
      <c r="A94" s="384" t="s">
        <v>230</v>
      </c>
      <c r="B94" s="251" t="str">
        <f>IF($B$60="Yes",$B$91*$B$78/$B$93,"N.A.")</f>
        <v>N.A.</v>
      </c>
      <c r="C94" s="645" t="s">
        <v>571</v>
      </c>
      <c r="D94" s="366"/>
      <c r="E94" s="405"/>
      <c r="F94" s="49"/>
      <c r="G94" s="49"/>
      <c r="H94" s="49"/>
      <c r="I94" s="49"/>
      <c r="J94" s="387"/>
    </row>
    <row r="95" spans="1:10">
      <c r="A95" s="384" t="s">
        <v>231</v>
      </c>
      <c r="B95" s="251" t="str">
        <f>IF($B$60="Yes",7.47*$B$94/(1+10.3*$B$94)^(5/3),"N.A.")</f>
        <v>N.A.</v>
      </c>
      <c r="C95" s="404" t="s">
        <v>3</v>
      </c>
      <c r="D95" s="414"/>
      <c r="E95" s="405"/>
      <c r="F95" s="49"/>
      <c r="G95" s="49"/>
      <c r="H95" s="49"/>
      <c r="I95" s="49"/>
      <c r="J95" s="387"/>
    </row>
    <row r="96" spans="1:10">
      <c r="A96" s="398" t="s">
        <v>252</v>
      </c>
      <c r="B96" s="251" t="str">
        <f>IF($B$60="Yes",4.6*$B$91*$C$13/$B$93,"N.A.")</f>
        <v>N.A.</v>
      </c>
      <c r="C96" s="402" t="s">
        <v>365</v>
      </c>
      <c r="D96" s="366"/>
      <c r="E96" s="405"/>
      <c r="F96" s="49"/>
      <c r="G96" s="49"/>
      <c r="H96" s="49"/>
      <c r="I96" s="49"/>
      <c r="J96" s="387"/>
    </row>
    <row r="97" spans="1:10">
      <c r="A97" s="384" t="s">
        <v>233</v>
      </c>
      <c r="B97" s="251" t="str">
        <f>IF($B$60="Yes",IF($B$96&gt;0,1/$B$96-1/(2*$B$96^2)*(1-EXP(-2*$B$96)),1),"N.A.")</f>
        <v>N.A.</v>
      </c>
      <c r="C97" s="645" t="s">
        <v>633</v>
      </c>
      <c r="D97" s="414"/>
      <c r="E97" s="405"/>
      <c r="F97" s="49"/>
      <c r="G97" s="49"/>
      <c r="H97" s="49"/>
      <c r="I97" s="49"/>
      <c r="J97" s="387"/>
    </row>
    <row r="98" spans="1:10">
      <c r="A98" s="398" t="s">
        <v>26</v>
      </c>
      <c r="B98" s="251" t="str">
        <f>IF($B$60="Yes",4.6*$B$91*$C$14/$B$93,"N.A.")</f>
        <v>N.A.</v>
      </c>
      <c r="C98" s="402" t="s">
        <v>394</v>
      </c>
      <c r="D98" s="366"/>
      <c r="E98" s="405"/>
      <c r="F98" s="49"/>
      <c r="G98" s="49"/>
      <c r="H98" s="49"/>
      <c r="I98" s="49"/>
      <c r="J98" s="387"/>
    </row>
    <row r="99" spans="1:10">
      <c r="A99" s="384" t="s">
        <v>381</v>
      </c>
      <c r="B99" s="251" t="str">
        <f>IF($B$60="Yes",IF($B$98&gt;0,1/$B$98-1/(2*$B$98^2)*(1-EXP(-2*$B$98)),1),"N.A.")</f>
        <v>N.A.</v>
      </c>
      <c r="C99" s="645" t="s">
        <v>634</v>
      </c>
      <c r="D99" s="366"/>
      <c r="E99" s="405"/>
      <c r="F99" s="49"/>
      <c r="G99" s="49"/>
      <c r="H99" s="49"/>
      <c r="I99" s="49"/>
      <c r="J99" s="387"/>
    </row>
    <row r="100" spans="1:10">
      <c r="A100" s="398" t="s">
        <v>333</v>
      </c>
      <c r="B100" s="251" t="str">
        <f>IF($B$60="Yes",15.4*$B$91*$C$15/$B$93,"N.A.")</f>
        <v>N.A.</v>
      </c>
      <c r="C100" s="402" t="s">
        <v>450</v>
      </c>
      <c r="D100" s="366"/>
      <c r="E100" s="49"/>
      <c r="F100" s="49"/>
      <c r="G100" s="49"/>
      <c r="H100" s="49"/>
      <c r="I100" s="49"/>
      <c r="J100" s="387"/>
    </row>
    <row r="101" spans="1:10">
      <c r="A101" s="384" t="s">
        <v>380</v>
      </c>
      <c r="B101" s="251" t="str">
        <f>IF($B$60="Yes",IF($B$100&gt;0,1/$B$100-1/(2*$B$100^2)*(1-EXP(-2*$B$100)),1),"N.A.")</f>
        <v>N.A.</v>
      </c>
      <c r="C101" s="645" t="s">
        <v>635</v>
      </c>
      <c r="D101" s="49"/>
      <c r="E101" s="49"/>
      <c r="F101" s="49"/>
      <c r="G101" s="49"/>
      <c r="H101" s="49"/>
      <c r="I101" s="49"/>
      <c r="J101" s="415"/>
    </row>
    <row r="102" spans="1:10">
      <c r="A102" s="384" t="s">
        <v>239</v>
      </c>
      <c r="B102" s="251" t="str">
        <f>IF($B$60="Yes",SQRT(1/$B$88*$B$95*$B$97*$B$99*(0.53+0.47*$B$101)),"N.A.")</f>
        <v>N.A.</v>
      </c>
      <c r="C102" s="404" t="s">
        <v>22</v>
      </c>
      <c r="D102" s="49"/>
      <c r="E102" s="49"/>
      <c r="F102" s="49"/>
      <c r="G102" s="49"/>
      <c r="H102" s="49"/>
      <c r="I102" s="49"/>
      <c r="J102" s="387"/>
    </row>
    <row r="103" spans="1:10">
      <c r="A103" s="384" t="s">
        <v>341</v>
      </c>
      <c r="B103" s="251" t="str">
        <f>IF($B$60="Yes",0.925*(1+1.7*$B$77*($B$79^2*$B$82^2+$B$81^2*$B$102^2)^(1/2))/(1+1.7*$B$80*$B$77),"N.A.")</f>
        <v>N.A.</v>
      </c>
      <c r="C103" s="416" t="s">
        <v>636</v>
      </c>
      <c r="D103" s="49"/>
      <c r="E103" s="49"/>
      <c r="F103" s="49"/>
      <c r="G103" s="49"/>
      <c r="H103" s="49"/>
      <c r="I103" s="49"/>
      <c r="J103" s="387"/>
    </row>
    <row r="104" spans="1:10">
      <c r="A104" s="384" t="s">
        <v>338</v>
      </c>
      <c r="B104" s="408">
        <f>IF($B$60="No",MIN($B$63,$B$85),$B$103)</f>
        <v>0.85</v>
      </c>
      <c r="C104" s="49"/>
      <c r="D104" s="49"/>
      <c r="E104" s="49"/>
      <c r="F104" s="49"/>
      <c r="G104" s="49"/>
      <c r="H104" s="49"/>
      <c r="I104" s="49"/>
      <c r="J104" s="387"/>
    </row>
    <row r="105" spans="1:10">
      <c r="A105" s="280"/>
      <c r="B105" s="49"/>
      <c r="C105" s="49"/>
      <c r="D105" s="49"/>
      <c r="E105" s="49"/>
      <c r="F105" s="49"/>
      <c r="G105" s="49"/>
      <c r="H105" s="49"/>
      <c r="I105" s="49"/>
      <c r="J105" s="387"/>
    </row>
    <row r="106" spans="1:10">
      <c r="A106" s="280"/>
      <c r="B106" s="49"/>
      <c r="C106" s="49"/>
      <c r="D106" s="49"/>
      <c r="E106" s="49"/>
      <c r="F106" s="49"/>
      <c r="G106" s="49"/>
      <c r="H106" s="49"/>
      <c r="I106" s="49"/>
      <c r="J106" s="387"/>
    </row>
    <row r="107" spans="1:10">
      <c r="A107" s="280"/>
      <c r="B107" s="49"/>
      <c r="C107" s="49"/>
      <c r="D107" s="49"/>
      <c r="E107" s="49"/>
      <c r="F107" s="49"/>
      <c r="G107" s="49"/>
      <c r="H107" s="49"/>
      <c r="I107" s="49"/>
      <c r="J107" s="435"/>
    </row>
    <row r="108" spans="1:10">
      <c r="A108" s="280"/>
      <c r="B108" s="49"/>
      <c r="C108" s="49"/>
      <c r="D108" s="49"/>
      <c r="E108" s="49"/>
      <c r="F108" s="49"/>
      <c r="G108" s="49"/>
      <c r="H108" s="49"/>
      <c r="I108" s="49"/>
      <c r="J108" s="435"/>
    </row>
    <row r="109" spans="1:10">
      <c r="A109" s="280"/>
      <c r="B109" s="49"/>
      <c r="C109" s="49"/>
      <c r="D109" s="49"/>
      <c r="E109" s="49"/>
      <c r="F109" s="49"/>
      <c r="G109" s="49"/>
      <c r="H109" s="49"/>
      <c r="I109" s="49"/>
      <c r="J109" s="435"/>
    </row>
    <row r="110" spans="1:10">
      <c r="A110" s="280"/>
      <c r="B110" s="49"/>
      <c r="C110" s="49"/>
      <c r="D110" s="49"/>
      <c r="E110" s="49"/>
      <c r="F110" s="49"/>
      <c r="G110" s="49"/>
      <c r="H110" s="49"/>
      <c r="I110" s="49"/>
      <c r="J110" s="435"/>
    </row>
    <row r="111" spans="1:10">
      <c r="A111" s="280"/>
      <c r="B111" s="49"/>
      <c r="C111" s="49"/>
      <c r="D111" s="49"/>
      <c r="E111" s="49"/>
      <c r="F111" s="49"/>
      <c r="G111" s="49"/>
      <c r="H111" s="49"/>
      <c r="I111" s="49"/>
      <c r="J111" s="435"/>
    </row>
    <row r="112" spans="1:10">
      <c r="A112" s="54"/>
      <c r="B112" s="367"/>
      <c r="C112" s="367"/>
      <c r="D112" s="367"/>
      <c r="E112" s="367"/>
      <c r="F112" s="367"/>
      <c r="G112" s="367"/>
      <c r="H112" s="367"/>
      <c r="I112" s="367"/>
      <c r="J112" s="449"/>
    </row>
    <row r="113" spans="1:31">
      <c r="A113" s="381"/>
      <c r="B113" s="382"/>
      <c r="C113" s="382"/>
      <c r="D113" s="382"/>
      <c r="E113" s="382"/>
      <c r="F113" s="382"/>
      <c r="G113" s="382"/>
      <c r="H113" s="382"/>
      <c r="I113" s="382"/>
      <c r="J113" s="481"/>
    </row>
    <row r="114" spans="1:31">
      <c r="A114" s="280"/>
      <c r="B114" s="79" t="s">
        <v>641</v>
      </c>
      <c r="C114" s="274"/>
      <c r="D114" s="274"/>
      <c r="E114" s="483"/>
      <c r="F114" s="79" t="s">
        <v>98</v>
      </c>
      <c r="G114" s="74"/>
      <c r="H114" s="274"/>
      <c r="I114" s="75"/>
      <c r="J114" s="435"/>
    </row>
    <row r="115" spans="1:31">
      <c r="A115" s="280"/>
      <c r="B115" s="455" t="s">
        <v>640</v>
      </c>
      <c r="C115" s="482"/>
      <c r="D115" s="455" t="s">
        <v>102</v>
      </c>
      <c r="E115" s="482"/>
      <c r="F115" s="455" t="s">
        <v>100</v>
      </c>
      <c r="G115" s="43"/>
      <c r="H115" s="369"/>
      <c r="I115" s="58"/>
      <c r="J115" s="435"/>
      <c r="AB115" s="511" t="s">
        <v>85</v>
      </c>
      <c r="AC115" s="350"/>
      <c r="AD115" s="350"/>
      <c r="AE115" s="376"/>
    </row>
    <row r="116" spans="1:31">
      <c r="A116" s="280"/>
      <c r="B116" s="47"/>
      <c r="C116" s="62"/>
      <c r="D116" s="484" t="s">
        <v>101</v>
      </c>
      <c r="E116" s="62"/>
      <c r="F116" s="484" t="s">
        <v>99</v>
      </c>
      <c r="G116" s="48"/>
      <c r="H116" s="371"/>
      <c r="I116" s="62"/>
      <c r="J116" s="435"/>
      <c r="AB116" s="377" t="s">
        <v>75</v>
      </c>
      <c r="AC116" s="514">
        <v>6250</v>
      </c>
      <c r="AD116" s="467" t="s">
        <v>76</v>
      </c>
      <c r="AE116" s="517"/>
    </row>
    <row r="117" spans="1:31" ht="13.8">
      <c r="A117" s="280"/>
      <c r="B117" s="509" t="s">
        <v>106</v>
      </c>
      <c r="C117" s="482"/>
      <c r="D117" s="455" t="s">
        <v>111</v>
      </c>
      <c r="E117" s="482"/>
      <c r="F117" s="79" t="s">
        <v>79</v>
      </c>
      <c r="G117" s="274"/>
      <c r="H117" s="274"/>
      <c r="I117" s="483"/>
      <c r="J117" s="435"/>
      <c r="AB117" s="377" t="s">
        <v>77</v>
      </c>
      <c r="AC117" s="218">
        <v>12500</v>
      </c>
      <c r="AD117" s="467" t="s">
        <v>76</v>
      </c>
      <c r="AE117" s="517"/>
    </row>
    <row r="118" spans="1:31">
      <c r="A118" s="280"/>
      <c r="B118" s="492"/>
      <c r="C118" s="493"/>
      <c r="D118" s="484" t="s">
        <v>110</v>
      </c>
      <c r="E118" s="494"/>
      <c r="F118" s="455" t="s">
        <v>108</v>
      </c>
      <c r="G118" s="482"/>
      <c r="H118" s="455" t="s">
        <v>109</v>
      </c>
      <c r="I118" s="482"/>
      <c r="J118" s="435"/>
      <c r="AB118" s="377" t="s">
        <v>78</v>
      </c>
      <c r="AC118" s="515">
        <f>$AC$116/$AC$117</f>
        <v>0.5</v>
      </c>
      <c r="AD118" s="412"/>
      <c r="AE118" s="518" t="s">
        <v>88</v>
      </c>
    </row>
    <row r="119" spans="1:31">
      <c r="A119" s="280"/>
      <c r="B119" s="497"/>
      <c r="C119" s="498"/>
      <c r="D119" s="485"/>
      <c r="E119" s="486"/>
      <c r="F119" s="485"/>
      <c r="G119" s="486"/>
      <c r="H119" s="485"/>
      <c r="I119" s="486"/>
      <c r="J119" s="435"/>
      <c r="AB119" s="377" t="s">
        <v>236</v>
      </c>
      <c r="AC119" s="512">
        <f>IF($AC$118&lt;0.1,2,IF($AC$118&lt;=0.29,1.8,IF($AC$118&lt;=0.7,1.6)))</f>
        <v>1.6</v>
      </c>
      <c r="AD119" s="412"/>
      <c r="AE119" s="519" t="s">
        <v>84</v>
      </c>
    </row>
    <row r="120" spans="1:31">
      <c r="A120" s="280"/>
      <c r="B120" s="499" t="s">
        <v>103</v>
      </c>
      <c r="C120" s="500"/>
      <c r="D120" s="487">
        <v>2</v>
      </c>
      <c r="E120" s="488"/>
      <c r="F120" s="491">
        <v>1.2</v>
      </c>
      <c r="G120" s="488"/>
      <c r="H120" s="491">
        <v>0.8</v>
      </c>
      <c r="I120" s="488"/>
      <c r="J120" s="435"/>
      <c r="AC120" s="350"/>
      <c r="AD120" s="513"/>
      <c r="AE120" s="376"/>
    </row>
    <row r="121" spans="1:31">
      <c r="A121" s="280"/>
      <c r="B121" s="501"/>
      <c r="C121" s="502"/>
      <c r="D121" s="489"/>
      <c r="E121" s="490"/>
      <c r="F121" s="489"/>
      <c r="G121" s="490"/>
      <c r="H121" s="489"/>
      <c r="I121" s="490"/>
      <c r="J121" s="435"/>
      <c r="AB121" s="511" t="s">
        <v>86</v>
      </c>
      <c r="AC121" s="350"/>
      <c r="AD121" s="513"/>
      <c r="AE121" s="376"/>
    </row>
    <row r="122" spans="1:31">
      <c r="A122" s="280"/>
      <c r="B122" s="497"/>
      <c r="C122" s="498"/>
      <c r="D122" s="485"/>
      <c r="E122" s="486"/>
      <c r="F122" s="485"/>
      <c r="G122" s="486"/>
      <c r="H122" s="485"/>
      <c r="I122" s="486"/>
      <c r="J122" s="435"/>
      <c r="AB122" s="377" t="s">
        <v>242</v>
      </c>
      <c r="AC122" s="516">
        <v>10</v>
      </c>
      <c r="AD122" s="467" t="s">
        <v>200</v>
      </c>
      <c r="AE122" s="517"/>
    </row>
    <row r="123" spans="1:31">
      <c r="A123" s="280"/>
      <c r="B123" s="499" t="s">
        <v>104</v>
      </c>
      <c r="C123" s="500"/>
      <c r="D123" s="491">
        <v>1.8</v>
      </c>
      <c r="E123" s="488"/>
      <c r="F123" s="491">
        <v>1.3</v>
      </c>
      <c r="G123" s="488"/>
      <c r="H123" s="491">
        <v>0.9</v>
      </c>
      <c r="I123" s="488"/>
      <c r="J123" s="435"/>
      <c r="AB123" s="377" t="s">
        <v>74</v>
      </c>
      <c r="AC123" s="217">
        <v>25</v>
      </c>
      <c r="AD123" s="467" t="s">
        <v>437</v>
      </c>
      <c r="AE123" s="517"/>
    </row>
    <row r="124" spans="1:31">
      <c r="A124" s="280"/>
      <c r="B124" s="501"/>
      <c r="C124" s="502"/>
      <c r="D124" s="489"/>
      <c r="E124" s="490"/>
      <c r="F124" s="489"/>
      <c r="G124" s="490"/>
      <c r="H124" s="489"/>
      <c r="I124" s="490"/>
      <c r="J124" s="435"/>
      <c r="AB124" s="377" t="s">
        <v>75</v>
      </c>
      <c r="AC124" s="217">
        <v>6250</v>
      </c>
      <c r="AD124" s="467" t="s">
        <v>76</v>
      </c>
      <c r="AE124" s="517"/>
    </row>
    <row r="125" spans="1:31">
      <c r="A125" s="280"/>
      <c r="B125" s="497"/>
      <c r="C125" s="498"/>
      <c r="D125" s="485"/>
      <c r="E125" s="486"/>
      <c r="F125" s="485"/>
      <c r="G125" s="486"/>
      <c r="H125" s="485"/>
      <c r="I125" s="486"/>
      <c r="J125" s="435"/>
      <c r="AB125" s="377" t="s">
        <v>77</v>
      </c>
      <c r="AC125" s="218">
        <v>12500</v>
      </c>
      <c r="AD125" s="467" t="s">
        <v>76</v>
      </c>
      <c r="AE125" s="517"/>
    </row>
    <row r="126" spans="1:31">
      <c r="A126" s="280"/>
      <c r="B126" s="499" t="s">
        <v>105</v>
      </c>
      <c r="C126" s="500"/>
      <c r="D126" s="491">
        <v>1.6</v>
      </c>
      <c r="E126" s="488"/>
      <c r="F126" s="491">
        <v>1.5</v>
      </c>
      <c r="G126" s="488"/>
      <c r="H126" s="491">
        <v>1.1000000000000001</v>
      </c>
      <c r="I126" s="488"/>
      <c r="J126" s="435"/>
      <c r="AB126" s="377" t="s">
        <v>78</v>
      </c>
      <c r="AC126" s="515">
        <f>$AC$124/$AC$125</f>
        <v>0.5</v>
      </c>
      <c r="AD126" s="278"/>
      <c r="AE126" s="518" t="s">
        <v>88</v>
      </c>
    </row>
    <row r="127" spans="1:31">
      <c r="A127" s="280"/>
      <c r="B127" s="501"/>
      <c r="C127" s="502"/>
      <c r="D127" s="489"/>
      <c r="E127" s="490"/>
      <c r="F127" s="489"/>
      <c r="G127" s="490"/>
      <c r="H127" s="489"/>
      <c r="I127" s="490"/>
      <c r="J127" s="435"/>
      <c r="AB127" s="377" t="s">
        <v>81</v>
      </c>
      <c r="AC127" s="225">
        <f>$AC$122*SQRT($AC$123)</f>
        <v>50</v>
      </c>
      <c r="AD127" s="278"/>
      <c r="AE127" s="278"/>
    </row>
    <row r="128" spans="1:31">
      <c r="A128" s="280"/>
      <c r="B128" s="49"/>
      <c r="C128" s="49"/>
      <c r="D128" s="49"/>
      <c r="E128" s="49"/>
      <c r="F128" s="49"/>
      <c r="G128" s="49"/>
      <c r="H128" s="49"/>
      <c r="I128" s="49"/>
      <c r="J128" s="435"/>
      <c r="AB128" s="377" t="s">
        <v>236</v>
      </c>
      <c r="AC128" s="406" t="str">
        <f xml:space="preserve">  IF($AC$122*SQRT($AC$123)&lt;=2.5,IF(AND($AC$122*SQRT($AC$123)&lt;=2.5,$AC$126&lt;0.1),1.2,IF(AND($AC$122*SQRT($AC$123)&lt;=2.5,$AC$126&lt;0.29),1.3,IF(AND($AC$122*SQRT($AC$123)&lt;=2.5,$AC$126&lt;0.7),1.5))),"N.A.")</f>
        <v>N.A.</v>
      </c>
      <c r="AD128" s="412"/>
      <c r="AE128" s="412" t="s">
        <v>82</v>
      </c>
    </row>
    <row r="129" spans="1:31">
      <c r="A129" s="506" t="s">
        <v>112</v>
      </c>
      <c r="B129" s="49" t="s">
        <v>113</v>
      </c>
      <c r="C129" s="49"/>
      <c r="D129" s="49"/>
      <c r="E129" s="49"/>
      <c r="F129" s="49"/>
      <c r="G129" s="49"/>
      <c r="H129" s="49"/>
      <c r="I129" s="49"/>
      <c r="J129" s="435"/>
      <c r="AB129" s="377" t="s">
        <v>236</v>
      </c>
      <c r="AC129" s="406">
        <f>IF($AC$122*SQRT($AC$123)&gt;2.5,IF(AND($AC$122*SQRT($AC$123)&gt;2.5,$AC$126&lt;0.1),0.8,IF(AND($AC$122*SQRT($AC$123)&gt;2.5,$AC$126&lt;0.29),0.9,IF(AND($AC$122*SQRT($AC$123)&gt;2.5,$AC$126&lt;0.7),1.1))),"N.A.")</f>
        <v>1.1000000000000001</v>
      </c>
      <c r="AD129" s="412"/>
      <c r="AE129" s="412" t="s">
        <v>83</v>
      </c>
    </row>
    <row r="130" spans="1:31">
      <c r="A130" s="280"/>
      <c r="B130" s="49" t="s">
        <v>114</v>
      </c>
      <c r="C130" s="49"/>
      <c r="D130" s="49"/>
      <c r="E130" s="49"/>
      <c r="F130" s="49"/>
      <c r="G130" s="49"/>
      <c r="H130" s="49"/>
      <c r="I130" s="49"/>
      <c r="J130" s="435"/>
      <c r="AB130" s="377" t="s">
        <v>80</v>
      </c>
      <c r="AC130" s="510">
        <f>IF($AC$122*SQRT($AC$123)&lt;=2.5,$AC$128,$AC$129)</f>
        <v>1.1000000000000001</v>
      </c>
      <c r="AD130" s="412"/>
      <c r="AE130" s="519" t="s">
        <v>84</v>
      </c>
    </row>
    <row r="131" spans="1:31">
      <c r="A131" s="280"/>
      <c r="B131" s="49" t="s">
        <v>115</v>
      </c>
      <c r="C131" s="49"/>
      <c r="D131" s="49"/>
      <c r="E131" s="49"/>
      <c r="F131" s="49"/>
      <c r="G131" s="49"/>
      <c r="H131" s="49"/>
      <c r="I131" s="49"/>
      <c r="J131" s="435"/>
    </row>
    <row r="132" spans="1:31">
      <c r="A132" s="280"/>
      <c r="B132" s="49" t="s">
        <v>116</v>
      </c>
      <c r="C132" s="49"/>
      <c r="D132" s="49"/>
      <c r="E132" s="49"/>
      <c r="F132" s="49"/>
      <c r="G132" s="49"/>
      <c r="H132" s="49"/>
      <c r="I132" s="49"/>
      <c r="J132" s="435"/>
    </row>
    <row r="133" spans="1:31">
      <c r="A133" s="280"/>
      <c r="B133" s="49" t="s">
        <v>117</v>
      </c>
      <c r="C133" s="49"/>
      <c r="D133" s="49"/>
      <c r="E133" s="49"/>
      <c r="F133" s="49"/>
      <c r="G133" s="49"/>
      <c r="H133" s="49"/>
      <c r="I133" s="49"/>
      <c r="J133" s="435"/>
    </row>
    <row r="134" spans="1:31">
      <c r="A134" s="280"/>
      <c r="B134" s="49" t="s">
        <v>118</v>
      </c>
      <c r="C134" s="49"/>
      <c r="D134" s="49"/>
      <c r="E134" s="49"/>
      <c r="F134" s="49"/>
      <c r="G134" s="49"/>
      <c r="H134" s="49"/>
      <c r="I134" s="49"/>
      <c r="J134" s="435"/>
    </row>
    <row r="135" spans="1:31">
      <c r="A135" s="280"/>
      <c r="B135" s="49" t="s">
        <v>119</v>
      </c>
      <c r="C135" s="49"/>
      <c r="D135" s="49"/>
      <c r="E135" s="49"/>
      <c r="F135" s="49"/>
      <c r="G135" s="49"/>
      <c r="H135" s="49"/>
      <c r="I135" s="49"/>
      <c r="J135" s="435"/>
    </row>
    <row r="136" spans="1:31">
      <c r="A136" s="280"/>
      <c r="B136" s="49" t="s">
        <v>120</v>
      </c>
      <c r="C136" s="49"/>
      <c r="D136" s="49"/>
      <c r="E136" s="49"/>
      <c r="F136" s="49"/>
      <c r="G136" s="49"/>
      <c r="H136" s="49"/>
      <c r="I136" s="49"/>
      <c r="J136" s="435"/>
    </row>
    <row r="137" spans="1:31">
      <c r="A137" s="280"/>
      <c r="B137" s="49" t="s">
        <v>121</v>
      </c>
      <c r="C137" s="49"/>
      <c r="D137" s="49"/>
      <c r="E137" s="49"/>
      <c r="F137" s="49"/>
      <c r="G137" s="49"/>
      <c r="H137" s="49"/>
      <c r="I137" s="49"/>
      <c r="J137" s="435"/>
    </row>
    <row r="138" spans="1:31">
      <c r="A138" s="280"/>
      <c r="B138" s="49" t="s">
        <v>122</v>
      </c>
      <c r="C138" s="49"/>
      <c r="D138" s="49"/>
      <c r="E138" s="49"/>
      <c r="F138" s="49"/>
      <c r="G138" s="49"/>
      <c r="H138" s="49"/>
      <c r="I138" s="49"/>
      <c r="J138" s="435"/>
    </row>
    <row r="139" spans="1:31">
      <c r="A139" s="280"/>
      <c r="B139" s="49"/>
      <c r="C139" s="49"/>
      <c r="D139" s="49"/>
      <c r="E139" s="49"/>
      <c r="F139" s="49"/>
      <c r="G139" s="49"/>
      <c r="H139" s="49"/>
      <c r="I139" s="49"/>
      <c r="J139" s="435"/>
    </row>
    <row r="140" spans="1:31">
      <c r="A140" s="280"/>
      <c r="B140" s="49"/>
      <c r="C140" s="49"/>
      <c r="D140" s="49"/>
      <c r="E140" s="49"/>
      <c r="F140" s="49"/>
      <c r="G140" s="49"/>
      <c r="H140" s="49"/>
      <c r="I140" s="49"/>
      <c r="J140" s="435"/>
    </row>
    <row r="141" spans="1:31">
      <c r="A141" s="280"/>
      <c r="B141" s="49"/>
      <c r="C141" s="49"/>
      <c r="D141" s="49"/>
      <c r="E141" s="49"/>
      <c r="F141" s="49"/>
      <c r="G141" s="49"/>
      <c r="H141" s="49"/>
      <c r="I141" s="49"/>
      <c r="J141" s="435"/>
    </row>
    <row r="142" spans="1:31">
      <c r="A142" s="280"/>
      <c r="B142" s="79" t="s">
        <v>641</v>
      </c>
      <c r="C142" s="274"/>
      <c r="D142" s="274"/>
      <c r="E142" s="483"/>
      <c r="F142" s="79" t="s">
        <v>98</v>
      </c>
      <c r="G142" s="74"/>
      <c r="H142" s="274"/>
      <c r="I142" s="75"/>
      <c r="J142" s="435"/>
    </row>
    <row r="143" spans="1:31">
      <c r="A143" s="280"/>
      <c r="B143" s="455" t="s">
        <v>642</v>
      </c>
      <c r="C143" s="482"/>
      <c r="D143" s="455" t="s">
        <v>102</v>
      </c>
      <c r="E143" s="482"/>
      <c r="F143" s="455" t="s">
        <v>457</v>
      </c>
      <c r="G143" s="369"/>
      <c r="H143" s="369"/>
      <c r="I143" s="482"/>
      <c r="J143" s="435"/>
    </row>
    <row r="144" spans="1:31">
      <c r="A144" s="280"/>
      <c r="B144" s="47"/>
      <c r="C144" s="62"/>
      <c r="D144" s="484" t="s">
        <v>101</v>
      </c>
      <c r="E144" s="62"/>
      <c r="F144" s="495" t="s">
        <v>127</v>
      </c>
      <c r="G144" s="370"/>
      <c r="H144" s="370"/>
      <c r="I144" s="496"/>
      <c r="J144" s="435"/>
    </row>
    <row r="145" spans="1:31">
      <c r="A145" s="280"/>
      <c r="B145" s="79" t="s">
        <v>128</v>
      </c>
      <c r="C145" s="274"/>
      <c r="D145" s="274"/>
      <c r="E145" s="483"/>
      <c r="F145" s="484" t="s">
        <v>457</v>
      </c>
      <c r="G145" s="371"/>
      <c r="H145" s="371"/>
      <c r="I145" s="494"/>
      <c r="J145" s="435"/>
    </row>
    <row r="146" spans="1:31">
      <c r="A146" s="280"/>
      <c r="B146" s="455"/>
      <c r="C146" s="369"/>
      <c r="D146" s="369"/>
      <c r="E146" s="482"/>
      <c r="F146" s="455"/>
      <c r="G146" s="369"/>
      <c r="H146" s="369"/>
      <c r="I146" s="482"/>
      <c r="J146" s="435"/>
    </row>
    <row r="147" spans="1:31">
      <c r="A147" s="280"/>
      <c r="B147" s="495" t="s">
        <v>123</v>
      </c>
      <c r="C147" s="370"/>
      <c r="D147" s="370"/>
      <c r="E147" s="496"/>
      <c r="F147" s="495" t="s">
        <v>101</v>
      </c>
      <c r="G147" s="370"/>
      <c r="H147" s="370"/>
      <c r="I147" s="496"/>
      <c r="J147" s="435"/>
      <c r="AB147" s="511" t="s">
        <v>87</v>
      </c>
    </row>
    <row r="148" spans="1:31">
      <c r="A148" s="280"/>
      <c r="B148" s="484"/>
      <c r="C148" s="371"/>
      <c r="D148" s="371"/>
      <c r="E148" s="494"/>
      <c r="F148" s="484"/>
      <c r="G148" s="371"/>
      <c r="H148" s="371"/>
      <c r="I148" s="494"/>
      <c r="J148" s="435"/>
      <c r="AB148" s="377" t="s">
        <v>75</v>
      </c>
      <c r="AC148" s="514">
        <v>6250</v>
      </c>
      <c r="AD148" s="467" t="s">
        <v>76</v>
      </c>
      <c r="AE148" s="278"/>
    </row>
    <row r="149" spans="1:31">
      <c r="A149" s="280"/>
      <c r="B149" s="455"/>
      <c r="C149" s="369"/>
      <c r="D149" s="369"/>
      <c r="E149" s="482"/>
      <c r="F149" s="485"/>
      <c r="G149" s="503"/>
      <c r="H149" s="503"/>
      <c r="I149" s="486"/>
      <c r="J149" s="435"/>
      <c r="AB149" s="377" t="s">
        <v>77</v>
      </c>
      <c r="AC149" s="218">
        <v>12500</v>
      </c>
      <c r="AD149" s="467" t="s">
        <v>76</v>
      </c>
      <c r="AE149" s="278"/>
    </row>
    <row r="150" spans="1:31">
      <c r="A150" s="280"/>
      <c r="B150" s="495" t="s">
        <v>434</v>
      </c>
      <c r="C150" s="370"/>
      <c r="D150" s="370"/>
      <c r="E150" s="496"/>
      <c r="F150" s="491" t="s">
        <v>125</v>
      </c>
      <c r="G150" s="504"/>
      <c r="H150" s="504"/>
      <c r="I150" s="488"/>
      <c r="J150" s="435"/>
      <c r="AB150" s="377" t="s">
        <v>465</v>
      </c>
      <c r="AC150" s="515">
        <f>$AC$148/$AC$149</f>
        <v>0.5</v>
      </c>
      <c r="AD150" s="467"/>
      <c r="AE150" s="518" t="s">
        <v>88</v>
      </c>
    </row>
    <row r="151" spans="1:31">
      <c r="A151" s="280"/>
      <c r="B151" s="484"/>
      <c r="C151" s="371"/>
      <c r="D151" s="371"/>
      <c r="E151" s="494"/>
      <c r="F151" s="489"/>
      <c r="G151" s="505"/>
      <c r="H151" s="505"/>
      <c r="I151" s="490"/>
      <c r="J151" s="435"/>
      <c r="AB151" s="377" t="s">
        <v>91</v>
      </c>
      <c r="AC151" s="225">
        <f>4*$AC$150^2-5.9*$AC$150+4</f>
        <v>2.0499999999999998</v>
      </c>
      <c r="AD151" s="521"/>
      <c r="AE151" s="520" t="s">
        <v>89</v>
      </c>
    </row>
    <row r="152" spans="1:31">
      <c r="A152" s="280"/>
      <c r="B152" s="455"/>
      <c r="C152" s="369"/>
      <c r="D152" s="369"/>
      <c r="E152" s="482"/>
      <c r="F152" s="485"/>
      <c r="G152" s="503"/>
      <c r="H152" s="503"/>
      <c r="I152" s="486"/>
      <c r="J152" s="435"/>
      <c r="AB152" s="377" t="s">
        <v>92</v>
      </c>
      <c r="AC152" s="220">
        <f>3.4*$AC$150^2-4.7*$AC$150+3.4</f>
        <v>1.9</v>
      </c>
      <c r="AD152" s="521"/>
      <c r="AE152" s="520" t="s">
        <v>90</v>
      </c>
    </row>
    <row r="153" spans="1:31">
      <c r="A153" s="280"/>
      <c r="B153" s="495" t="s">
        <v>124</v>
      </c>
      <c r="C153" s="370"/>
      <c r="D153" s="370"/>
      <c r="E153" s="496"/>
      <c r="F153" s="491" t="s">
        <v>126</v>
      </c>
      <c r="G153" s="504"/>
      <c r="H153" s="504"/>
      <c r="I153" s="488"/>
      <c r="J153" s="435"/>
    </row>
    <row r="154" spans="1:31">
      <c r="A154" s="280"/>
      <c r="B154" s="484"/>
      <c r="C154" s="371"/>
      <c r="D154" s="371"/>
      <c r="E154" s="494"/>
      <c r="F154" s="489"/>
      <c r="G154" s="505"/>
      <c r="H154" s="505"/>
      <c r="I154" s="490"/>
      <c r="J154" s="435"/>
    </row>
    <row r="155" spans="1:31">
      <c r="A155" s="280"/>
      <c r="B155" s="49"/>
      <c r="C155" s="49"/>
      <c r="D155" s="49"/>
      <c r="E155" s="49"/>
      <c r="F155" s="49"/>
      <c r="G155" s="49"/>
      <c r="H155" s="49"/>
      <c r="I155" s="49"/>
      <c r="J155" s="435"/>
    </row>
    <row r="156" spans="1:31">
      <c r="A156" s="506" t="s">
        <v>112</v>
      </c>
      <c r="B156" s="436" t="s">
        <v>643</v>
      </c>
      <c r="C156" s="49"/>
      <c r="D156" s="49"/>
      <c r="E156" s="49"/>
      <c r="F156" s="49"/>
      <c r="G156" s="49"/>
      <c r="H156" s="49"/>
      <c r="I156" s="49"/>
      <c r="J156" s="435"/>
    </row>
    <row r="157" spans="1:31">
      <c r="A157" s="280"/>
      <c r="B157" s="436" t="s">
        <v>644</v>
      </c>
      <c r="C157" s="49"/>
      <c r="D157" s="49"/>
      <c r="E157" s="49"/>
      <c r="F157" s="49"/>
      <c r="G157" s="49"/>
      <c r="H157" s="49"/>
      <c r="I157" s="49"/>
      <c r="J157" s="435"/>
    </row>
    <row r="158" spans="1:31">
      <c r="A158" s="280"/>
      <c r="B158" s="422" t="s">
        <v>645</v>
      </c>
      <c r="C158" s="49"/>
      <c r="D158" s="49"/>
      <c r="E158" s="49"/>
      <c r="F158" s="49"/>
      <c r="G158" s="49"/>
      <c r="H158" s="49"/>
      <c r="I158" s="49"/>
      <c r="J158" s="435"/>
    </row>
    <row r="159" spans="1:31">
      <c r="A159" s="280"/>
      <c r="B159" s="49" t="s">
        <v>71</v>
      </c>
      <c r="C159" s="49"/>
      <c r="D159" s="49"/>
      <c r="E159" s="49"/>
      <c r="F159" s="49"/>
      <c r="G159" s="49"/>
      <c r="H159" s="49"/>
      <c r="I159" s="49"/>
      <c r="J159" s="435"/>
    </row>
    <row r="160" spans="1:31">
      <c r="A160" s="280"/>
      <c r="B160" s="49" t="s">
        <v>129</v>
      </c>
      <c r="C160" s="49"/>
      <c r="D160" s="49"/>
      <c r="E160" s="49"/>
      <c r="F160" s="49"/>
      <c r="G160" s="49"/>
      <c r="H160" s="49"/>
      <c r="I160" s="49"/>
      <c r="J160" s="435"/>
    </row>
    <row r="161" spans="1:10">
      <c r="A161" s="280"/>
      <c r="B161" s="49" t="s">
        <v>132</v>
      </c>
      <c r="C161" s="49"/>
      <c r="D161" s="49"/>
      <c r="E161" s="49"/>
      <c r="F161" s="49"/>
      <c r="G161" s="49"/>
      <c r="H161" s="49"/>
      <c r="I161" s="49"/>
      <c r="J161" s="435"/>
    </row>
    <row r="162" spans="1:10">
      <c r="A162" s="280"/>
      <c r="B162" s="49" t="s">
        <v>130</v>
      </c>
      <c r="C162" s="49"/>
      <c r="D162" s="49"/>
      <c r="E162" s="49"/>
      <c r="F162" s="49"/>
      <c r="G162" s="49"/>
      <c r="H162" s="49"/>
      <c r="I162" s="49"/>
      <c r="J162" s="435"/>
    </row>
    <row r="163" spans="1:10">
      <c r="A163" s="280"/>
      <c r="B163" s="49" t="s">
        <v>131</v>
      </c>
      <c r="C163" s="49"/>
      <c r="D163" s="49"/>
      <c r="E163" s="49"/>
      <c r="F163" s="49"/>
      <c r="G163" s="49"/>
      <c r="H163" s="49"/>
      <c r="I163" s="49"/>
      <c r="J163" s="435"/>
    </row>
    <row r="164" spans="1:10">
      <c r="A164" s="280"/>
      <c r="B164" s="49" t="s">
        <v>133</v>
      </c>
      <c r="C164" s="49"/>
      <c r="D164" s="49"/>
      <c r="E164" s="49"/>
      <c r="F164" s="49"/>
      <c r="G164" s="49"/>
      <c r="H164" s="49"/>
      <c r="I164" s="49"/>
      <c r="J164" s="435"/>
    </row>
    <row r="165" spans="1:10">
      <c r="A165" s="280"/>
      <c r="B165" s="49" t="s">
        <v>72</v>
      </c>
      <c r="C165" s="49"/>
      <c r="D165" s="49"/>
      <c r="E165" s="49"/>
      <c r="F165" s="49"/>
      <c r="G165" s="49"/>
      <c r="H165" s="49"/>
      <c r="I165" s="49"/>
      <c r="J165" s="435"/>
    </row>
    <row r="166" spans="1:10">
      <c r="A166" s="280"/>
      <c r="B166" s="49" t="s">
        <v>73</v>
      </c>
      <c r="C166" s="49"/>
      <c r="D166" s="49"/>
      <c r="E166" s="49"/>
      <c r="F166" s="49"/>
      <c r="G166" s="49"/>
      <c r="H166" s="49"/>
      <c r="I166" s="49"/>
      <c r="J166" s="435"/>
    </row>
    <row r="167" spans="1:10">
      <c r="A167" s="280"/>
      <c r="B167" s="422" t="s">
        <v>647</v>
      </c>
      <c r="C167" s="49"/>
      <c r="D167" s="49"/>
      <c r="E167" s="49"/>
      <c r="F167" s="49"/>
      <c r="G167" s="49"/>
      <c r="H167" s="49"/>
      <c r="I167" s="49"/>
      <c r="J167" s="435"/>
    </row>
    <row r="168" spans="1:10">
      <c r="A168" s="280"/>
      <c r="B168" s="436" t="s">
        <v>646</v>
      </c>
      <c r="J168" s="435"/>
    </row>
    <row r="169" spans="1:10">
      <c r="A169" s="54"/>
      <c r="B169" s="367"/>
      <c r="C169" s="367"/>
      <c r="D169" s="367"/>
      <c r="E169" s="367"/>
      <c r="F169" s="367"/>
      <c r="G169" s="367"/>
      <c r="H169" s="367"/>
      <c r="I169" s="367"/>
      <c r="J169" s="449"/>
    </row>
  </sheetData>
  <sheetProtection sheet="1" objects="1" scenarios="1"/>
  <mergeCells count="1">
    <mergeCell ref="AA1:AB1"/>
  </mergeCells>
  <phoneticPr fontId="0" type="noConversion"/>
  <conditionalFormatting sqref="AB29:AB54">
    <cfRule type="cellIs" dxfId="0" priority="1" stopIfTrue="1" operator="greaterThan">
      <formula>$C$13</formula>
    </cfRule>
  </conditionalFormatting>
  <dataValidations count="8">
    <dataValidation allowBlank="1" showInputMessage="1" showErrorMessage="1" prompt="Structure width, 'B', is the dimension of the structure normal to the direction of the wind." sqref="C14"/>
    <dataValidation allowBlank="1" showInputMessage="1" showErrorMessage="1" prompt="Structure length, 'L', is the dimension of the structure parallel to the direction of the wind." sqref="C15"/>
    <dataValidation type="list" allowBlank="1" showInputMessage="1" showErrorMessage="1" sqref="AB28">
      <formula1>$L$10:$L$11</formula1>
    </dataValidation>
    <dataValidation type="decimal" allowBlank="1" showInputMessage="1" showErrorMessage="1" sqref="AB29:AB54">
      <formula1>0</formula1>
      <formula2>$C$13</formula2>
    </dataValidation>
    <dataValidation type="list" allowBlank="1" showInputMessage="1" showErrorMessage="1" prompt="Is location in a hurricane prone or non-hurricane prone region?" sqref="C19">
      <formula1>$L$10:$L$11</formula1>
    </dataValidation>
    <dataValidation type="decimal" operator="greaterThanOrEqual" allowBlank="1" showInputMessage="1" showErrorMessage="1" errorTitle="Warning!" error="Minimum design wind speed = 85 mph" sqref="C9">
      <formula1>85</formula1>
    </dataValidation>
    <dataValidation type="list" allowBlank="1" showInputMessage="1" showErrorMessage="1" errorTitle="Warning!" error="Invalid exposure category_x000a_Must input either B, C, or D" sqref="C11">
      <formula1>$L$7:$L$9</formula1>
    </dataValidation>
    <dataValidation type="list" allowBlank="1" showInputMessage="1" showErrorMessage="1" errorTitle="Warning!" error="Invalid building category_x000a_Must input either I, II, III, or IV" sqref="C10">
      <formula1>$L$3:$L$6</formula1>
    </dataValidation>
  </dataValidations>
  <pageMargins left="1" right="0.5" top="1" bottom="1" header="0.5" footer="0.5"/>
  <pageSetup scale="89" orientation="portrait" r:id="rId1"/>
  <headerFooter alignWithMargins="0">
    <oddHeader>&amp;R"ASCE710W.xls" Program
Version 2.2</oddHeader>
    <oddFooter>&amp;C&amp;P of &amp;N&amp;R&amp;D  &amp;T</oddFooter>
  </headerFooter>
  <rowBreaks count="2" manualBreakCount="2">
    <brk id="56" max="9" man="1"/>
    <brk id="112" max="9"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0"/>
  <sheetViews>
    <sheetView topLeftCell="B1" zoomScale="70" zoomScaleNormal="70" workbookViewId="0">
      <selection activeCell="Z13" sqref="Z13"/>
    </sheetView>
  </sheetViews>
  <sheetFormatPr defaultColWidth="9.109375" defaultRowHeight="13.2"/>
  <cols>
    <col min="1" max="16384" width="9.109375" style="621"/>
  </cols>
  <sheetData>
    <row r="1" spans="1:12" ht="15.6">
      <c r="A1" s="618" t="s">
        <v>595</v>
      </c>
      <c r="B1" s="619"/>
      <c r="C1" s="619"/>
      <c r="D1" s="619"/>
      <c r="E1" s="619"/>
      <c r="F1" s="619"/>
      <c r="G1" s="619"/>
      <c r="H1" s="619"/>
      <c r="I1" s="619"/>
      <c r="J1" s="619"/>
      <c r="K1" s="619"/>
      <c r="L1" s="620"/>
    </row>
    <row r="58" spans="13:24">
      <c r="M58" s="622" t="s">
        <v>112</v>
      </c>
      <c r="N58" s="623"/>
      <c r="O58" s="623"/>
      <c r="P58" s="623"/>
      <c r="Q58" s="623"/>
      <c r="R58" s="623"/>
      <c r="S58" s="623"/>
      <c r="T58" s="623"/>
      <c r="U58" s="623"/>
      <c r="V58" s="623"/>
      <c r="W58" s="623"/>
      <c r="X58" s="624"/>
    </row>
    <row r="59" spans="13:24">
      <c r="M59" s="625" t="s">
        <v>596</v>
      </c>
      <c r="N59" s="626"/>
      <c r="O59" s="626"/>
      <c r="P59" s="626"/>
      <c r="Q59" s="626"/>
      <c r="R59" s="626"/>
      <c r="S59" s="626"/>
      <c r="T59" s="626"/>
      <c r="U59" s="626"/>
      <c r="V59" s="626"/>
      <c r="W59" s="626"/>
      <c r="X59" s="627"/>
    </row>
    <row r="60" spans="13:24">
      <c r="M60" s="625" t="s">
        <v>597</v>
      </c>
      <c r="N60" s="626"/>
      <c r="O60" s="626"/>
      <c r="P60" s="626"/>
      <c r="Q60" s="626"/>
      <c r="R60" s="626"/>
      <c r="S60" s="626"/>
      <c r="T60" s="626"/>
      <c r="U60" s="626"/>
      <c r="V60" s="626"/>
      <c r="W60" s="626"/>
      <c r="X60" s="627"/>
    </row>
    <row r="61" spans="13:24">
      <c r="M61" s="625" t="s">
        <v>598</v>
      </c>
      <c r="N61" s="626"/>
      <c r="O61" s="626"/>
      <c r="P61" s="626"/>
      <c r="Q61" s="626"/>
      <c r="R61" s="626"/>
      <c r="S61" s="626"/>
      <c r="T61" s="626"/>
      <c r="U61" s="626"/>
      <c r="V61" s="626"/>
      <c r="W61" s="626"/>
      <c r="X61" s="627"/>
    </row>
    <row r="62" spans="13:24">
      <c r="M62" s="625" t="s">
        <v>599</v>
      </c>
      <c r="N62" s="626"/>
      <c r="O62" s="626"/>
      <c r="P62" s="626"/>
      <c r="Q62" s="626"/>
      <c r="R62" s="626"/>
      <c r="S62" s="626"/>
      <c r="T62" s="626"/>
      <c r="U62" s="626"/>
      <c r="V62" s="626"/>
      <c r="W62" s="626"/>
      <c r="X62" s="627"/>
    </row>
    <row r="63" spans="13:24">
      <c r="M63" s="625" t="s">
        <v>600</v>
      </c>
      <c r="N63" s="626"/>
      <c r="O63" s="626"/>
      <c r="P63" s="626"/>
      <c r="Q63" s="626"/>
      <c r="R63" s="626"/>
      <c r="S63" s="626"/>
      <c r="T63" s="626"/>
      <c r="U63" s="626"/>
      <c r="V63" s="626"/>
      <c r="W63" s="626"/>
      <c r="X63" s="627"/>
    </row>
    <row r="64" spans="13:24">
      <c r="M64" s="628" t="s">
        <v>601</v>
      </c>
      <c r="N64" s="629"/>
      <c r="O64" s="629"/>
      <c r="P64" s="629"/>
      <c r="Q64" s="629"/>
      <c r="R64" s="629"/>
      <c r="S64" s="629"/>
      <c r="T64" s="629"/>
      <c r="U64" s="629"/>
      <c r="V64" s="629"/>
      <c r="W64" s="629"/>
      <c r="X64" s="630"/>
    </row>
    <row r="66" spans="1:18">
      <c r="M66" s="631"/>
      <c r="N66" s="632" t="s">
        <v>602</v>
      </c>
    </row>
    <row r="68" spans="1:18">
      <c r="M68" s="633" t="s">
        <v>603</v>
      </c>
      <c r="Q68" s="634" t="s">
        <v>604</v>
      </c>
      <c r="R68" s="634" t="s">
        <v>605</v>
      </c>
    </row>
    <row r="69" spans="1:18">
      <c r="M69" s="633" t="s">
        <v>606</v>
      </c>
      <c r="Q69" s="635">
        <v>195</v>
      </c>
      <c r="R69" s="636" t="s">
        <v>607</v>
      </c>
    </row>
    <row r="70" spans="1:18">
      <c r="M70" s="633" t="s">
        <v>608</v>
      </c>
      <c r="Q70" s="635">
        <v>165</v>
      </c>
      <c r="R70" s="636" t="s">
        <v>609</v>
      </c>
    </row>
    <row r="71" spans="1:18">
      <c r="M71" s="633" t="s">
        <v>610</v>
      </c>
      <c r="Q71" s="635">
        <v>160</v>
      </c>
      <c r="R71" s="636" t="s">
        <v>611</v>
      </c>
    </row>
    <row r="72" spans="1:18">
      <c r="M72" s="633" t="s">
        <v>612</v>
      </c>
      <c r="N72" s="631" t="s">
        <v>613</v>
      </c>
      <c r="O72" s="631"/>
      <c r="P72" s="631"/>
      <c r="Q72" s="635">
        <v>130</v>
      </c>
      <c r="R72" s="636" t="s">
        <v>614</v>
      </c>
    </row>
    <row r="78" spans="1:18" ht="15.6">
      <c r="A78" s="618" t="s">
        <v>615</v>
      </c>
      <c r="B78" s="619"/>
      <c r="C78" s="619"/>
      <c r="D78" s="619"/>
      <c r="E78" s="619"/>
      <c r="F78" s="619"/>
      <c r="G78" s="619"/>
      <c r="H78" s="619"/>
      <c r="I78" s="619"/>
      <c r="J78" s="619"/>
      <c r="K78" s="619"/>
      <c r="L78" s="620"/>
    </row>
    <row r="137" spans="13:24">
      <c r="M137" s="622" t="s">
        <v>112</v>
      </c>
      <c r="N137" s="623"/>
      <c r="O137" s="623"/>
      <c r="P137" s="623"/>
      <c r="Q137" s="623"/>
      <c r="R137" s="623"/>
      <c r="S137" s="623"/>
      <c r="T137" s="623"/>
      <c r="U137" s="623"/>
      <c r="V137" s="623"/>
      <c r="W137" s="623"/>
      <c r="X137" s="624"/>
    </row>
    <row r="138" spans="13:24">
      <c r="M138" s="625" t="s">
        <v>596</v>
      </c>
      <c r="N138" s="626"/>
      <c r="O138" s="626"/>
      <c r="P138" s="626"/>
      <c r="Q138" s="626"/>
      <c r="R138" s="626"/>
      <c r="S138" s="626"/>
      <c r="T138" s="626"/>
      <c r="U138" s="626"/>
      <c r="V138" s="626"/>
      <c r="W138" s="626"/>
      <c r="X138" s="627"/>
    </row>
    <row r="139" spans="13:24">
      <c r="M139" s="625" t="s">
        <v>597</v>
      </c>
      <c r="N139" s="626"/>
      <c r="O139" s="626"/>
      <c r="P139" s="626"/>
      <c r="Q139" s="626"/>
      <c r="R139" s="626"/>
      <c r="S139" s="626"/>
      <c r="T139" s="626"/>
      <c r="U139" s="626"/>
      <c r="V139" s="626"/>
      <c r="W139" s="626"/>
      <c r="X139" s="627"/>
    </row>
    <row r="140" spans="13:24">
      <c r="M140" s="625" t="s">
        <v>598</v>
      </c>
      <c r="N140" s="626"/>
      <c r="O140" s="626"/>
      <c r="P140" s="626"/>
      <c r="Q140" s="626"/>
      <c r="R140" s="626"/>
      <c r="S140" s="626"/>
      <c r="T140" s="626"/>
      <c r="U140" s="626"/>
      <c r="V140" s="626"/>
      <c r="W140" s="626"/>
      <c r="X140" s="627"/>
    </row>
    <row r="141" spans="13:24">
      <c r="M141" s="625" t="s">
        <v>599</v>
      </c>
      <c r="N141" s="626"/>
      <c r="O141" s="626"/>
      <c r="P141" s="626"/>
      <c r="Q141" s="626"/>
      <c r="R141" s="626"/>
      <c r="S141" s="626"/>
      <c r="T141" s="626"/>
      <c r="U141" s="626"/>
      <c r="V141" s="626"/>
      <c r="W141" s="626"/>
      <c r="X141" s="627"/>
    </row>
    <row r="142" spans="13:24">
      <c r="M142" s="637" t="s">
        <v>616</v>
      </c>
      <c r="N142" s="626"/>
      <c r="O142" s="626"/>
      <c r="P142" s="626"/>
      <c r="Q142" s="626"/>
      <c r="R142" s="626"/>
      <c r="S142" s="626"/>
      <c r="T142" s="626"/>
      <c r="U142" s="626"/>
      <c r="V142" s="626"/>
      <c r="W142" s="626"/>
      <c r="X142" s="627"/>
    </row>
    <row r="143" spans="13:24">
      <c r="M143" s="638" t="s">
        <v>617</v>
      </c>
      <c r="N143" s="629"/>
      <c r="O143" s="629"/>
      <c r="P143" s="629"/>
      <c r="Q143" s="629"/>
      <c r="R143" s="629"/>
      <c r="S143" s="629"/>
      <c r="T143" s="629"/>
      <c r="U143" s="629"/>
      <c r="V143" s="629"/>
      <c r="W143" s="629"/>
      <c r="X143" s="630"/>
    </row>
    <row r="145" spans="1:18">
      <c r="M145" s="631"/>
      <c r="N145" s="632" t="s">
        <v>602</v>
      </c>
    </row>
    <row r="147" spans="1:18">
      <c r="M147" s="633" t="s">
        <v>603</v>
      </c>
      <c r="Q147" s="634" t="s">
        <v>604</v>
      </c>
      <c r="R147" s="634" t="s">
        <v>605</v>
      </c>
    </row>
    <row r="148" spans="1:18">
      <c r="M148" s="633" t="s">
        <v>606</v>
      </c>
      <c r="Q148" s="635">
        <v>210</v>
      </c>
      <c r="R148" s="636" t="s">
        <v>618</v>
      </c>
    </row>
    <row r="149" spans="1:18">
      <c r="M149" s="633" t="s">
        <v>608</v>
      </c>
      <c r="Q149" s="635">
        <v>175</v>
      </c>
      <c r="R149" s="636" t="s">
        <v>619</v>
      </c>
    </row>
    <row r="150" spans="1:18">
      <c r="M150" s="633" t="s">
        <v>610</v>
      </c>
      <c r="Q150" s="635">
        <v>170</v>
      </c>
      <c r="R150" s="636" t="s">
        <v>620</v>
      </c>
    </row>
    <row r="151" spans="1:18">
      <c r="M151" s="633" t="s">
        <v>612</v>
      </c>
      <c r="N151" s="631" t="s">
        <v>613</v>
      </c>
      <c r="O151" s="631"/>
      <c r="P151" s="631"/>
      <c r="Q151" s="635">
        <v>145</v>
      </c>
      <c r="R151" s="636" t="s">
        <v>621</v>
      </c>
    </row>
    <row r="157" spans="1:18" ht="15.6">
      <c r="A157" s="618" t="s">
        <v>622</v>
      </c>
      <c r="B157" s="619"/>
      <c r="C157" s="619"/>
      <c r="D157" s="619"/>
      <c r="E157" s="619"/>
      <c r="F157" s="619"/>
      <c r="G157" s="619"/>
      <c r="H157" s="619"/>
      <c r="I157" s="619"/>
      <c r="J157" s="619"/>
      <c r="K157" s="619"/>
      <c r="L157" s="620"/>
    </row>
    <row r="216" spans="13:24">
      <c r="M216" s="622" t="s">
        <v>112</v>
      </c>
      <c r="N216" s="623"/>
      <c r="O216" s="623"/>
      <c r="P216" s="623"/>
      <c r="Q216" s="623"/>
      <c r="R216" s="623"/>
      <c r="S216" s="623"/>
      <c r="T216" s="623"/>
      <c r="U216" s="623"/>
      <c r="V216" s="623"/>
      <c r="W216" s="623"/>
      <c r="X216" s="624"/>
    </row>
    <row r="217" spans="13:24">
      <c r="M217" s="625" t="s">
        <v>596</v>
      </c>
      <c r="N217" s="626"/>
      <c r="O217" s="626"/>
      <c r="P217" s="626"/>
      <c r="Q217" s="626"/>
      <c r="R217" s="626"/>
      <c r="S217" s="626"/>
      <c r="T217" s="626"/>
      <c r="U217" s="626"/>
      <c r="V217" s="626"/>
      <c r="W217" s="626"/>
      <c r="X217" s="627"/>
    </row>
    <row r="218" spans="13:24">
      <c r="M218" s="625" t="s">
        <v>597</v>
      </c>
      <c r="N218" s="626"/>
      <c r="O218" s="626"/>
      <c r="P218" s="626"/>
      <c r="Q218" s="626"/>
      <c r="R218" s="626"/>
      <c r="S218" s="626"/>
      <c r="T218" s="626"/>
      <c r="U218" s="626"/>
      <c r="V218" s="626"/>
      <c r="W218" s="626"/>
      <c r="X218" s="627"/>
    </row>
    <row r="219" spans="13:24">
      <c r="M219" s="625" t="s">
        <v>598</v>
      </c>
      <c r="N219" s="626"/>
      <c r="O219" s="626"/>
      <c r="P219" s="626"/>
      <c r="Q219" s="626"/>
      <c r="R219" s="626"/>
      <c r="S219" s="626"/>
      <c r="T219" s="626"/>
      <c r="U219" s="626"/>
      <c r="V219" s="626"/>
      <c r="W219" s="626"/>
      <c r="X219" s="627"/>
    </row>
    <row r="220" spans="13:24">
      <c r="M220" s="625" t="s">
        <v>599</v>
      </c>
      <c r="N220" s="626"/>
      <c r="O220" s="626"/>
      <c r="P220" s="626"/>
      <c r="Q220" s="626"/>
      <c r="R220" s="626"/>
      <c r="S220" s="626"/>
      <c r="T220" s="626"/>
      <c r="U220" s="626"/>
      <c r="V220" s="626"/>
      <c r="W220" s="626"/>
      <c r="X220" s="627"/>
    </row>
    <row r="221" spans="13:24">
      <c r="M221" s="637" t="s">
        <v>623</v>
      </c>
      <c r="N221" s="626"/>
      <c r="O221" s="626"/>
      <c r="P221" s="626"/>
      <c r="Q221" s="626"/>
      <c r="R221" s="626"/>
      <c r="S221" s="626"/>
      <c r="T221" s="626"/>
      <c r="U221" s="626"/>
      <c r="V221" s="626"/>
      <c r="W221" s="626"/>
      <c r="X221" s="627"/>
    </row>
    <row r="222" spans="13:24">
      <c r="M222" s="638" t="s">
        <v>624</v>
      </c>
      <c r="N222" s="629"/>
      <c r="O222" s="629"/>
      <c r="P222" s="629"/>
      <c r="Q222" s="629"/>
      <c r="R222" s="629"/>
      <c r="S222" s="629"/>
      <c r="T222" s="629"/>
      <c r="U222" s="629"/>
      <c r="V222" s="629"/>
      <c r="W222" s="629"/>
      <c r="X222" s="630"/>
    </row>
    <row r="224" spans="13:24">
      <c r="M224" s="631"/>
      <c r="N224" s="632" t="s">
        <v>602</v>
      </c>
    </row>
    <row r="226" spans="13:18">
      <c r="M226" s="633" t="s">
        <v>603</v>
      </c>
      <c r="Q226" s="634" t="s">
        <v>604</v>
      </c>
      <c r="R226" s="634" t="s">
        <v>605</v>
      </c>
    </row>
    <row r="227" spans="13:18">
      <c r="M227" s="633" t="s">
        <v>606</v>
      </c>
      <c r="Q227" s="635">
        <v>180</v>
      </c>
      <c r="R227" s="636" t="s">
        <v>625</v>
      </c>
    </row>
    <row r="228" spans="13:18">
      <c r="M228" s="633" t="s">
        <v>608</v>
      </c>
      <c r="Q228" s="635">
        <v>150</v>
      </c>
      <c r="R228" s="636" t="s">
        <v>626</v>
      </c>
    </row>
    <row r="229" spans="13:18">
      <c r="M229" s="633" t="s">
        <v>610</v>
      </c>
      <c r="Q229" s="635">
        <v>150</v>
      </c>
      <c r="R229" s="636" t="s">
        <v>626</v>
      </c>
    </row>
    <row r="230" spans="13:18">
      <c r="M230" s="633" t="s">
        <v>612</v>
      </c>
      <c r="N230" s="631" t="s">
        <v>613</v>
      </c>
      <c r="O230" s="631"/>
      <c r="P230" s="631"/>
      <c r="Q230" s="635">
        <v>115</v>
      </c>
      <c r="R230" s="636" t="s">
        <v>627</v>
      </c>
    </row>
  </sheetData>
  <sheetProtection sheet="1" objects="1" scenarios="1"/>
  <pageMargins left="0.75" right="0.75" top="1" bottom="1" header="0.5" footer="0.5"/>
  <pageSetup scale="47" orientation="landscape" r:id="rId1"/>
  <headerFooter alignWithMargins="0"/>
  <rowBreaks count="2" manualBreakCount="2">
    <brk id="77" max="23" man="1"/>
    <brk id="15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Doc</vt:lpstr>
      <vt:lpstr>MWFRS (Low-Rise)</vt:lpstr>
      <vt:lpstr>MWFRS (Any Ht.)</vt:lpstr>
      <vt:lpstr>Wall C&amp;C</vt:lpstr>
      <vt:lpstr>Roof C&amp;C</vt:lpstr>
      <vt:lpstr>Open Structures (no roof)</vt:lpstr>
      <vt:lpstr>Wind Map</vt:lpstr>
      <vt:lpstr>Doc!Print_Area</vt:lpstr>
      <vt:lpstr>'MWFRS (Any Ht.)'!Print_Area</vt:lpstr>
      <vt:lpstr>'MWFRS (Low-Rise)'!Print_Area</vt:lpstr>
      <vt:lpstr>'Open Structures (no roof)'!Print_Area</vt:lpstr>
      <vt:lpstr>'Roof C&amp;C'!Print_Area</vt:lpstr>
      <vt:lpstr>'Wall C&amp;C'!Print_Area</vt:lpstr>
      <vt:lpstr>'Wind Map'!Print_Area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"ASCE710W" Program</dc:title>
  <dc:creator>Alex Tomanovich, P.E., modified by David Taylor and William Fultz</dc:creator>
  <dc:description>ASCE 7-10 Wind Code Wind Analysis Program</dc:description>
  <cp:lastModifiedBy>salehin</cp:lastModifiedBy>
  <cp:revision>1</cp:revision>
  <cp:lastPrinted>2014-08-21T21:21:21Z</cp:lastPrinted>
  <dcterms:created xsi:type="dcterms:W3CDTF">2000-02-14T22:01:47Z</dcterms:created>
  <dcterms:modified xsi:type="dcterms:W3CDTF">2016-09-23T15:58:22Z</dcterms:modified>
  <cp:category>Structural Enginnering Analysis/Design</cp:category>
</cp:coreProperties>
</file>