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quina  1\Desktop\"/>
    </mc:Choice>
  </mc:AlternateContent>
  <bookViews>
    <workbookView xWindow="0" yWindow="0" windowWidth="15375" windowHeight="7530"/>
  </bookViews>
  <sheets>
    <sheet name="APILA Capital" sheetId="1" r:id="rId1"/>
    <sheet name="Morgan Stanley" sheetId="2" r:id="rId2"/>
    <sheet name="ARK Invest" sheetId="3" r:id="rId3"/>
    <sheet name="Rob Maurer" sheetId="4" r:id="rId4"/>
    <sheet name="Muddy Water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" l="1"/>
  <c r="E54" i="1"/>
  <c r="F54" i="1"/>
  <c r="G54" i="1"/>
  <c r="H54" i="1"/>
  <c r="H76" i="1" s="1"/>
  <c r="I54" i="1"/>
  <c r="J54" i="1"/>
  <c r="K54" i="1"/>
  <c r="L54" i="1"/>
  <c r="L76" i="1" s="1"/>
  <c r="D54" i="1"/>
  <c r="E49" i="1"/>
  <c r="F49" i="1"/>
  <c r="G49" i="1"/>
  <c r="H49" i="1"/>
  <c r="I49" i="1"/>
  <c r="J49" i="1"/>
  <c r="K49" i="1"/>
  <c r="L49" i="1"/>
  <c r="M49" i="1"/>
  <c r="D49" i="1"/>
  <c r="E41" i="1"/>
  <c r="F41" i="1"/>
  <c r="G41" i="1"/>
  <c r="H41" i="1"/>
  <c r="I41" i="1"/>
  <c r="J41" i="1"/>
  <c r="K41" i="1"/>
  <c r="L41" i="1"/>
  <c r="M41" i="1"/>
  <c r="D41" i="1"/>
  <c r="F37" i="1"/>
  <c r="G37" i="1"/>
  <c r="G35" i="1" s="1"/>
  <c r="H37" i="1"/>
  <c r="I37" i="1"/>
  <c r="I35" i="1" s="1"/>
  <c r="J37" i="1"/>
  <c r="K37" i="1"/>
  <c r="L37" i="1"/>
  <c r="M37" i="1"/>
  <c r="M35" i="1" s="1"/>
  <c r="E37" i="1"/>
  <c r="D37" i="1"/>
  <c r="E36" i="1"/>
  <c r="F36" i="1"/>
  <c r="G36" i="1"/>
  <c r="H36" i="1"/>
  <c r="H35" i="1" s="1"/>
  <c r="I36" i="1"/>
  <c r="J36" i="1"/>
  <c r="K36" i="1"/>
  <c r="L36" i="1"/>
  <c r="M36" i="1"/>
  <c r="D36" i="1"/>
  <c r="E27" i="1"/>
  <c r="F27" i="1"/>
  <c r="G27" i="1"/>
  <c r="H27" i="1"/>
  <c r="I27" i="1"/>
  <c r="J27" i="1"/>
  <c r="K27" i="1"/>
  <c r="L27" i="1"/>
  <c r="M27" i="1"/>
  <c r="D27" i="1"/>
  <c r="E35" i="1"/>
  <c r="F35" i="1"/>
  <c r="J35" i="1"/>
  <c r="K35" i="1"/>
  <c r="L35" i="1"/>
  <c r="D21" i="1"/>
  <c r="F21" i="1"/>
  <c r="G21" i="1"/>
  <c r="H21" i="1"/>
  <c r="I21" i="1"/>
  <c r="I76" i="1" s="1"/>
  <c r="J21" i="1"/>
  <c r="K21" i="1"/>
  <c r="L21" i="1"/>
  <c r="M21" i="1"/>
  <c r="M76" i="1" s="1"/>
  <c r="E21" i="1"/>
  <c r="E76" i="1" s="1"/>
  <c r="D76" i="1"/>
  <c r="D105" i="1"/>
  <c r="E139" i="1"/>
  <c r="F139" i="1"/>
  <c r="G139" i="1"/>
  <c r="H139" i="1"/>
  <c r="I139" i="1"/>
  <c r="J139" i="1"/>
  <c r="K139" i="1"/>
  <c r="L139" i="1"/>
  <c r="M139" i="1"/>
  <c r="D139" i="1"/>
  <c r="F76" i="1"/>
  <c r="G76" i="1"/>
  <c r="J76" i="1"/>
  <c r="K76" i="1"/>
  <c r="F105" i="1"/>
  <c r="G105" i="1"/>
  <c r="H105" i="1"/>
  <c r="I105" i="1"/>
  <c r="J105" i="1"/>
  <c r="K105" i="1"/>
  <c r="L105" i="1"/>
  <c r="M105" i="1"/>
  <c r="E105" i="1"/>
  <c r="C341" i="1"/>
  <c r="C321" i="1"/>
  <c r="C301" i="1"/>
  <c r="C281" i="1"/>
  <c r="E297" i="1"/>
  <c r="E299" i="1" s="1"/>
  <c r="F297" i="1"/>
  <c r="G297" i="1"/>
  <c r="H297" i="1"/>
  <c r="H299" i="1" s="1"/>
  <c r="I297" i="1"/>
  <c r="I299" i="1" s="1"/>
  <c r="J297" i="1"/>
  <c r="K297" i="1"/>
  <c r="L297" i="1"/>
  <c r="M297" i="1"/>
  <c r="M299" i="1" s="1"/>
  <c r="D297" i="1"/>
  <c r="D299" i="1" s="1"/>
  <c r="G277" i="1"/>
  <c r="E277" i="1"/>
  <c r="F277" i="1"/>
  <c r="H277" i="1"/>
  <c r="I277" i="1"/>
  <c r="J277" i="1"/>
  <c r="K277" i="1"/>
  <c r="L277" i="1"/>
  <c r="M277" i="1"/>
  <c r="D277" i="1"/>
  <c r="D330" i="1"/>
  <c r="D310" i="1"/>
  <c r="D250" i="1"/>
  <c r="D270" i="1"/>
  <c r="D290" i="1"/>
  <c r="E270" i="1"/>
  <c r="E290" i="1"/>
  <c r="E310" i="1"/>
  <c r="E330" i="1"/>
  <c r="L299" i="1"/>
  <c r="K299" i="1"/>
  <c r="J299" i="1"/>
  <c r="G299" i="1"/>
  <c r="F299" i="1"/>
  <c r="M339" i="1"/>
  <c r="L339" i="1"/>
  <c r="K339" i="1"/>
  <c r="J339" i="1"/>
  <c r="I339" i="1"/>
  <c r="H339" i="1"/>
  <c r="G339" i="1"/>
  <c r="F339" i="1"/>
  <c r="E339" i="1"/>
  <c r="D339" i="1"/>
  <c r="F317" i="1"/>
  <c r="E317" i="1"/>
  <c r="G317" i="1"/>
  <c r="H317" i="1"/>
  <c r="I317" i="1"/>
  <c r="J317" i="1"/>
  <c r="K317" i="1"/>
  <c r="L317" i="1"/>
  <c r="M317" i="1"/>
  <c r="D317" i="1"/>
  <c r="F310" i="1"/>
  <c r="G310" i="1"/>
  <c r="H310" i="1"/>
  <c r="I310" i="1"/>
  <c r="J310" i="1"/>
  <c r="K310" i="1"/>
  <c r="L310" i="1"/>
  <c r="M310" i="1"/>
  <c r="E334" i="1"/>
  <c r="F330" i="1"/>
  <c r="G330" i="1"/>
  <c r="H330" i="1"/>
  <c r="I330" i="1"/>
  <c r="J330" i="1"/>
  <c r="K330" i="1"/>
  <c r="L330" i="1"/>
  <c r="M330" i="1"/>
  <c r="F290" i="1"/>
  <c r="G290" i="1"/>
  <c r="H290" i="1"/>
  <c r="I290" i="1"/>
  <c r="J290" i="1"/>
  <c r="K290" i="1"/>
  <c r="L290" i="1"/>
  <c r="M290" i="1"/>
  <c r="F270" i="1"/>
  <c r="G270" i="1"/>
  <c r="H270" i="1"/>
  <c r="I270" i="1"/>
  <c r="J270" i="1"/>
  <c r="K270" i="1"/>
  <c r="L270" i="1"/>
  <c r="M270" i="1"/>
  <c r="C238" i="1"/>
  <c r="D244" i="1" s="1"/>
  <c r="E257" i="1"/>
  <c r="F257" i="1"/>
  <c r="G257" i="1"/>
  <c r="H257" i="1"/>
  <c r="I257" i="1"/>
  <c r="J257" i="1"/>
  <c r="K257" i="1"/>
  <c r="L257" i="1"/>
  <c r="M257" i="1"/>
  <c r="D257" i="1"/>
  <c r="M250" i="1"/>
  <c r="G250" i="1"/>
  <c r="H250" i="1"/>
  <c r="I250" i="1"/>
  <c r="J250" i="1"/>
  <c r="K250" i="1"/>
  <c r="L250" i="1"/>
  <c r="F250" i="1"/>
  <c r="E250" i="1"/>
  <c r="D35" i="1" l="1"/>
  <c r="D242" i="1"/>
  <c r="C302" i="1"/>
  <c r="C303" i="1" s="1"/>
  <c r="C305" i="1" s="1"/>
  <c r="D243" i="1"/>
  <c r="D245" i="1"/>
  <c r="E220" i="1" l="1"/>
  <c r="F220" i="1"/>
  <c r="F331" i="1" s="1"/>
  <c r="F332" i="1" s="1"/>
  <c r="G220" i="1"/>
  <c r="G331" i="1" s="1"/>
  <c r="G332" i="1" s="1"/>
  <c r="H220" i="1"/>
  <c r="H331" i="1" s="1"/>
  <c r="H332" i="1" s="1"/>
  <c r="I220" i="1"/>
  <c r="I331" i="1" s="1"/>
  <c r="I332" i="1" s="1"/>
  <c r="J220" i="1"/>
  <c r="J331" i="1" s="1"/>
  <c r="J332" i="1" s="1"/>
  <c r="K220" i="1"/>
  <c r="K331" i="1" s="1"/>
  <c r="K332" i="1" s="1"/>
  <c r="L220" i="1"/>
  <c r="L331" i="1" s="1"/>
  <c r="L332" i="1" s="1"/>
  <c r="M220" i="1"/>
  <c r="M331" i="1" s="1"/>
  <c r="M332" i="1" s="1"/>
  <c r="D220" i="1"/>
  <c r="D331" i="1" s="1"/>
  <c r="D332" i="1" s="1"/>
  <c r="E219" i="1"/>
  <c r="F219" i="1"/>
  <c r="G219" i="1"/>
  <c r="H219" i="1"/>
  <c r="I219" i="1"/>
  <c r="J219" i="1"/>
  <c r="K219" i="1"/>
  <c r="L219" i="1"/>
  <c r="M219" i="1"/>
  <c r="D219" i="1"/>
  <c r="E218" i="1"/>
  <c r="E291" i="1" s="1"/>
  <c r="E292" i="1" s="1"/>
  <c r="F218" i="1"/>
  <c r="F291" i="1" s="1"/>
  <c r="F292" i="1" s="1"/>
  <c r="G218" i="1"/>
  <c r="G291" i="1" s="1"/>
  <c r="G292" i="1" s="1"/>
  <c r="H218" i="1"/>
  <c r="H291" i="1" s="1"/>
  <c r="H292" i="1" s="1"/>
  <c r="I218" i="1"/>
  <c r="I291" i="1" s="1"/>
  <c r="I292" i="1" s="1"/>
  <c r="J218" i="1"/>
  <c r="J291" i="1" s="1"/>
  <c r="J292" i="1" s="1"/>
  <c r="K218" i="1"/>
  <c r="K291" i="1" s="1"/>
  <c r="K292" i="1" s="1"/>
  <c r="L218" i="1"/>
  <c r="L291" i="1" s="1"/>
  <c r="L292" i="1" s="1"/>
  <c r="M218" i="1"/>
  <c r="M291" i="1" s="1"/>
  <c r="M292" i="1" s="1"/>
  <c r="D218" i="1"/>
  <c r="D291" i="1" s="1"/>
  <c r="E217" i="1"/>
  <c r="F217" i="1"/>
  <c r="G217" i="1"/>
  <c r="H217" i="1"/>
  <c r="I217" i="1"/>
  <c r="J217" i="1"/>
  <c r="K217" i="1"/>
  <c r="L217" i="1"/>
  <c r="M217" i="1"/>
  <c r="D217" i="1"/>
  <c r="E216" i="1"/>
  <c r="F216" i="1"/>
  <c r="G216" i="1"/>
  <c r="H216" i="1"/>
  <c r="I216" i="1"/>
  <c r="J216" i="1"/>
  <c r="K216" i="1"/>
  <c r="L216" i="1"/>
  <c r="M216" i="1"/>
  <c r="D216" i="1"/>
  <c r="M274" i="1" l="1"/>
  <c r="M271" i="1"/>
  <c r="M272" i="1" s="1"/>
  <c r="M275" i="1" s="1"/>
  <c r="M279" i="1" s="1"/>
  <c r="C282" i="1" s="1"/>
  <c r="C283" i="1" s="1"/>
  <c r="C285" i="1" s="1"/>
  <c r="E274" i="1"/>
  <c r="E271" i="1"/>
  <c r="E272" i="1" s="1"/>
  <c r="M314" i="1"/>
  <c r="M315" i="1"/>
  <c r="M319" i="1" s="1"/>
  <c r="M311" i="1"/>
  <c r="M312" i="1" s="1"/>
  <c r="L271" i="1"/>
  <c r="L272" i="1" s="1"/>
  <c r="L275" i="1" s="1"/>
  <c r="L279" i="1" s="1"/>
  <c r="L274" i="1"/>
  <c r="H271" i="1"/>
  <c r="H272" i="1" s="1"/>
  <c r="H275" i="1" s="1"/>
  <c r="H279" i="1" s="1"/>
  <c r="H274" i="1"/>
  <c r="L311" i="1"/>
  <c r="L312" i="1" s="1"/>
  <c r="L315" i="1"/>
  <c r="L319" i="1" s="1"/>
  <c r="L314" i="1"/>
  <c r="H314" i="1"/>
  <c r="H311" i="1"/>
  <c r="H312" i="1" s="1"/>
  <c r="H315" i="1"/>
  <c r="H319" i="1" s="1"/>
  <c r="G271" i="1"/>
  <c r="G272" i="1" s="1"/>
  <c r="G275" i="1" s="1"/>
  <c r="G279" i="1" s="1"/>
  <c r="G274" i="1"/>
  <c r="K311" i="1"/>
  <c r="K312" i="1" s="1"/>
  <c r="K315" i="1"/>
  <c r="K319" i="1" s="1"/>
  <c r="K314" i="1"/>
  <c r="G311" i="1"/>
  <c r="G312" i="1" s="1"/>
  <c r="G315" i="1"/>
  <c r="G319" i="1" s="1"/>
  <c r="G314" i="1"/>
  <c r="E332" i="1"/>
  <c r="E331" i="1"/>
  <c r="K271" i="1"/>
  <c r="K272" i="1" s="1"/>
  <c r="K275" i="1" s="1"/>
  <c r="K279" i="1" s="1"/>
  <c r="K274" i="1"/>
  <c r="D271" i="1"/>
  <c r="D272" i="1" s="1"/>
  <c r="D275" i="1" s="1"/>
  <c r="D279" i="1" s="1"/>
  <c r="D274" i="1"/>
  <c r="J271" i="1"/>
  <c r="J272" i="1" s="1"/>
  <c r="J275" i="1" s="1"/>
  <c r="J279" i="1" s="1"/>
  <c r="J274" i="1"/>
  <c r="F271" i="1"/>
  <c r="F272" i="1" s="1"/>
  <c r="F274" i="1"/>
  <c r="D314" i="1"/>
  <c r="D315" i="1"/>
  <c r="D311" i="1"/>
  <c r="D312" i="1" s="1"/>
  <c r="J315" i="1"/>
  <c r="J319" i="1" s="1"/>
  <c r="J314" i="1"/>
  <c r="J311" i="1"/>
  <c r="J312" i="1" s="1"/>
  <c r="F315" i="1"/>
  <c r="F319" i="1" s="1"/>
  <c r="F314" i="1"/>
  <c r="F311" i="1"/>
  <c r="F312" i="1" s="1"/>
  <c r="I271" i="1"/>
  <c r="I272" i="1" s="1"/>
  <c r="I274" i="1"/>
  <c r="I314" i="1"/>
  <c r="I315" i="1"/>
  <c r="I319" i="1" s="1"/>
  <c r="I311" i="1"/>
  <c r="I312" i="1" s="1"/>
  <c r="E314" i="1"/>
  <c r="E311" i="1"/>
  <c r="E312" i="1" s="1"/>
  <c r="E315" i="1"/>
  <c r="E319" i="1" s="1"/>
  <c r="D254" i="1"/>
  <c r="D251" i="1"/>
  <c r="D252" i="1" s="1"/>
  <c r="D255" i="1" s="1"/>
  <c r="D259" i="1" s="1"/>
  <c r="D260" i="1" s="1"/>
  <c r="F254" i="1"/>
  <c r="F251" i="1"/>
  <c r="F252" i="1" s="1"/>
  <c r="F255" i="1" s="1"/>
  <c r="F259" i="1" s="1"/>
  <c r="F260" i="1" s="1"/>
  <c r="I254" i="1"/>
  <c r="I251" i="1"/>
  <c r="I252" i="1" s="1"/>
  <c r="I255" i="1" s="1"/>
  <c r="I259" i="1" s="1"/>
  <c r="I260" i="1" s="1"/>
  <c r="L251" i="1"/>
  <c r="L252" i="1" s="1"/>
  <c r="L254" i="1"/>
  <c r="H251" i="1"/>
  <c r="H252" i="1" s="1"/>
  <c r="H254" i="1"/>
  <c r="J254" i="1"/>
  <c r="J251" i="1"/>
  <c r="J252" i="1" s="1"/>
  <c r="J255" i="1" s="1"/>
  <c r="J259" i="1" s="1"/>
  <c r="J260" i="1" s="1"/>
  <c r="M251" i="1"/>
  <c r="M252" i="1" s="1"/>
  <c r="M254" i="1"/>
  <c r="E254" i="1"/>
  <c r="E251" i="1"/>
  <c r="E252" i="1" s="1"/>
  <c r="E255" i="1" s="1"/>
  <c r="E259" i="1" s="1"/>
  <c r="E260" i="1" s="1"/>
  <c r="K251" i="1"/>
  <c r="K252" i="1" s="1"/>
  <c r="K254" i="1"/>
  <c r="G254" i="1"/>
  <c r="G251" i="1"/>
  <c r="G252" i="1" s="1"/>
  <c r="G255" i="1" s="1"/>
  <c r="G259" i="1" s="1"/>
  <c r="G260" i="1" s="1"/>
  <c r="E275" i="1" l="1"/>
  <c r="E279" i="1" s="1"/>
  <c r="F275" i="1"/>
  <c r="F279" i="1" s="1"/>
  <c r="I275" i="1"/>
  <c r="I279" i="1" s="1"/>
  <c r="L255" i="1"/>
  <c r="L259" i="1" s="1"/>
  <c r="L260" i="1" s="1"/>
  <c r="K255" i="1"/>
  <c r="K259" i="1" s="1"/>
  <c r="K260" i="1" s="1"/>
  <c r="M255" i="1"/>
  <c r="M259" i="1" s="1"/>
  <c r="H255" i="1"/>
  <c r="H259" i="1" s="1"/>
  <c r="H260" i="1" s="1"/>
  <c r="M260" i="1" l="1"/>
  <c r="C261" i="1" s="1"/>
  <c r="C262" i="1"/>
  <c r="C263" i="1" s="1"/>
  <c r="C265" i="1" l="1"/>
  <c r="C347" i="1" s="1"/>
</calcChain>
</file>

<file path=xl/sharedStrings.xml><?xml version="1.0" encoding="utf-8"?>
<sst xmlns="http://schemas.openxmlformats.org/spreadsheetml/2006/main" count="498" uniqueCount="386">
  <si>
    <t>Core Auto</t>
  </si>
  <si>
    <t>Energy</t>
  </si>
  <si>
    <t>Mobility</t>
  </si>
  <si>
    <t>Network Services</t>
  </si>
  <si>
    <t>Insurance</t>
  </si>
  <si>
    <t>Average Price</t>
  </si>
  <si>
    <t>Total Revenue</t>
  </si>
  <si>
    <t>Gross Profit</t>
  </si>
  <si>
    <t>Net Income</t>
  </si>
  <si>
    <t>Free Cash Flow</t>
  </si>
  <si>
    <t>Solar Deployed (MW)</t>
  </si>
  <si>
    <t>Storage Deployed (GWh)</t>
  </si>
  <si>
    <t>Storage Revenue per KW (USD)</t>
  </si>
  <si>
    <t>Revenue per Watt (USD)</t>
  </si>
  <si>
    <t>Storage Revenue (MM USD)</t>
  </si>
  <si>
    <t>Solar Revenue (MM USD)</t>
  </si>
  <si>
    <t>-</t>
  </si>
  <si>
    <t>Capital Expenditures</t>
  </si>
  <si>
    <t>Total NPV of Core Auto</t>
  </si>
  <si>
    <t>Miles/Car</t>
  </si>
  <si>
    <t>Rev/Mile ($)</t>
  </si>
  <si>
    <t>Total Revenue ($mm)</t>
  </si>
  <si>
    <t>Operating Profit ($mm)</t>
  </si>
  <si>
    <t>NOPAT</t>
  </si>
  <si>
    <t>Miles per Car</t>
  </si>
  <si>
    <t>MAUs (Connected Fleet)</t>
  </si>
  <si>
    <t>Tesla Vehicles in Service (mm units)</t>
  </si>
  <si>
    <t>Net Written Premium per Policy ($)</t>
  </si>
  <si>
    <t>Tax Rate (%)</t>
  </si>
  <si>
    <t>Unit Sales (Units)</t>
  </si>
  <si>
    <t>Average Price (USD)</t>
  </si>
  <si>
    <t>Total Revenue (MM USD)</t>
  </si>
  <si>
    <t>Gross Profit (MM USD)</t>
  </si>
  <si>
    <t>Ebitda (MM USD)</t>
  </si>
  <si>
    <t>Net Income (MM USD)</t>
  </si>
  <si>
    <t>Total Energy and Storage Revenue (MM USD)</t>
  </si>
  <si>
    <t>Operating Profit (MM USD)</t>
  </si>
  <si>
    <t>Adjusted Cash Flow (MM USD)</t>
  </si>
  <si>
    <t>Tesla Mobility Fleet (Units)</t>
  </si>
  <si>
    <t>Total Miles (Billions)</t>
  </si>
  <si>
    <t>3rd Party (Not Details Available)</t>
  </si>
  <si>
    <t>Tesla Global Fleet (end of year)</t>
  </si>
  <si>
    <t>Average Vehicle Speed (mph)</t>
  </si>
  <si>
    <t>Revenue Generating Vehicle Hours (bn)</t>
  </si>
  <si>
    <t>Implied Revenue/M ile ($)</t>
  </si>
  <si>
    <t>Implied Revenue/H our ($)</t>
  </si>
  <si>
    <t>Revenue Generating Miles (Billions)</t>
  </si>
  <si>
    <t>Total Miles Traveled (Billions)</t>
  </si>
  <si>
    <t>Monthly Revenue per User (USD)</t>
  </si>
  <si>
    <t>Annual Total Revenue (MM USD)</t>
  </si>
  <si>
    <t>Total NPV of 3rd Party</t>
  </si>
  <si>
    <t>Total NPV of Insurance</t>
  </si>
  <si>
    <t>1) Revenues</t>
  </si>
  <si>
    <t xml:space="preserve">Sales </t>
  </si>
  <si>
    <t>Leasing</t>
  </si>
  <si>
    <t>Energy Generation and Storage</t>
  </si>
  <si>
    <t xml:space="preserve">Generation </t>
  </si>
  <si>
    <t>Total Sales  (Mw)</t>
  </si>
  <si>
    <t xml:space="preserve">Solar Panels </t>
  </si>
  <si>
    <t>Solar Roof</t>
  </si>
  <si>
    <t>Average Price (USD/Mwh)</t>
  </si>
  <si>
    <t>Storage</t>
  </si>
  <si>
    <t>Total Sales Sales (Mwh)</t>
  </si>
  <si>
    <t>Powerwall</t>
  </si>
  <si>
    <t>Powerwall - Megapack</t>
  </si>
  <si>
    <t>Average Revenues by Cumulative Cars Sold (USD)</t>
  </si>
  <si>
    <t xml:space="preserve">Ridehailing </t>
  </si>
  <si>
    <t>Fleet (Units)</t>
  </si>
  <si>
    <t>Total Revenues</t>
  </si>
  <si>
    <t>2) Cost of Revenues</t>
  </si>
  <si>
    <t xml:space="preserve">2.1) Automotive </t>
  </si>
  <si>
    <t>2.2) Energy Generation and Storage</t>
  </si>
  <si>
    <t>2.3) Services and Others</t>
  </si>
  <si>
    <t xml:space="preserve">2.4) Ridehailing </t>
  </si>
  <si>
    <t xml:space="preserve">2.5) Autonomous Ridehailing </t>
  </si>
  <si>
    <t>Total Cost of Revenues</t>
  </si>
  <si>
    <t xml:space="preserve">3) Gross Profit </t>
  </si>
  <si>
    <t xml:space="preserve">3.5) Autonomous Ridehailing </t>
  </si>
  <si>
    <t>Total Gross Profit</t>
  </si>
  <si>
    <t>4) Operating Expenses</t>
  </si>
  <si>
    <t>4.1) Research and Development</t>
  </si>
  <si>
    <t>4.2) Selling, General and Administrative</t>
  </si>
  <si>
    <t>4.3) Restructuring and other</t>
  </si>
  <si>
    <t>Total Operating Expenses</t>
  </si>
  <si>
    <t>Net Operative Income</t>
  </si>
  <si>
    <t>5) Interest, Taxation and Others</t>
  </si>
  <si>
    <t>5.1) Net Interest Expenses</t>
  </si>
  <si>
    <t xml:space="preserve"> Total Debt and Financial Leases</t>
  </si>
  <si>
    <t xml:space="preserve">Current portion of debt and finance leases </t>
  </si>
  <si>
    <t xml:space="preserve">Debt and finance leases, net of current portion </t>
  </si>
  <si>
    <t>Effective Interest Rate</t>
  </si>
  <si>
    <t>5.2) Other incomes (Expenses)</t>
  </si>
  <si>
    <t>Income Before Taxes</t>
  </si>
  <si>
    <t>5.4) Taxation</t>
  </si>
  <si>
    <t xml:space="preserve">7) Working Capital </t>
  </si>
  <si>
    <t>Current Assets</t>
  </si>
  <si>
    <t>(-)Unrestricted Cash</t>
  </si>
  <si>
    <t>(-)Current Liabilities</t>
  </si>
  <si>
    <t>(+)Current Short Term Debt</t>
  </si>
  <si>
    <t>Net Working Capital</t>
  </si>
  <si>
    <t>Change of Net Working Capital</t>
  </si>
  <si>
    <t>% Of Total Revenues</t>
  </si>
  <si>
    <t>% Of Growth</t>
  </si>
  <si>
    <t>6) Capital Expenditures</t>
  </si>
  <si>
    <t>6.1) Purchases of Property and Equipment excluding Finance Leases, Net of Sales</t>
  </si>
  <si>
    <t>6.2) Purchases of Solar Energy Systems</t>
  </si>
  <si>
    <t>6.3) Net Others Investment Flows</t>
  </si>
  <si>
    <t>Total</t>
  </si>
  <si>
    <t>Valuation</t>
  </si>
  <si>
    <t>Relative Importance (Based on Gross Profit)</t>
  </si>
  <si>
    <t xml:space="preserve"> Automotive </t>
  </si>
  <si>
    <t>Services and Others</t>
  </si>
  <si>
    <t xml:space="preserve">Autonomous Ridehailing </t>
  </si>
  <si>
    <t xml:space="preserve">Capex Distribution </t>
  </si>
  <si>
    <t>Valuation Inputs</t>
  </si>
  <si>
    <t>Current Risk Free Rate (2019)</t>
  </si>
  <si>
    <t xml:space="preserve">Equity Premiun </t>
  </si>
  <si>
    <t>Historic Risk Free Rate (2009 - 2018)</t>
  </si>
  <si>
    <t>Historic Equity Return (2009 - 2018)</t>
  </si>
  <si>
    <t>Historic Equity Risk Premiun (2009 - 2018)</t>
  </si>
  <si>
    <t>Sectorial Discount Rates</t>
  </si>
  <si>
    <t>Discount Rate</t>
  </si>
  <si>
    <t>1) Auto &amp; Truck</t>
  </si>
  <si>
    <t>2) Electronics (General)</t>
  </si>
  <si>
    <t>3) Retail (Automotive)</t>
  </si>
  <si>
    <t>4) Trucking</t>
  </si>
  <si>
    <t xml:space="preserve"> Automotive</t>
  </si>
  <si>
    <t>OPEX</t>
  </si>
  <si>
    <t>Operative Income</t>
  </si>
  <si>
    <t>Interest, Taxation and Others</t>
  </si>
  <si>
    <t>Net income</t>
  </si>
  <si>
    <t>Capex</t>
  </si>
  <si>
    <t xml:space="preserve">Change in Net Working Capital </t>
  </si>
  <si>
    <t>FCE</t>
  </si>
  <si>
    <t>Discounted FCE</t>
  </si>
  <si>
    <t>PV FCE</t>
  </si>
  <si>
    <t>Terminal Value</t>
  </si>
  <si>
    <t>PV Terminal Value</t>
  </si>
  <si>
    <t xml:space="preserve">Automotive Enterprise Value </t>
  </si>
  <si>
    <t xml:space="preserve">Energy Generation and Storage Enterprise Value </t>
  </si>
  <si>
    <t xml:space="preserve">Services and Others Enterprise Value </t>
  </si>
  <si>
    <t>Ridehailing</t>
  </si>
  <si>
    <t xml:space="preserve">Ridehailing Enterprise Value </t>
  </si>
  <si>
    <t xml:space="preserve">Autonomous Ridehailing Enterprise Value </t>
  </si>
  <si>
    <t>Tesla Present Enterprise Value</t>
  </si>
  <si>
    <t>Total Sales (Units)</t>
  </si>
  <si>
    <t>Total Sales Revenue</t>
  </si>
  <si>
    <t>Generation Revenue (MM USD)</t>
  </si>
  <si>
    <t>Financial Model</t>
  </si>
  <si>
    <t>Autonomous</t>
  </si>
  <si>
    <t>PV of 1st Year Cash Flow</t>
  </si>
  <si>
    <t>PV of Cash Flows 2 thru 11</t>
  </si>
  <si>
    <t>PV of Terminal Value</t>
  </si>
  <si>
    <t>Enterprise Value</t>
  </si>
  <si>
    <t>% Value in Terminal</t>
  </si>
  <si>
    <t>% Value in Cash Flows</t>
  </si>
  <si>
    <t>WACC (%)</t>
  </si>
  <si>
    <t>Terminal Growth Rate (%)</t>
  </si>
  <si>
    <t>NPV of Cash Flows</t>
  </si>
  <si>
    <t>Implied Terminal PE (x)</t>
  </si>
  <si>
    <t>NPV of Terminal Value</t>
  </si>
  <si>
    <t>Total NPV of Tesla Energy</t>
  </si>
  <si>
    <t>NPV per Tesla Share</t>
  </si>
  <si>
    <t>Equity Value Per Share</t>
  </si>
  <si>
    <t>Discount rate</t>
  </si>
  <si>
    <t>Year of NPV</t>
  </si>
  <si>
    <t>NPV 2020 to 2030 ($mm)</t>
  </si>
  <si>
    <t>Terminal Value PPG (%)</t>
  </si>
  <si>
    <t>Terminal Value ($mm)</t>
  </si>
  <si>
    <t>Implied Terminal Value PE</t>
  </si>
  <si>
    <t>Total NPV ($mm)</t>
  </si>
  <si>
    <t>Value per TSLA share ($)</t>
  </si>
  <si>
    <t>Total NPV of Tesla Network Services</t>
  </si>
  <si>
    <t>Probability Weighting (%)</t>
  </si>
  <si>
    <t>Adj. NPV of Tesla Network Services</t>
  </si>
  <si>
    <t>Probability Adj. Valuation per Tesla Share</t>
  </si>
  <si>
    <t>Head of Research: Armando Gagliardi</t>
  </si>
  <si>
    <t>CEO: Adolfo Pecchio</t>
  </si>
  <si>
    <t>Company: APILA Capital</t>
  </si>
  <si>
    <t>Date: December 2020</t>
  </si>
  <si>
    <t>Sell Side Analisys</t>
  </si>
  <si>
    <t>Company: Morgan Stanley</t>
  </si>
  <si>
    <t>Head of Research: Adam Jonas</t>
  </si>
  <si>
    <t>Minimum</t>
  </si>
  <si>
    <t>Bear Case</t>
  </si>
  <si>
    <t>Bull Case</t>
  </si>
  <si>
    <t>Maximum</t>
  </si>
  <si>
    <t>Key Drivers</t>
  </si>
  <si>
    <t>Max gross margin</t>
  </si>
  <si>
    <t>Capital efficiency (gross capex per unit of annual production capacity) (not in millions)</t>
  </si>
  <si>
    <t>% of cars sold into human driven ride-hail network in 2025</t>
  </si>
  <si>
    <t>Probability that robotaxis launch</t>
  </si>
  <si>
    <t>In the event that robotaxis launch, percent of capable Teslas in autonomous fleet in 2025</t>
  </si>
  <si>
    <t>Balance sheet assumptions</t>
  </si>
  <si>
    <t>Weighted average market capitalization at which equity is raised</t>
  </si>
  <si>
    <t>Equity raise for capex</t>
  </si>
  <si>
    <t>Equity raise for incentive compensation</t>
  </si>
  <si>
    <t>Percent of factory-build that will be debt funded</t>
  </si>
  <si>
    <t>Margin Assumptions</t>
  </si>
  <si>
    <t>Wright's Law learning rate</t>
  </si>
  <si>
    <t>Max annual production increase (given management bandwidth constraints)</t>
  </si>
  <si>
    <t>Factory utilization factor</t>
  </si>
  <si>
    <t>Percent of each model/price segment that Tesla penetrates</t>
  </si>
  <si>
    <t>Tax rate</t>
  </si>
  <si>
    <t>Interest rate</t>
  </si>
  <si>
    <t>Insurance assumptions</t>
  </si>
  <si>
    <t>% of cars sold with Tesla insurance</t>
  </si>
  <si>
    <t>Tesla commission as an insurance agent</t>
  </si>
  <si>
    <t>Premium/mile for personally owned Tesla car (not in millions)</t>
  </si>
  <si>
    <t>Ride-hail insurance premium addition</t>
  </si>
  <si>
    <t>Beginning loss ratio (when Tesla first begins underwriting its own policies)</t>
  </si>
  <si>
    <t>Annual safety increase of Tesla cars (% safer)</t>
  </si>
  <si>
    <t>Miles per personal car per year</t>
  </si>
  <si>
    <t>Ride-hail assumptions</t>
  </si>
  <si>
    <t>Miles per year per car (not in millions)</t>
  </si>
  <si>
    <t>Platform fee at scale</t>
  </si>
  <si>
    <t>Autonomous Assumptions</t>
  </si>
  <si>
    <t>Miles traveled per robotaxi (not in millions)</t>
  </si>
  <si>
    <t>Tesla platform cut</t>
  </si>
  <si>
    <t>Tesla platform cut in China</t>
  </si>
  <si>
    <t>Percent of fleet in China</t>
  </si>
  <si>
    <t>Valuation Assumptions</t>
  </si>
  <si>
    <t>SG&amp;A as % of electric vehicle sales</t>
  </si>
  <si>
    <t>R&amp;D as % of electric vehicle sales</t>
  </si>
  <si>
    <t>Autonomous EBITDA margin</t>
  </si>
  <si>
    <t>EV/EBITDA electric vehicle business</t>
  </si>
  <si>
    <t>EV/EBITDA insurance business</t>
  </si>
  <si>
    <t>EV/EBITDA autonomous robotaxi business</t>
  </si>
  <si>
    <t>Buy Side Analisys</t>
  </si>
  <si>
    <t>Company: ARK Invest</t>
  </si>
  <si>
    <t>CEO: Cathie Woods</t>
  </si>
  <si>
    <t>Electric Vehicle ASP Table</t>
  </si>
  <si>
    <t>Model</t>
  </si>
  <si>
    <t>ASP</t>
  </si>
  <si>
    <t>TAM units in segment (000s)</t>
  </si>
  <si>
    <t>Max units Tesla (000s)</t>
  </si>
  <si>
    <t>Cumulative units (000s)</t>
  </si>
  <si>
    <t>ASP at breakpoints</t>
  </si>
  <si>
    <t>S/X</t>
  </si>
  <si>
    <t>Model 3</t>
  </si>
  <si>
    <t>Model Y</t>
  </si>
  <si>
    <t>Cybertruck</t>
  </si>
  <si>
    <t>Model A (sedan/hatchback/robotaxi)</t>
  </si>
  <si>
    <t>Neighborhood EV</t>
  </si>
  <si>
    <t>Ride-hail ASP Table</t>
  </si>
  <si>
    <t>Price</t>
  </si>
  <si>
    <t>Total Possible Tesla Miles (billions)</t>
  </si>
  <si>
    <t>Cumulative Miles (billions)</t>
  </si>
  <si>
    <t>ASP At Breakpoints</t>
  </si>
  <si>
    <t>Notes</t>
  </si>
  <si>
    <t>Premium to Uber</t>
  </si>
  <si>
    <t>~Uber total miles</t>
  </si>
  <si>
    <t>Key drivers</t>
  </si>
  <si>
    <t>Despite Wright's Law gross margin never exceeds…</t>
  </si>
  <si>
    <t>Capital efficiency (gross capex per unit production, not in millions)</t>
  </si>
  <si>
    <t>Max annual production increase</t>
  </si>
  <si>
    <t>Percent of all Teslas in autonomous fleet in 2025</t>
  </si>
  <si>
    <t>Robotaxi works</t>
  </si>
  <si>
    <t>Percent of factory-build debt-funded</t>
  </si>
  <si>
    <t>Weighted average market cap at which equity raised</t>
  </si>
  <si>
    <t>Margin assumptions</t>
  </si>
  <si>
    <t>Insurance Assumptions</t>
  </si>
  <si>
    <t>% of cars sold with Tesla insurance in 2025</t>
  </si>
  <si>
    <t>Autonomous assumptions</t>
  </si>
  <si>
    <t>Tesla platform fee</t>
  </si>
  <si>
    <t>Tesla platform fee China</t>
  </si>
  <si>
    <t>% of fleet in China</t>
  </si>
  <si>
    <t>Valuation assumptions</t>
  </si>
  <si>
    <t>EV/EBITDA insurance busines</t>
  </si>
  <si>
    <t>Electric Vehicle Business</t>
  </si>
  <si>
    <t>Cars Produceable (units, not in millions)</t>
  </si>
  <si>
    <t>Cars sold (not in millions)</t>
  </si>
  <si>
    <t>Cumulative cars sold (not in millions)</t>
  </si>
  <si>
    <t>ASP (not in millions)</t>
  </si>
  <si>
    <t>Revenue (EV Business Only)</t>
  </si>
  <si>
    <t>Part and labor and other cost per vehicle (not in millions)</t>
  </si>
  <si>
    <t>Capital consumed per vehicle (not in millions)</t>
  </si>
  <si>
    <t>Total COGs per vehicle (not in millions)</t>
  </si>
  <si>
    <t>Gross Margin (ex-credits)</t>
  </si>
  <si>
    <t>SG&amp;A</t>
  </si>
  <si>
    <t>SG&amp;A/Sales</t>
  </si>
  <si>
    <t>R&amp;D</t>
  </si>
  <si>
    <t>R&amp;D/Sales</t>
  </si>
  <si>
    <t>EBIT</t>
  </si>
  <si>
    <t>EBIT margin</t>
  </si>
  <si>
    <t>Gross property, plant and equipment</t>
  </si>
  <si>
    <t>Accumulated depreciation</t>
  </si>
  <si>
    <t>Annual depreciation</t>
  </si>
  <si>
    <t>Net property, plant and equipment</t>
  </si>
  <si>
    <t>Depreciation/Gross PP&amp;E</t>
  </si>
  <si>
    <t>Working capital days (not in millions)</t>
  </si>
  <si>
    <t>Working capital</t>
  </si>
  <si>
    <t>Total long term debt</t>
  </si>
  <si>
    <t>Average interest paid (%)</t>
  </si>
  <si>
    <t>Year end cash for investment (includes anticipated equity raise)</t>
  </si>
  <si>
    <t>Max cash deployable given scaling constraint</t>
  </si>
  <si>
    <t>Spillover cash not deployed</t>
  </si>
  <si>
    <t>Tesla Insurance</t>
  </si>
  <si>
    <t>Percent of cars sold with insurance (non ride-hail cars)</t>
  </si>
  <si>
    <t>Cars Insured (non ride-hail cars, not in millions)</t>
  </si>
  <si>
    <t>Cumulative non ride-hail cars insured (not in millions)</t>
  </si>
  <si>
    <t>Personal Car Insurance miles</t>
  </si>
  <si>
    <t>Human Driven Ride-hail insurance miles</t>
  </si>
  <si>
    <t>Premium/mile (not in millions)</t>
  </si>
  <si>
    <t>Ride-hail premium/mile (not in millions)</t>
  </si>
  <si>
    <t>Gross premiums</t>
  </si>
  <si>
    <t>Tesla commission</t>
  </si>
  <si>
    <t>Tesla Insurance revenue</t>
  </si>
  <si>
    <t>Benefit cost per mile human driven personal car</t>
  </si>
  <si>
    <t>Benefit cost per mile human driven ride-hail</t>
  </si>
  <si>
    <t>Total Benefit cost</t>
  </si>
  <si>
    <t>Benefits cost/sales</t>
  </si>
  <si>
    <t>EBIT/sales</t>
  </si>
  <si>
    <t>Tesla Ride-hail Business</t>
  </si>
  <si>
    <t>Human Driven</t>
  </si>
  <si>
    <t>% of cars sold into human driven ride-hail network</t>
  </si>
  <si>
    <t>% of ride-hail cars fed into autonomous network</t>
  </si>
  <si>
    <t>Human ride-hail cars added annually (not in millions)</t>
  </si>
  <si>
    <t>Cumulative human ride-hail cars (not in millions)</t>
  </si>
  <si>
    <t>Miles per year per human-driven car (not in millions)</t>
  </si>
  <si>
    <t>Total human-driven miles (not in millions)</t>
  </si>
  <si>
    <t>Human Ridehail Platform cut</t>
  </si>
  <si>
    <t>Fully Autonomous Capable Fleet (not in millions)</t>
  </si>
  <si>
    <t>% of Teslas on robotaxi platform</t>
  </si>
  <si>
    <t>Tesla robotaxis cumulative (not in millions)</t>
  </si>
  <si>
    <t>Potential miles per Taxi (not in millions)</t>
  </si>
  <si>
    <t>Total robotaxi miles (not in millions)</t>
  </si>
  <si>
    <t>Autonomous Platform cut ex China</t>
  </si>
  <si>
    <t>Autonomous Platform cut in China</t>
  </si>
  <si>
    <t>Combined Ride-hail</t>
  </si>
  <si>
    <t>Total ride-hail miles (not in millions)</t>
  </si>
  <si>
    <t>Price per mile</t>
  </si>
  <si>
    <t>Gross Ride-hail Billings</t>
  </si>
  <si>
    <t>Net Ride-hail Revenue</t>
  </si>
  <si>
    <t>EBITDA Margin</t>
  </si>
  <si>
    <t>EBITDA</t>
  </si>
  <si>
    <t>Cash from Ridehail</t>
  </si>
  <si>
    <t>Tesla Consolidated</t>
  </si>
  <si>
    <t>Total EBIT</t>
  </si>
  <si>
    <t>Total EBITDA</t>
  </si>
  <si>
    <t>Debt to EBITDA</t>
  </si>
  <si>
    <t>Interest paid</t>
  </si>
  <si>
    <t>Debt to net PP&amp;E</t>
  </si>
  <si>
    <t>Cash generation</t>
  </si>
  <si>
    <t>Total Gross Margin</t>
  </si>
  <si>
    <t>Total EBITDA Margin</t>
  </si>
  <si>
    <t>EV/EBIT for Insurance</t>
  </si>
  <si>
    <t>EV/EBITDA for EV</t>
  </si>
  <si>
    <t>EV/EBITDA for MaaS</t>
  </si>
  <si>
    <t>Market Cap</t>
  </si>
  <si>
    <t>Shares Outstanding</t>
  </si>
  <si>
    <t>Stock Price</t>
  </si>
  <si>
    <t>Cash flow yield</t>
  </si>
  <si>
    <t xml:space="preserve">CAGR </t>
  </si>
  <si>
    <t>1) Inputs of the Montecarlo Model</t>
  </si>
  <si>
    <t>2) Pricing Model</t>
  </si>
  <si>
    <t>3) Output del modelo (Iteración al azar)</t>
  </si>
  <si>
    <t>Capital efficiency (gross capex per unit production)</t>
  </si>
  <si>
    <t>2025 Cars sold</t>
  </si>
  <si>
    <t>2025 ASP</t>
  </si>
  <si>
    <t>2025 Electric Vehicle Gross Margin</t>
  </si>
  <si>
    <t>Fully Autonomous Capable Fleet (not in millions, note this is different from # cars on network) in 2025</t>
  </si>
  <si>
    <t>EV/EBITDA</t>
  </si>
  <si>
    <t>2025 Cash flow yield</t>
  </si>
  <si>
    <t>2025 Electric Vehicle revenue (MM USD)</t>
  </si>
  <si>
    <t>2025 Electric Vehicle EBITDA  (MM USD)</t>
  </si>
  <si>
    <t>2025 Insurance Revenue  (MM USD)</t>
  </si>
  <si>
    <t>2025 Human-Driven Ride-hail Revenue  (MM USD)</t>
  </si>
  <si>
    <t>2025 Autonomous Ride-hail Revenue  (MM USD)</t>
  </si>
  <si>
    <t>2025 Total Revenue  (MM USD)</t>
  </si>
  <si>
    <t>2025 Total EBITDA  (MM USD)</t>
  </si>
  <si>
    <t xml:space="preserve">2025 Total EBITDA margin </t>
  </si>
  <si>
    <t>2025 Market cap  (MM USD)</t>
  </si>
  <si>
    <t>2025 Share price (USD)</t>
  </si>
  <si>
    <t>4) Resultado de las 5.000 iteraciones</t>
  </si>
  <si>
    <t>Beta</t>
  </si>
  <si>
    <t xml:space="preserve">3.1) Automotive </t>
  </si>
  <si>
    <t>3.2) Energy Generation and Storage</t>
  </si>
  <si>
    <t>3.3) Energy Generation and Storage</t>
  </si>
  <si>
    <t>3.4) Energy Generation and Storage</t>
  </si>
  <si>
    <t xml:space="preserve">1.1) Automotive </t>
  </si>
  <si>
    <t>1.2) Energy Generation and Storage</t>
  </si>
  <si>
    <t xml:space="preserve">1.3) Services and Others </t>
  </si>
  <si>
    <t xml:space="preserve">1.4) Ridehailing </t>
  </si>
  <si>
    <t>1.5) Autonomy</t>
  </si>
  <si>
    <t xml:space="preserve"> 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</si>
</sst>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 * #,##0.00_ ;_ * \-#,##0.00_ ;_ * &quot;-&quot;??_ ;_ @_ "/>
    <numFmt numFmtId="164" formatCode="0.0"/>
    <numFmt numFmtId="165" formatCode="[$$-809]#,##0.00"/>
    <numFmt numFmtId="166" formatCode="[$$-86B]\ #,##0.00"/>
    <numFmt numFmtId="167" formatCode="_(* #,##0.00_);_(* \(#,##0.00\);_(* &quot;-&quot;??_);_(@_)"/>
    <numFmt numFmtId="168" formatCode="0.0%"/>
    <numFmt numFmtId="169" formatCode="[$$-409]#,##0"/>
    <numFmt numFmtId="170" formatCode="_-* #,##0.00_-;\-* #,##0.00_-;_-* &quot;-&quot;??_-;_-@_-"/>
    <numFmt numFmtId="171" formatCode="_(* #,##0_);_(* \(#,##0\);_(* &quot;-&quot;??_);_(@_)"/>
    <numFmt numFmtId="172" formatCode="[$$-409]#,##0.00"/>
    <numFmt numFmtId="173" formatCode="_ * #,##0_ ;_ * \-#,##0_ ;_ * &quot;-&quot;??_ ;_ @_ "/>
    <numFmt numFmtId="174" formatCode="0_ ;\-0\ "/>
    <numFmt numFmtId="175" formatCode="#,##0.0"/>
    <numFmt numFmtId="176" formatCode="_-* #,##0_-;\-* #,##0_-;_-* &quot;-&quot;??_-;_-@_-"/>
    <numFmt numFmtId="177" formatCode="_(&quot;$&quot;* #,##0.00_);_(&quot;$&quot;* \(#,##0.00\);_(&quot;$&quot;* &quot;-&quot;??_);_(@_)"/>
    <numFmt numFmtId="178" formatCode="#,##0,,;\-#,##0,,"/>
    <numFmt numFmtId="179" formatCode="_-&quot;$&quot;* #,##0.00_-;\-&quot;$&quot;* #,##0.00_-;_-&quot;$&quot;* &quot;-&quot;??_-;_-@_-"/>
    <numFmt numFmtId="180" formatCode="_-&quot;$&quot;* #,##0_-;\-&quot;$&quot;* #,##0_-;_-&quot;$&quot;* &quot;-&quot;??_-;_-@_-"/>
    <numFmt numFmtId="181" formatCode="_([$$-409]* #,##0_);_([$$-409]* \(#,##0\);_([$$-409]* &quot;-&quot;??_);_(@_)"/>
    <numFmt numFmtId="182" formatCode="_(&quot;$&quot;* #,##0_);_(&quot;$&quot;* \(#,##0\);_(&quot;$&quot;* &quot;-&quot;??_);_(@_)"/>
    <numFmt numFmtId="183" formatCode="_-* #,##0.0_-;\-* #,##0.0_-;_-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Helvetica "/>
    </font>
    <font>
      <sz val="11"/>
      <color theme="1"/>
      <name val="Helvetica "/>
    </font>
    <font>
      <b/>
      <sz val="11"/>
      <color theme="1"/>
      <name val="Helvetica"/>
    </font>
    <font>
      <sz val="11"/>
      <color theme="1"/>
      <name val="Helvetica"/>
    </font>
    <font>
      <sz val="10"/>
      <name val="Arial"/>
      <family val="2"/>
    </font>
    <font>
      <sz val="14"/>
      <color theme="0"/>
      <name val="Helvetica"/>
      <family val="2"/>
    </font>
    <font>
      <sz val="14"/>
      <name val="Helvetica"/>
      <family val="2"/>
    </font>
    <font>
      <sz val="14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color theme="0"/>
      <name val="Helvetica"/>
    </font>
    <font>
      <b/>
      <sz val="11"/>
      <color theme="0"/>
      <name val="Helvetica"/>
    </font>
    <font>
      <sz val="12"/>
      <color indexed="8"/>
      <name val="Verdana"/>
      <family val="2"/>
    </font>
    <font>
      <sz val="12"/>
      <color theme="1"/>
      <name val="Calibri"/>
      <family val="2"/>
      <charset val="134"/>
      <scheme val="minor"/>
    </font>
    <font>
      <b/>
      <sz val="14"/>
      <name val="Helvetica"/>
      <family val="2"/>
    </font>
    <font>
      <sz val="11"/>
      <color indexed="8"/>
      <name val="Helvetica"/>
    </font>
    <font>
      <b/>
      <sz val="11"/>
      <color indexed="8"/>
      <name val="Helvetica"/>
    </font>
    <font>
      <sz val="11"/>
      <color rgb="FF000000"/>
      <name val="Helvetica"/>
    </font>
    <font>
      <sz val="11"/>
      <color rgb="FF0070C0"/>
      <name val="Helvetica"/>
    </font>
    <font>
      <sz val="11"/>
      <color rgb="FF3698F2"/>
      <name val="Helvetica"/>
    </font>
    <font>
      <sz val="11"/>
      <color rgb="FF5B9BD5"/>
      <name val="Helvetica"/>
    </font>
    <font>
      <sz val="11"/>
      <color theme="3" tint="0.39997558519241921"/>
      <name val="Helvetica"/>
    </font>
    <font>
      <sz val="14"/>
      <name val="Helvetica"/>
    </font>
    <font>
      <sz val="14"/>
      <color theme="1"/>
      <name val="Helvetica"/>
    </font>
    <font>
      <b/>
      <sz val="14"/>
      <color theme="1"/>
      <name val="Helvetica "/>
    </font>
    <font>
      <sz val="14"/>
      <color theme="1"/>
      <name val="Helvetica "/>
    </font>
    <font>
      <b/>
      <sz val="14"/>
      <color theme="1"/>
      <name val="Helvetica"/>
    </font>
    <font>
      <sz val="14"/>
      <color theme="0"/>
      <name val="Helvetica"/>
    </font>
    <font>
      <b/>
      <sz val="14"/>
      <color theme="0"/>
      <name val="Helvetica"/>
    </font>
    <font>
      <b/>
      <sz val="14"/>
      <color theme="0"/>
      <name val="Helvetica "/>
    </font>
    <font>
      <sz val="14"/>
      <color theme="0"/>
      <name val="Helvetica "/>
    </font>
    <font>
      <i/>
      <sz val="14"/>
      <color theme="1"/>
      <name val="Helvetica "/>
    </font>
    <font>
      <sz val="14"/>
      <name val="Helvetica 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Protection="0">
      <alignment vertical="top" wrapText="1"/>
    </xf>
    <xf numFmtId="9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13">
    <xf numFmtId="0" fontId="0" fillId="0" borderId="0" xfId="0"/>
    <xf numFmtId="1" fontId="8" fillId="3" borderId="0" xfId="3" applyNumberFormat="1" applyFont="1" applyFill="1" applyAlignment="1">
      <alignment horizontal="center"/>
    </xf>
    <xf numFmtId="3" fontId="10" fillId="2" borderId="0" xfId="3" applyNumberFormat="1" applyFont="1" applyFill="1" applyAlignment="1">
      <alignment horizontal="center"/>
    </xf>
    <xf numFmtId="9" fontId="10" fillId="2" borderId="0" xfId="5" applyFont="1" applyFill="1" applyAlignment="1">
      <alignment horizontal="center"/>
    </xf>
    <xf numFmtId="169" fontId="9" fillId="2" borderId="0" xfId="3" applyNumberFormat="1" applyFont="1" applyFill="1" applyAlignment="1">
      <alignment horizontal="center"/>
    </xf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2" borderId="0" xfId="3" applyFont="1" applyFill="1"/>
    <xf numFmtId="0" fontId="8" fillId="2" borderId="0" xfId="3" applyFont="1" applyFill="1" applyAlignment="1">
      <alignment horizontal="center"/>
    </xf>
    <xf numFmtId="169" fontId="9" fillId="2" borderId="0" xfId="5" applyNumberFormat="1" applyFont="1" applyFill="1" applyAlignment="1">
      <alignment horizontal="center"/>
    </xf>
    <xf numFmtId="172" fontId="9" fillId="2" borderId="0" xfId="3" applyNumberFormat="1" applyFont="1" applyFill="1" applyAlignment="1">
      <alignment horizontal="center"/>
    </xf>
    <xf numFmtId="0" fontId="6" fillId="2" borderId="0" xfId="0" applyFont="1" applyFill="1"/>
    <xf numFmtId="173" fontId="6" fillId="2" borderId="0" xfId="1" applyNumberFormat="1" applyFont="1" applyFill="1"/>
    <xf numFmtId="0" fontId="5" fillId="2" borderId="0" xfId="0" applyFont="1" applyFill="1"/>
    <xf numFmtId="0" fontId="12" fillId="3" borderId="0" xfId="0" applyFont="1" applyFill="1"/>
    <xf numFmtId="3" fontId="3" fillId="7" borderId="0" xfId="0" applyNumberFormat="1" applyFont="1" applyFill="1"/>
    <xf numFmtId="0" fontId="2" fillId="2" borderId="0" xfId="0" applyFont="1" applyFill="1"/>
    <xf numFmtId="9" fontId="10" fillId="2" borderId="0" xfId="5" applyNumberFormat="1" applyFont="1" applyFill="1" applyAlignment="1">
      <alignment horizontal="center"/>
    </xf>
    <xf numFmtId="168" fontId="9" fillId="2" borderId="0" xfId="5" applyNumberFormat="1" applyFont="1" applyFill="1" applyAlignment="1">
      <alignment horizontal="center"/>
    </xf>
    <xf numFmtId="0" fontId="9" fillId="2" borderId="0" xfId="3" applyFont="1" applyFill="1" applyAlignment="1">
      <alignment horizontal="center"/>
    </xf>
    <xf numFmtId="0" fontId="16" fillId="2" borderId="0" xfId="3" applyFont="1" applyFill="1" applyAlignment="1">
      <alignment horizontal="center"/>
    </xf>
    <xf numFmtId="9" fontId="9" fillId="2" borderId="0" xfId="2" applyFont="1" applyFill="1" applyAlignment="1">
      <alignment horizontal="center"/>
    </xf>
    <xf numFmtId="0" fontId="13" fillId="3" borderId="0" xfId="0" applyFont="1" applyFill="1"/>
    <xf numFmtId="0" fontId="13" fillId="2" borderId="0" xfId="0" applyFont="1" applyFill="1"/>
    <xf numFmtId="0" fontId="12" fillId="2" borderId="0" xfId="0" applyFont="1" applyFill="1"/>
    <xf numFmtId="0" fontId="6" fillId="2" borderId="0" xfId="0" applyFont="1" applyFill="1" applyProtection="1"/>
    <xf numFmtId="0" fontId="6" fillId="2" borderId="0" xfId="7" applyFont="1" applyFill="1" applyAlignment="1" applyProtection="1">
      <alignment vertical="center"/>
    </xf>
    <xf numFmtId="178" fontId="6" fillId="4" borderId="0" xfId="10" applyNumberFormat="1" applyFont="1" applyFill="1" applyAlignment="1" applyProtection="1">
      <alignment horizontal="right" vertical="center"/>
    </xf>
    <xf numFmtId="0" fontId="6" fillId="3" borderId="0" xfId="0" applyFont="1" applyFill="1"/>
    <xf numFmtId="0" fontId="6" fillId="8" borderId="0" xfId="0" applyFont="1" applyFill="1" applyProtection="1"/>
    <xf numFmtId="0" fontId="12" fillId="3" borderId="0" xfId="0" applyFont="1" applyFill="1" applyProtection="1"/>
    <xf numFmtId="0" fontId="6" fillId="8" borderId="0" xfId="7" applyFont="1" applyFill="1" applyBorder="1" applyAlignment="1">
      <alignment vertical="center"/>
    </xf>
    <xf numFmtId="0" fontId="6" fillId="2" borderId="0" xfId="7" applyFont="1" applyFill="1" applyBorder="1" applyAlignment="1" applyProtection="1">
      <alignment vertical="center"/>
    </xf>
    <xf numFmtId="43" fontId="6" fillId="2" borderId="0" xfId="1" applyFont="1" applyFill="1"/>
    <xf numFmtId="43" fontId="6" fillId="2" borderId="0" xfId="0" applyNumberFormat="1" applyFont="1" applyFill="1"/>
    <xf numFmtId="9" fontId="6" fillId="2" borderId="0" xfId="2" applyFont="1" applyFill="1"/>
    <xf numFmtId="0" fontId="17" fillId="2" borderId="0" xfId="7" applyFont="1" applyFill="1" applyAlignment="1" applyProtection="1">
      <alignment vertical="center"/>
    </xf>
    <xf numFmtId="0" fontId="17" fillId="2" borderId="0" xfId="7" applyFont="1" applyFill="1" applyAlignment="1" applyProtection="1">
      <alignment vertical="center" wrapText="1"/>
    </xf>
    <xf numFmtId="0" fontId="18" fillId="4" borderId="0" xfId="7" applyFont="1" applyFill="1" applyAlignment="1" applyProtection="1">
      <alignment vertical="center" wrapText="1"/>
    </xf>
    <xf numFmtId="0" fontId="17" fillId="4" borderId="0" xfId="7" applyFont="1" applyFill="1" applyAlignment="1" applyProtection="1">
      <alignment vertical="center" wrapText="1"/>
    </xf>
    <xf numFmtId="0" fontId="6" fillId="8" borderId="0" xfId="7" applyFont="1" applyFill="1" applyBorder="1" applyAlignment="1" applyProtection="1">
      <alignment vertical="center"/>
    </xf>
    <xf numFmtId="9" fontId="6" fillId="2" borderId="0" xfId="8" applyFont="1" applyFill="1" applyAlignment="1" applyProtection="1">
      <alignment horizontal="right" vertical="center" wrapText="1"/>
      <protection locked="0"/>
    </xf>
    <xf numFmtId="176" fontId="6" fillId="2" borderId="0" xfId="1" applyNumberFormat="1" applyFont="1" applyFill="1" applyAlignment="1" applyProtection="1">
      <alignment horizontal="right" vertical="center" wrapText="1"/>
      <protection locked="0"/>
    </xf>
    <xf numFmtId="9" fontId="6" fillId="2" borderId="0" xfId="7" applyNumberFormat="1" applyFont="1" applyFill="1" applyAlignment="1" applyProtection="1">
      <alignment horizontal="right" vertical="center"/>
      <protection locked="0"/>
    </xf>
    <xf numFmtId="9" fontId="6" fillId="2" borderId="0" xfId="8" applyFont="1" applyFill="1" applyAlignment="1" applyProtection="1">
      <alignment horizontal="right" vertical="center" wrapText="1"/>
    </xf>
    <xf numFmtId="9" fontId="6" fillId="2" borderId="0" xfId="7" applyNumberFormat="1" applyFont="1" applyFill="1" applyAlignment="1" applyProtection="1">
      <alignment horizontal="right" vertical="center" wrapText="1"/>
      <protection locked="0"/>
    </xf>
    <xf numFmtId="0" fontId="5" fillId="4" borderId="1" xfId="7" applyFont="1" applyFill="1" applyBorder="1" applyAlignment="1" applyProtection="1">
      <alignment vertical="center"/>
    </xf>
    <xf numFmtId="0" fontId="17" fillId="4" borderId="0" xfId="7" applyFont="1" applyFill="1" applyAlignment="1" applyProtection="1">
      <alignment horizontal="right" vertical="center"/>
    </xf>
    <xf numFmtId="0" fontId="19" fillId="8" borderId="0" xfId="7" applyFont="1" applyFill="1" applyAlignment="1" applyProtection="1">
      <alignment vertical="center"/>
    </xf>
    <xf numFmtId="178" fontId="6" fillId="2" borderId="0" xfId="9" applyNumberFormat="1" applyFont="1" applyFill="1" applyBorder="1" applyAlignment="1" applyProtection="1">
      <alignment horizontal="right" vertical="center"/>
      <protection locked="0"/>
    </xf>
    <xf numFmtId="0" fontId="17" fillId="0" borderId="0" xfId="7" applyFont="1" applyFill="1" applyAlignment="1" applyProtection="1">
      <alignment vertical="center"/>
    </xf>
    <xf numFmtId="178" fontId="6" fillId="2" borderId="0" xfId="9" applyNumberFormat="1" applyFont="1" applyFill="1" applyAlignment="1" applyProtection="1">
      <alignment horizontal="right" vertical="center"/>
      <protection locked="0"/>
    </xf>
    <xf numFmtId="0" fontId="17" fillId="8" borderId="0" xfId="7" applyFont="1" applyFill="1" applyAlignment="1" applyProtection="1">
      <alignment vertical="center"/>
    </xf>
    <xf numFmtId="0" fontId="18" fillId="4" borderId="0" xfId="7" applyFont="1" applyFill="1" applyAlignment="1" applyProtection="1">
      <alignment vertical="center"/>
    </xf>
    <xf numFmtId="9" fontId="6" fillId="8" borderId="0" xfId="8" applyFont="1" applyFill="1" applyAlignment="1" applyProtection="1">
      <alignment horizontal="right" vertical="center" wrapText="1"/>
      <protection locked="0"/>
    </xf>
    <xf numFmtId="167" fontId="6" fillId="2" borderId="0" xfId="8" applyNumberFormat="1" applyFont="1" applyFill="1" applyAlignment="1" applyProtection="1">
      <alignment horizontal="right" vertical="center" wrapText="1"/>
      <protection locked="0"/>
    </xf>
    <xf numFmtId="9" fontId="6" fillId="2" borderId="0" xfId="8" applyNumberFormat="1" applyFont="1" applyFill="1" applyAlignment="1" applyProtection="1">
      <alignment horizontal="right" vertical="center" wrapText="1"/>
      <protection locked="0"/>
    </xf>
    <xf numFmtId="171" fontId="6" fillId="2" borderId="0" xfId="8" applyNumberFormat="1" applyFont="1" applyFill="1" applyAlignment="1" applyProtection="1">
      <alignment horizontal="right" vertical="center" wrapText="1"/>
      <protection locked="0"/>
    </xf>
    <xf numFmtId="0" fontId="17" fillId="2" borderId="1" xfId="7" applyFont="1" applyFill="1" applyBorder="1" applyAlignment="1" applyProtection="1">
      <alignment vertical="center"/>
    </xf>
    <xf numFmtId="10" fontId="17" fillId="2" borderId="0" xfId="11" applyNumberFormat="1" applyFont="1" applyFill="1" applyAlignment="1" applyProtection="1">
      <alignment vertical="center" wrapText="1"/>
    </xf>
    <xf numFmtId="10" fontId="17" fillId="2" borderId="0" xfId="11" applyNumberFormat="1" applyFont="1" applyFill="1" applyAlignment="1" applyProtection="1">
      <alignment vertical="center"/>
    </xf>
    <xf numFmtId="0" fontId="5" fillId="8" borderId="0" xfId="7" applyFont="1" applyFill="1" applyAlignment="1" applyProtection="1">
      <alignment vertical="center"/>
    </xf>
    <xf numFmtId="0" fontId="6" fillId="8" borderId="0" xfId="7" applyFont="1" applyFill="1" applyAlignment="1" applyProtection="1">
      <alignment vertical="center"/>
    </xf>
    <xf numFmtId="176" fontId="6" fillId="8" borderId="0" xfId="1" applyNumberFormat="1" applyFont="1" applyFill="1" applyAlignment="1" applyProtection="1">
      <alignment vertical="center" wrapText="1"/>
    </xf>
    <xf numFmtId="171" fontId="17" fillId="8" borderId="0" xfId="13" applyNumberFormat="1" applyFont="1" applyFill="1" applyAlignment="1" applyProtection="1">
      <alignment vertical="center" wrapText="1"/>
    </xf>
    <xf numFmtId="9" fontId="17" fillId="8" borderId="0" xfId="11" applyFont="1" applyFill="1" applyAlignment="1" applyProtection="1">
      <alignment vertical="center" wrapText="1"/>
    </xf>
    <xf numFmtId="181" fontId="22" fillId="8" borderId="0" xfId="13" applyNumberFormat="1" applyFont="1" applyFill="1" applyAlignment="1" applyProtection="1">
      <alignment vertical="center" wrapText="1"/>
    </xf>
    <xf numFmtId="171" fontId="17" fillId="8" borderId="0" xfId="13" applyNumberFormat="1" applyFont="1" applyFill="1" applyAlignment="1" applyProtection="1">
      <alignment horizontal="center" vertical="center" wrapText="1"/>
    </xf>
    <xf numFmtId="179" fontId="21" fillId="8" borderId="0" xfId="12" applyNumberFormat="1" applyFont="1" applyFill="1" applyBorder="1" applyAlignment="1" applyProtection="1">
      <alignment vertical="center"/>
      <protection locked="0"/>
    </xf>
    <xf numFmtId="179" fontId="21" fillId="8" borderId="0" xfId="12" applyFont="1" applyFill="1" applyBorder="1" applyAlignment="1" applyProtection="1">
      <alignment vertical="center"/>
      <protection locked="0"/>
    </xf>
    <xf numFmtId="179" fontId="6" fillId="8" borderId="0" xfId="12" applyFont="1" applyFill="1" applyBorder="1" applyAlignment="1" applyProtection="1">
      <alignment vertical="center"/>
    </xf>
    <xf numFmtId="0" fontId="6" fillId="8" borderId="0" xfId="7" applyFont="1" applyFill="1" applyBorder="1" applyAlignment="1" applyProtection="1">
      <alignment vertical="center" wrapText="1"/>
    </xf>
    <xf numFmtId="179" fontId="12" fillId="3" borderId="0" xfId="12" applyNumberFormat="1" applyFont="1" applyFill="1" applyBorder="1" applyAlignment="1" applyProtection="1">
      <alignment vertical="center"/>
      <protection locked="0"/>
    </xf>
    <xf numFmtId="179" fontId="12" fillId="3" borderId="0" xfId="12" applyFont="1" applyFill="1" applyBorder="1" applyAlignment="1" applyProtection="1">
      <alignment vertical="center"/>
      <protection locked="0"/>
    </xf>
    <xf numFmtId="179" fontId="12" fillId="3" borderId="0" xfId="12" applyFont="1" applyFill="1" applyBorder="1" applyAlignment="1" applyProtection="1">
      <alignment vertical="center"/>
    </xf>
    <xf numFmtId="0" fontId="12" fillId="3" borderId="0" xfId="7" applyFont="1" applyFill="1" applyBorder="1" applyAlignment="1" applyProtection="1">
      <alignment vertical="center" wrapText="1"/>
    </xf>
    <xf numFmtId="0" fontId="13" fillId="6" borderId="0" xfId="7" applyFont="1" applyFill="1" applyBorder="1" applyAlignment="1">
      <alignment horizontal="right" vertical="center"/>
    </xf>
    <xf numFmtId="0" fontId="6" fillId="2" borderId="0" xfId="7" applyFont="1" applyFill="1" applyBorder="1" applyAlignment="1">
      <alignment vertical="center"/>
    </xf>
    <xf numFmtId="9" fontId="6" fillId="2" borderId="0" xfId="8" applyFont="1" applyFill="1" applyBorder="1" applyAlignment="1">
      <alignment horizontal="right" vertical="center"/>
    </xf>
    <xf numFmtId="182" fontId="6" fillId="2" borderId="0" xfId="9" applyNumberFormat="1" applyFont="1" applyFill="1" applyBorder="1" applyAlignment="1">
      <alignment horizontal="right" vertical="center"/>
    </xf>
    <xf numFmtId="10" fontId="17" fillId="2" borderId="0" xfId="11" applyNumberFormat="1" applyFont="1" applyFill="1" applyBorder="1" applyAlignment="1">
      <alignment vertical="center" wrapText="1"/>
    </xf>
    <xf numFmtId="9" fontId="6" fillId="2" borderId="0" xfId="8" applyFont="1" applyFill="1" applyBorder="1" applyAlignment="1">
      <alignment horizontal="right" vertical="center" wrapText="1"/>
    </xf>
    <xf numFmtId="0" fontId="17" fillId="2" borderId="0" xfId="7" applyFont="1" applyFill="1" applyBorder="1" applyAlignment="1">
      <alignment vertical="center"/>
    </xf>
    <xf numFmtId="178" fontId="6" fillId="2" borderId="0" xfId="10" applyNumberFormat="1" applyFont="1" applyFill="1" applyBorder="1" applyAlignment="1">
      <alignment horizontal="right" vertical="center"/>
    </xf>
    <xf numFmtId="9" fontId="6" fillId="2" borderId="0" xfId="2" applyFont="1" applyFill="1" applyBorder="1" applyAlignment="1">
      <alignment horizontal="right" vertical="center"/>
    </xf>
    <xf numFmtId="43" fontId="6" fillId="2" borderId="0" xfId="1" applyFont="1" applyFill="1" applyBorder="1" applyAlignment="1">
      <alignment horizontal="right" vertical="center"/>
    </xf>
    <xf numFmtId="176" fontId="6" fillId="2" borderId="0" xfId="1" applyNumberFormat="1" applyFont="1" applyFill="1" applyBorder="1" applyAlignment="1">
      <alignment horizontal="right" vertical="center"/>
    </xf>
    <xf numFmtId="37" fontId="17" fillId="2" borderId="0" xfId="13" applyNumberFormat="1" applyFont="1" applyFill="1" applyBorder="1" applyAlignment="1">
      <alignment horizontal="right" vertical="center" wrapText="1"/>
    </xf>
    <xf numFmtId="37" fontId="20" fillId="2" borderId="0" xfId="7" applyNumberFormat="1" applyFont="1" applyFill="1" applyBorder="1" applyAlignment="1">
      <alignment horizontal="right" vertical="center" wrapText="1"/>
    </xf>
    <xf numFmtId="37" fontId="19" fillId="2" borderId="0" xfId="7" applyNumberFormat="1" applyFont="1" applyFill="1" applyBorder="1" applyAlignment="1">
      <alignment horizontal="right" vertical="center" wrapText="1"/>
    </xf>
    <xf numFmtId="37" fontId="6" fillId="2" borderId="0" xfId="7" applyNumberFormat="1" applyFont="1" applyFill="1" applyBorder="1" applyAlignment="1">
      <alignment horizontal="right" vertical="center" wrapText="1"/>
    </xf>
    <xf numFmtId="176" fontId="6" fillId="2" borderId="0" xfId="10" applyNumberFormat="1" applyFont="1" applyFill="1" applyBorder="1" applyAlignment="1">
      <alignment horizontal="right" vertical="center"/>
    </xf>
    <xf numFmtId="176" fontId="17" fillId="2" borderId="0" xfId="7" applyNumberFormat="1" applyFont="1" applyFill="1" applyBorder="1" applyAlignment="1">
      <alignment horizontal="right" vertical="center" wrapText="1"/>
    </xf>
    <xf numFmtId="9" fontId="6" fillId="2" borderId="0" xfId="11" applyFont="1" applyFill="1" applyBorder="1" applyAlignment="1">
      <alignment horizontal="right" vertical="center"/>
    </xf>
    <xf numFmtId="9" fontId="23" fillId="2" borderId="0" xfId="11" applyFont="1" applyFill="1" applyBorder="1" applyAlignment="1">
      <alignment horizontal="right" vertical="center"/>
    </xf>
    <xf numFmtId="178" fontId="6" fillId="0" borderId="0" xfId="10" applyNumberFormat="1" applyFont="1" applyFill="1" applyBorder="1" applyAlignment="1">
      <alignment horizontal="right" vertical="center"/>
    </xf>
    <xf numFmtId="0" fontId="17" fillId="2" borderId="0" xfId="7" applyFont="1" applyFill="1" applyBorder="1" applyAlignment="1"/>
    <xf numFmtId="171" fontId="19" fillId="8" borderId="0" xfId="13" applyNumberFormat="1" applyFont="1" applyFill="1" applyBorder="1" applyAlignment="1">
      <alignment horizontal="right" vertical="center"/>
    </xf>
    <xf numFmtId="178" fontId="6" fillId="8" borderId="0" xfId="10" applyNumberFormat="1" applyFont="1" applyFill="1" applyBorder="1" applyAlignment="1">
      <alignment horizontal="right" vertical="center"/>
    </xf>
    <xf numFmtId="0" fontId="17" fillId="8" borderId="0" xfId="7" applyFont="1" applyFill="1" applyBorder="1" applyAlignment="1">
      <alignment vertical="center"/>
    </xf>
    <xf numFmtId="168" fontId="6" fillId="8" borderId="0" xfId="14" applyNumberFormat="1" applyFont="1" applyFill="1" applyBorder="1" applyAlignment="1">
      <alignment horizontal="right" vertical="center"/>
    </xf>
    <xf numFmtId="9" fontId="6" fillId="2" borderId="0" xfId="10" applyNumberFormat="1" applyFont="1" applyFill="1" applyBorder="1" applyAlignment="1">
      <alignment horizontal="right" vertical="center"/>
    </xf>
    <xf numFmtId="167" fontId="17" fillId="2" borderId="0" xfId="13" applyNumberFormat="1" applyFont="1" applyFill="1" applyBorder="1" applyAlignment="1">
      <alignment horizontal="right" vertical="center" wrapText="1"/>
    </xf>
    <xf numFmtId="39" fontId="17" fillId="2" borderId="0" xfId="13" applyNumberFormat="1" applyFont="1" applyFill="1" applyBorder="1" applyAlignment="1">
      <alignment horizontal="right" vertical="center" wrapText="1"/>
    </xf>
    <xf numFmtId="9" fontId="6" fillId="2" borderId="0" xfId="2" applyFont="1" applyFill="1" applyBorder="1" applyAlignment="1">
      <alignment horizontal="right" vertical="center" wrapText="1"/>
    </xf>
    <xf numFmtId="9" fontId="17" fillId="2" borderId="0" xfId="2" applyFont="1" applyFill="1" applyBorder="1" applyAlignment="1">
      <alignment horizontal="right" vertical="center" wrapText="1"/>
    </xf>
    <xf numFmtId="3" fontId="19" fillId="2" borderId="0" xfId="10" applyNumberFormat="1" applyFont="1" applyFill="1" applyBorder="1" applyAlignment="1">
      <alignment horizontal="right" vertical="center"/>
    </xf>
    <xf numFmtId="9" fontId="19" fillId="2" borderId="0" xfId="11" applyFont="1" applyFill="1" applyBorder="1" applyAlignment="1">
      <alignment horizontal="right" vertical="center"/>
    </xf>
    <xf numFmtId="3" fontId="19" fillId="2" borderId="0" xfId="7" applyNumberFormat="1" applyFont="1" applyFill="1" applyBorder="1" applyAlignment="1">
      <alignment horizontal="right" vertical="center"/>
    </xf>
    <xf numFmtId="176" fontId="19" fillId="2" borderId="0" xfId="1" applyNumberFormat="1" applyFont="1" applyFill="1" applyBorder="1" applyAlignment="1">
      <alignment horizontal="right" vertical="center"/>
    </xf>
    <xf numFmtId="176" fontId="6" fillId="2" borderId="0" xfId="7" applyNumberFormat="1" applyFont="1" applyFill="1" applyBorder="1" applyAlignment="1">
      <alignment horizontal="right" vertical="center"/>
    </xf>
    <xf numFmtId="183" fontId="17" fillId="2" borderId="0" xfId="1" applyNumberFormat="1" applyFont="1" applyFill="1" applyBorder="1" applyAlignment="1">
      <alignment horizontal="right" vertical="center" wrapText="1"/>
    </xf>
    <xf numFmtId="0" fontId="17" fillId="2" borderId="0" xfId="7" applyFont="1" applyFill="1" applyBorder="1">
      <alignment vertical="top" wrapText="1"/>
    </xf>
    <xf numFmtId="178" fontId="19" fillId="2" borderId="0" xfId="10" applyNumberFormat="1" applyFont="1" applyFill="1" applyBorder="1" applyAlignment="1">
      <alignment horizontal="right" vertical="center"/>
    </xf>
    <xf numFmtId="0" fontId="17" fillId="2" borderId="0" xfId="7" applyFont="1" applyFill="1" applyBorder="1" applyAlignment="1">
      <alignment vertical="center" wrapText="1"/>
    </xf>
    <xf numFmtId="9" fontId="6" fillId="2" borderId="0" xfId="11" applyFont="1" applyFill="1" applyBorder="1" applyAlignment="1">
      <alignment horizontal="right" vertical="center" wrapText="1"/>
    </xf>
    <xf numFmtId="171" fontId="19" fillId="8" borderId="0" xfId="7" applyNumberFormat="1" applyFont="1" applyFill="1" applyBorder="1" applyAlignment="1">
      <alignment horizontal="right" vertical="center"/>
    </xf>
    <xf numFmtId="3" fontId="17" fillId="2" borderId="0" xfId="7" applyNumberFormat="1" applyFont="1" applyFill="1" applyBorder="1" applyAlignment="1">
      <alignment horizontal="right" vertical="center" wrapText="1"/>
    </xf>
    <xf numFmtId="168" fontId="17" fillId="2" borderId="0" xfId="8" applyNumberFormat="1" applyFont="1" applyFill="1" applyBorder="1" applyAlignment="1">
      <alignment horizontal="right" vertical="center" wrapText="1"/>
    </xf>
    <xf numFmtId="9" fontId="6" fillId="2" borderId="0" xfId="11" applyFont="1" applyFill="1" applyAlignment="1" applyProtection="1">
      <alignment horizontal="right" vertical="center" wrapText="1"/>
      <protection locked="0"/>
    </xf>
    <xf numFmtId="171" fontId="6" fillId="2" borderId="0" xfId="11" applyNumberFormat="1" applyFont="1" applyFill="1" applyAlignment="1" applyProtection="1">
      <alignment horizontal="right" vertical="center" wrapText="1"/>
      <protection locked="0"/>
    </xf>
    <xf numFmtId="0" fontId="5" fillId="4" borderId="1" xfId="7" applyFont="1" applyFill="1" applyBorder="1" applyAlignment="1" applyProtection="1">
      <alignment horizontal="center" vertical="center"/>
    </xf>
    <xf numFmtId="0" fontId="5" fillId="4" borderId="0" xfId="7" applyFont="1" applyFill="1" applyBorder="1" applyAlignment="1" applyProtection="1">
      <alignment horizontal="center" vertical="center"/>
    </xf>
    <xf numFmtId="0" fontId="5" fillId="4" borderId="0" xfId="7" applyFont="1" applyFill="1" applyBorder="1" applyAlignment="1">
      <alignment vertical="center"/>
    </xf>
    <xf numFmtId="0" fontId="5" fillId="4" borderId="0" xfId="7" applyFont="1" applyFill="1" applyBorder="1" applyAlignment="1">
      <alignment horizontal="right" vertical="center"/>
    </xf>
    <xf numFmtId="178" fontId="6" fillId="4" borderId="0" xfId="10" applyNumberFormat="1" applyFont="1" applyFill="1" applyBorder="1" applyAlignment="1">
      <alignment horizontal="right" vertical="center"/>
    </xf>
    <xf numFmtId="178" fontId="20" fillId="4" borderId="0" xfId="10" applyNumberFormat="1" applyFont="1" applyFill="1" applyBorder="1" applyAlignment="1">
      <alignment horizontal="right" vertical="center"/>
    </xf>
    <xf numFmtId="0" fontId="17" fillId="4" borderId="0" xfId="7" applyFont="1" applyFill="1" applyBorder="1" applyAlignment="1">
      <alignment horizontal="right" vertical="center" wrapText="1"/>
    </xf>
    <xf numFmtId="178" fontId="5" fillId="4" borderId="0" xfId="10" applyNumberFormat="1" applyFont="1" applyFill="1" applyBorder="1" applyAlignment="1">
      <alignment horizontal="right" vertical="center"/>
    </xf>
    <xf numFmtId="0" fontId="18" fillId="4" borderId="0" xfId="7" applyFont="1" applyFill="1" applyBorder="1" applyAlignment="1">
      <alignment vertical="center"/>
    </xf>
    <xf numFmtId="178" fontId="18" fillId="4" borderId="0" xfId="10" applyNumberFormat="1" applyFont="1" applyFill="1" applyBorder="1" applyAlignment="1">
      <alignment horizontal="right" vertical="center"/>
    </xf>
    <xf numFmtId="0" fontId="17" fillId="4" borderId="0" xfId="7" applyFont="1" applyFill="1" applyBorder="1" applyAlignment="1">
      <alignment horizontal="right" vertical="center"/>
    </xf>
    <xf numFmtId="0" fontId="18" fillId="2" borderId="0" xfId="7" applyFont="1" applyFill="1" applyBorder="1" applyAlignment="1">
      <alignment vertical="center"/>
    </xf>
    <xf numFmtId="178" fontId="18" fillId="2" borderId="0" xfId="10" applyNumberFormat="1" applyFont="1" applyFill="1" applyBorder="1" applyAlignment="1">
      <alignment horizontal="right" vertical="center"/>
    </xf>
    <xf numFmtId="0" fontId="10" fillId="2" borderId="0" xfId="0" applyFont="1" applyFill="1"/>
    <xf numFmtId="169" fontId="24" fillId="2" borderId="0" xfId="5" applyNumberFormat="1" applyFont="1" applyFill="1" applyAlignment="1">
      <alignment horizontal="center"/>
    </xf>
    <xf numFmtId="0" fontId="25" fillId="2" borderId="0" xfId="0" applyFont="1" applyFill="1"/>
    <xf numFmtId="9" fontId="24" fillId="2" borderId="0" xfId="5" applyFont="1" applyFill="1" applyAlignment="1">
      <alignment horizontal="center"/>
    </xf>
    <xf numFmtId="0" fontId="24" fillId="2" borderId="0" xfId="3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3" borderId="0" xfId="0" applyFont="1" applyFill="1"/>
    <xf numFmtId="174" fontId="30" fillId="3" borderId="0" xfId="1" applyNumberFormat="1" applyFont="1" applyFill="1"/>
    <xf numFmtId="173" fontId="25" fillId="2" borderId="0" xfId="1" applyNumberFormat="1" applyFont="1" applyFill="1"/>
    <xf numFmtId="0" fontId="25" fillId="2" borderId="0" xfId="0" applyFont="1" applyFill="1" applyAlignment="1">
      <alignment horizontal="left"/>
    </xf>
    <xf numFmtId="0" fontId="25" fillId="4" borderId="0" xfId="0" applyFont="1" applyFill="1"/>
    <xf numFmtId="173" fontId="25" fillId="4" borderId="0" xfId="1" applyNumberFormat="1" applyFont="1" applyFill="1"/>
    <xf numFmtId="0" fontId="28" fillId="2" borderId="0" xfId="0" applyFont="1" applyFill="1" applyAlignment="1">
      <alignment horizontal="right"/>
    </xf>
    <xf numFmtId="0" fontId="25" fillId="2" borderId="0" xfId="0" applyFont="1" applyFill="1" applyAlignment="1">
      <alignment horizontal="right"/>
    </xf>
    <xf numFmtId="173" fontId="29" fillId="3" borderId="0" xfId="1" applyNumberFormat="1" applyFont="1" applyFill="1"/>
    <xf numFmtId="0" fontId="29" fillId="5" borderId="0" xfId="0" applyFont="1" applyFill="1"/>
    <xf numFmtId="0" fontId="25" fillId="2" borderId="0" xfId="0" applyFont="1" applyFill="1" applyAlignment="1">
      <alignment horizontal="center"/>
    </xf>
    <xf numFmtId="0" fontId="28" fillId="4" borderId="0" xfId="0" applyFont="1" applyFill="1"/>
    <xf numFmtId="0" fontId="28" fillId="4" borderId="0" xfId="0" applyFont="1" applyFill="1" applyAlignment="1">
      <alignment horizontal="center"/>
    </xf>
    <xf numFmtId="0" fontId="5" fillId="6" borderId="0" xfId="7" applyFont="1" applyFill="1" applyBorder="1" applyAlignment="1">
      <alignment horizontal="right" vertical="center"/>
    </xf>
    <xf numFmtId="0" fontId="5" fillId="9" borderId="0" xfId="7" applyFont="1" applyFill="1" applyBorder="1" applyAlignment="1">
      <alignment vertical="center"/>
    </xf>
    <xf numFmtId="178" fontId="5" fillId="9" borderId="0" xfId="10" applyNumberFormat="1" applyFont="1" applyFill="1" applyBorder="1" applyAlignment="1">
      <alignment horizontal="right" vertical="center"/>
    </xf>
    <xf numFmtId="0" fontId="31" fillId="3" borderId="0" xfId="0" applyFont="1" applyFill="1"/>
    <xf numFmtId="0" fontId="32" fillId="3" borderId="0" xfId="0" applyFont="1" applyFill="1"/>
    <xf numFmtId="1" fontId="31" fillId="3" borderId="0" xfId="0" applyNumberFormat="1" applyFont="1" applyFill="1"/>
    <xf numFmtId="1" fontId="26" fillId="2" borderId="0" xfId="0" applyNumberFormat="1" applyFont="1" applyFill="1"/>
    <xf numFmtId="3" fontId="27" fillId="2" borderId="0" xfId="0" applyNumberFormat="1" applyFont="1" applyFill="1"/>
    <xf numFmtId="0" fontId="33" fillId="2" borderId="0" xfId="0" applyNumberFormat="1" applyFont="1" applyFill="1" applyAlignment="1">
      <alignment horizontal="right"/>
    </xf>
    <xf numFmtId="0" fontId="27" fillId="2" borderId="0" xfId="0" applyNumberFormat="1" applyFont="1" applyFill="1"/>
    <xf numFmtId="168" fontId="27" fillId="2" borderId="0" xfId="0" applyNumberFormat="1" applyFont="1" applyFill="1" applyBorder="1"/>
    <xf numFmtId="1" fontId="27" fillId="2" borderId="0" xfId="0" applyNumberFormat="1" applyFont="1" applyFill="1" applyBorder="1"/>
    <xf numFmtId="3" fontId="27" fillId="2" borderId="0" xfId="0" applyNumberFormat="1" applyFont="1" applyFill="1" applyBorder="1"/>
    <xf numFmtId="1" fontId="27" fillId="2" borderId="0" xfId="0" applyNumberFormat="1" applyFont="1" applyFill="1"/>
    <xf numFmtId="164" fontId="27" fillId="2" borderId="0" xfId="0" applyNumberFormat="1" applyFont="1" applyFill="1"/>
    <xf numFmtId="0" fontId="27" fillId="2" borderId="0" xfId="0" applyNumberFormat="1" applyFont="1" applyFill="1" applyAlignment="1">
      <alignment horizontal="center"/>
    </xf>
    <xf numFmtId="0" fontId="25" fillId="2" borderId="0" xfId="0" applyNumberFormat="1" applyFont="1" applyFill="1"/>
    <xf numFmtId="168" fontId="25" fillId="2" borderId="0" xfId="0" applyNumberFormat="1" applyFont="1" applyFill="1"/>
    <xf numFmtId="3" fontId="25" fillId="2" borderId="0" xfId="0" applyNumberFormat="1" applyFont="1" applyFill="1"/>
    <xf numFmtId="164" fontId="25" fillId="2" borderId="0" xfId="0" applyNumberFormat="1" applyFont="1" applyFill="1"/>
    <xf numFmtId="3" fontId="25" fillId="7" borderId="0" xfId="0" applyNumberFormat="1" applyFont="1" applyFill="1"/>
    <xf numFmtId="175" fontId="25" fillId="7" borderId="0" xfId="0" applyNumberFormat="1" applyFont="1" applyFill="1"/>
    <xf numFmtId="2" fontId="27" fillId="2" borderId="0" xfId="0" applyNumberFormat="1" applyFont="1" applyFill="1"/>
    <xf numFmtId="9" fontId="27" fillId="2" borderId="0" xfId="0" applyNumberFormat="1" applyFont="1" applyFill="1"/>
    <xf numFmtId="0" fontId="34" fillId="2" borderId="0" xfId="0" applyNumberFormat="1" applyFont="1" applyFill="1"/>
    <xf numFmtId="168" fontId="27" fillId="2" borderId="0" xfId="0" applyNumberFormat="1" applyFont="1" applyFill="1" applyAlignment="1">
      <alignment horizontal="center"/>
    </xf>
    <xf numFmtId="1" fontId="27" fillId="2" borderId="0" xfId="0" applyNumberFormat="1" applyFont="1" applyFill="1" applyAlignment="1">
      <alignment horizontal="center"/>
    </xf>
    <xf numFmtId="3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3" fontId="27" fillId="7" borderId="0" xfId="0" applyNumberFormat="1" applyFont="1" applyFill="1" applyAlignment="1">
      <alignment horizontal="center"/>
    </xf>
    <xf numFmtId="1" fontId="25" fillId="2" borderId="0" xfId="0" applyNumberFormat="1" applyFont="1" applyFill="1"/>
    <xf numFmtId="165" fontId="25" fillId="2" borderId="0" xfId="0" applyNumberFormat="1" applyFont="1" applyFill="1"/>
    <xf numFmtId="168" fontId="25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/>
    </xf>
    <xf numFmtId="9" fontId="25" fillId="2" borderId="0" xfId="0" applyNumberFormat="1" applyFont="1" applyFill="1" applyAlignment="1">
      <alignment horizontal="center"/>
    </xf>
    <xf numFmtId="0" fontId="25" fillId="2" borderId="0" xfId="0" applyNumberFormat="1" applyFont="1" applyFill="1" applyAlignment="1">
      <alignment horizontal="center"/>
    </xf>
    <xf numFmtId="166" fontId="27" fillId="2" borderId="0" xfId="0" applyNumberFormat="1" applyFont="1" applyFill="1"/>
    <xf numFmtId="3" fontId="25" fillId="7" borderId="0" xfId="0" applyNumberFormat="1" applyFont="1" applyFill="1" applyAlignment="1">
      <alignment horizontal="center"/>
    </xf>
    <xf numFmtId="1" fontId="25" fillId="7" borderId="0" xfId="0" applyNumberFormat="1" applyFont="1" applyFill="1" applyAlignment="1">
      <alignment horizontal="center"/>
    </xf>
    <xf numFmtId="1" fontId="27" fillId="7" borderId="0" xfId="0" applyNumberFormat="1" applyFont="1" applyFill="1" applyAlignment="1">
      <alignment horizontal="center"/>
    </xf>
    <xf numFmtId="3" fontId="27" fillId="7" borderId="0" xfId="0" applyNumberFormat="1" applyFont="1" applyFill="1"/>
    <xf numFmtId="0" fontId="5" fillId="8" borderId="0" xfId="7" applyFont="1" applyFill="1" applyAlignment="1" applyProtection="1">
      <alignment horizontal="center" vertical="center"/>
    </xf>
    <xf numFmtId="9" fontId="5" fillId="8" borderId="0" xfId="11" applyFont="1" applyFill="1" applyAlignment="1" applyProtection="1">
      <alignment horizontal="center" vertical="center" wrapText="1"/>
    </xf>
    <xf numFmtId="180" fontId="6" fillId="8" borderId="0" xfId="12" applyNumberFormat="1" applyFont="1" applyFill="1" applyAlignment="1" applyProtection="1">
      <alignment horizontal="center" vertical="center"/>
      <protection locked="0"/>
    </xf>
    <xf numFmtId="176" fontId="6" fillId="8" borderId="0" xfId="1" applyNumberFormat="1" applyFont="1" applyFill="1" applyAlignment="1" applyProtection="1">
      <alignment horizontal="center" vertical="center" wrapText="1"/>
      <protection locked="0"/>
    </xf>
    <xf numFmtId="171" fontId="17" fillId="8" borderId="0" xfId="11" applyNumberFormat="1" applyFont="1" applyFill="1" applyAlignment="1" applyProtection="1">
      <alignment horizontal="center" vertical="center" wrapText="1"/>
    </xf>
    <xf numFmtId="176" fontId="6" fillId="8" borderId="0" xfId="1" applyNumberFormat="1" applyFont="1" applyFill="1" applyAlignment="1" applyProtection="1">
      <alignment horizontal="center" vertical="center" wrapText="1"/>
    </xf>
    <xf numFmtId="171" fontId="6" fillId="8" borderId="0" xfId="11" applyNumberFormat="1" applyFont="1" applyFill="1" applyAlignment="1" applyProtection="1">
      <alignment horizontal="center" vertical="center"/>
      <protection locked="0"/>
    </xf>
    <xf numFmtId="181" fontId="6" fillId="8" borderId="0" xfId="13" applyNumberFormat="1" applyFont="1" applyFill="1" applyAlignment="1" applyProtection="1">
      <alignment horizontal="center" vertical="center" wrapText="1"/>
      <protection locked="0"/>
    </xf>
    <xf numFmtId="0" fontId="18" fillId="8" borderId="0" xfId="7" applyFont="1" applyFill="1" applyAlignment="1" applyProtection="1">
      <alignment horizontal="center" vertical="center" wrapText="1"/>
    </xf>
    <xf numFmtId="0" fontId="5" fillId="8" borderId="0" xfId="7" applyFont="1" applyFill="1" applyBorder="1" applyAlignment="1" applyProtection="1">
      <alignment vertical="center"/>
    </xf>
    <xf numFmtId="179" fontId="6" fillId="8" borderId="0" xfId="12" applyFont="1" applyFill="1" applyBorder="1" applyAlignment="1" applyProtection="1">
      <alignment vertical="center"/>
      <protection locked="0"/>
    </xf>
    <xf numFmtId="179" fontId="6" fillId="8" borderId="0" xfId="12" applyNumberFormat="1" applyFont="1" applyFill="1" applyBorder="1" applyAlignment="1" applyProtection="1">
      <alignment horizontal="right" vertical="center"/>
      <protection locked="0"/>
    </xf>
    <xf numFmtId="3" fontId="4" fillId="7" borderId="0" xfId="0" applyNumberFormat="1" applyFont="1" applyFill="1"/>
    <xf numFmtId="0" fontId="27" fillId="4" borderId="0" xfId="0" applyFont="1" applyFill="1"/>
    <xf numFmtId="3" fontId="27" fillId="4" borderId="0" xfId="0" applyNumberFormat="1" applyFont="1" applyFill="1"/>
    <xf numFmtId="1" fontId="27" fillId="4" borderId="0" xfId="0" applyNumberFormat="1" applyFont="1" applyFill="1"/>
    <xf numFmtId="0" fontId="27" fillId="4" borderId="0" xfId="0" applyNumberFormat="1" applyFont="1" applyFill="1"/>
  </cellXfs>
  <cellStyles count="15">
    <cellStyle name="Comma 2" xfId="13"/>
    <cellStyle name="Comma 3 2" xfId="10"/>
    <cellStyle name="Currency 2" xfId="9"/>
    <cellStyle name="Currency 3" xfId="12"/>
    <cellStyle name="Millares" xfId="1" builtinId="3"/>
    <cellStyle name="Millares 2" xfId="4"/>
    <cellStyle name="Normal" xfId="0" builtinId="0"/>
    <cellStyle name="Normal 2" xfId="3"/>
    <cellStyle name="Normal 3" xfId="7"/>
    <cellStyle name="Normal 9" xfId="6"/>
    <cellStyle name="Percent 2" xfId="8"/>
    <cellStyle name="Percent 2 2" xfId="14"/>
    <cellStyle name="Percent 3" xfId="11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4:N349"/>
  <sheetViews>
    <sheetView tabSelected="1" topLeftCell="A58" zoomScale="70" zoomScaleNormal="70" workbookViewId="0">
      <selection activeCell="M72" sqref="M72"/>
    </sheetView>
  </sheetViews>
  <sheetFormatPr baseColWidth="10" defaultRowHeight="18" outlineLevelRow="1"/>
  <cols>
    <col min="1" max="1" width="11.42578125" style="136"/>
    <col min="2" max="2" width="45" style="136" customWidth="1"/>
    <col min="3" max="3" width="21.42578125" style="136" customWidth="1"/>
    <col min="4" max="4" width="18.7109375" style="136" customWidth="1"/>
    <col min="5" max="5" width="15.42578125" style="136" bestFit="1" customWidth="1"/>
    <col min="6" max="6" width="15.140625" style="136" bestFit="1" customWidth="1"/>
    <col min="7" max="8" width="15.42578125" style="136" bestFit="1" customWidth="1"/>
    <col min="9" max="10" width="16" style="136" bestFit="1" customWidth="1"/>
    <col min="11" max="11" width="17.140625" style="136" bestFit="1" customWidth="1"/>
    <col min="12" max="12" width="18.5703125" style="136" customWidth="1"/>
    <col min="13" max="13" width="18.140625" style="136" customWidth="1"/>
    <col min="14" max="16384" width="11.42578125" style="136"/>
  </cols>
  <sheetData>
    <row r="4" spans="2:13">
      <c r="B4" s="139" t="s">
        <v>178</v>
      </c>
      <c r="C4" s="140"/>
    </row>
    <row r="5" spans="2:13">
      <c r="B5" s="139" t="s">
        <v>179</v>
      </c>
      <c r="C5" s="140"/>
    </row>
    <row r="6" spans="2:13">
      <c r="B6" s="141" t="s">
        <v>177</v>
      </c>
      <c r="C6" s="140"/>
    </row>
    <row r="7" spans="2:13">
      <c r="B7" s="139" t="s">
        <v>176</v>
      </c>
    </row>
    <row r="10" spans="2:13">
      <c r="B10" s="5" t="s">
        <v>148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2:13">
      <c r="B12" s="142" t="s">
        <v>52</v>
      </c>
      <c r="C12" s="143"/>
      <c r="D12" s="143">
        <v>2021</v>
      </c>
      <c r="E12" s="143">
        <v>2022</v>
      </c>
      <c r="F12" s="143">
        <v>2023</v>
      </c>
      <c r="G12" s="143">
        <v>2024</v>
      </c>
      <c r="H12" s="143">
        <v>2025</v>
      </c>
      <c r="I12" s="143">
        <v>2026</v>
      </c>
      <c r="J12" s="143">
        <v>2027</v>
      </c>
      <c r="K12" s="143">
        <v>2028</v>
      </c>
      <c r="L12" s="143">
        <v>2029</v>
      </c>
      <c r="M12" s="143">
        <v>2030</v>
      </c>
    </row>
    <row r="14" spans="2:13" outlineLevel="1"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2:13" outlineLevel="1">
      <c r="B15" s="141" t="s">
        <v>380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</row>
    <row r="16" spans="2:13" outlineLevel="1"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</row>
    <row r="17" spans="2:13" outlineLevel="1">
      <c r="B17" s="136" t="s">
        <v>145</v>
      </c>
      <c r="C17" s="144"/>
      <c r="D17" s="144">
        <v>724488.15</v>
      </c>
      <c r="E17" s="144">
        <v>1050507.8174999999</v>
      </c>
      <c r="F17" s="144">
        <v>1523236.3353749998</v>
      </c>
      <c r="G17" s="144">
        <v>2208692.6862937496</v>
      </c>
      <c r="H17" s="144">
        <v>3202604.3951259367</v>
      </c>
      <c r="I17" s="144">
        <v>4643776.3729326082</v>
      </c>
      <c r="J17" s="144">
        <v>6733475.7407522816</v>
      </c>
      <c r="K17" s="144">
        <v>9763539.8240908086</v>
      </c>
      <c r="L17" s="144">
        <v>14157132.744931672</v>
      </c>
      <c r="M17" s="144">
        <v>20527842.480150923</v>
      </c>
    </row>
    <row r="18" spans="2:13" outlineLevel="1">
      <c r="B18" s="145" t="s">
        <v>5</v>
      </c>
      <c r="C18" s="144"/>
      <c r="D18" s="144">
        <v>54059.435961789022</v>
      </c>
      <c r="E18" s="144">
        <v>53667.799322989995</v>
      </c>
      <c r="F18" s="144">
        <v>53276.162684190967</v>
      </c>
      <c r="G18" s="144">
        <v>52884.52604539194</v>
      </c>
      <c r="H18" s="144">
        <v>52492.889406592913</v>
      </c>
      <c r="I18" s="144">
        <v>52101.252767793885</v>
      </c>
      <c r="J18" s="144">
        <v>51709.616128994858</v>
      </c>
      <c r="K18" s="144">
        <v>51317.97949019583</v>
      </c>
      <c r="L18" s="144">
        <v>50926.342851396803</v>
      </c>
      <c r="M18" s="144">
        <v>50000</v>
      </c>
    </row>
    <row r="19" spans="2:13" outlineLevel="1">
      <c r="B19" s="136" t="s">
        <v>146</v>
      </c>
      <c r="C19" s="144"/>
      <c r="D19" s="144">
        <v>39165.420749999997</v>
      </c>
      <c r="E19" s="144">
        <v>56378.442736822188</v>
      </c>
      <c r="F19" s="144">
        <v>81152.18680990937</v>
      </c>
      <c r="G19" s="144">
        <v>116805.66589456849</v>
      </c>
      <c r="H19" s="144">
        <v>168113.9583264142</v>
      </c>
      <c r="I19" s="144">
        <v>241946.56660327091</v>
      </c>
      <c r="J19" s="144">
        <v>348185.44576819974</v>
      </c>
      <c r="K19" s="144">
        <v>501045.13644440233</v>
      </c>
      <c r="L19" s="144">
        <v>720970.99596112664</v>
      </c>
      <c r="M19" s="144">
        <v>1026392.1240075461</v>
      </c>
    </row>
    <row r="20" spans="2:13" outlineLevel="1">
      <c r="B20" s="136" t="s">
        <v>54</v>
      </c>
      <c r="C20" s="144"/>
      <c r="D20" s="144">
        <v>1157.2</v>
      </c>
      <c r="E20" s="144">
        <v>1272.92</v>
      </c>
      <c r="F20" s="144">
        <v>1400.2120000000002</v>
      </c>
      <c r="G20" s="144">
        <v>1540.2332000000004</v>
      </c>
      <c r="H20" s="144">
        <v>1694.2565200000006</v>
      </c>
      <c r="I20" s="144">
        <v>1863.6821720000007</v>
      </c>
      <c r="J20" s="144">
        <v>2050.0503892000011</v>
      </c>
      <c r="K20" s="144">
        <v>2255.0554281200016</v>
      </c>
      <c r="L20" s="144">
        <v>2480.560970932002</v>
      </c>
      <c r="M20" s="144">
        <v>2728.6170680252026</v>
      </c>
    </row>
    <row r="21" spans="2:13" outlineLevel="1">
      <c r="B21" s="146"/>
      <c r="C21" s="147"/>
      <c r="D21" s="147">
        <f>D19+D20</f>
        <v>40322.620749999995</v>
      </c>
      <c r="E21" s="147">
        <f>E19+E20</f>
        <v>57651.362736822186</v>
      </c>
      <c r="F21" s="147">
        <f t="shared" ref="F21:M21" si="0">F19+F20</f>
        <v>82552.398809909369</v>
      </c>
      <c r="G21" s="147">
        <f t="shared" si="0"/>
        <v>118345.89909456849</v>
      </c>
      <c r="H21" s="147">
        <f t="shared" si="0"/>
        <v>169808.21484641419</v>
      </c>
      <c r="I21" s="147">
        <f t="shared" si="0"/>
        <v>243810.24877527091</v>
      </c>
      <c r="J21" s="147">
        <f t="shared" si="0"/>
        <v>350235.49615739973</v>
      </c>
      <c r="K21" s="147">
        <f t="shared" si="0"/>
        <v>503300.19187252235</v>
      </c>
      <c r="L21" s="147">
        <f t="shared" si="0"/>
        <v>723451.55693205865</v>
      </c>
      <c r="M21" s="147">
        <f t="shared" si="0"/>
        <v>1029120.7410755713</v>
      </c>
    </row>
    <row r="22" spans="2:13" outlineLevel="1"/>
    <row r="23" spans="2:13" outlineLevel="1">
      <c r="B23" s="141" t="s">
        <v>381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</row>
    <row r="24" spans="2:13" outlineLevel="1"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</row>
    <row r="25" spans="2:13" outlineLevel="1">
      <c r="B25" s="148" t="s">
        <v>56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</row>
    <row r="26" spans="2:13" outlineLevel="1">
      <c r="B26" s="141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2:13" outlineLevel="1">
      <c r="B27" s="136" t="s">
        <v>57</v>
      </c>
      <c r="C27" s="144"/>
      <c r="D27" s="144">
        <f>D28+D29</f>
        <v>110</v>
      </c>
      <c r="E27" s="144">
        <f t="shared" ref="E27:M27" si="1">E28+E29</f>
        <v>167.66666666666669</v>
      </c>
      <c r="F27" s="144">
        <f t="shared" si="1"/>
        <v>231.07500000000002</v>
      </c>
      <c r="G27" s="144">
        <f t="shared" si="1"/>
        <v>300.65499999999997</v>
      </c>
      <c r="H27" s="144">
        <f t="shared" si="1"/>
        <v>376.86531250000007</v>
      </c>
      <c r="I27" s="144">
        <f t="shared" si="1"/>
        <v>460.19501875000009</v>
      </c>
      <c r="J27" s="144">
        <f t="shared" si="1"/>
        <v>551.1655323437501</v>
      </c>
      <c r="K27" s="144">
        <f t="shared" si="1"/>
        <v>650.3326097500003</v>
      </c>
      <c r="L27" s="144">
        <f t="shared" si="1"/>
        <v>758.28848106601606</v>
      </c>
      <c r="M27" s="144">
        <f t="shared" si="1"/>
        <v>875.66410798925813</v>
      </c>
    </row>
    <row r="28" spans="2:13" outlineLevel="1">
      <c r="B28" s="149" t="s">
        <v>58</v>
      </c>
      <c r="C28" s="144"/>
      <c r="D28" s="144">
        <v>100</v>
      </c>
      <c r="E28" s="144">
        <v>100</v>
      </c>
      <c r="F28" s="144">
        <v>100</v>
      </c>
      <c r="G28" s="144">
        <v>100</v>
      </c>
      <c r="H28" s="144">
        <v>100</v>
      </c>
      <c r="I28" s="144">
        <v>100</v>
      </c>
      <c r="J28" s="144">
        <v>100</v>
      </c>
      <c r="K28" s="144">
        <v>100</v>
      </c>
      <c r="L28" s="144">
        <v>100</v>
      </c>
      <c r="M28" s="144">
        <v>100</v>
      </c>
    </row>
    <row r="29" spans="2:13" outlineLevel="1">
      <c r="B29" s="149" t="s">
        <v>59</v>
      </c>
      <c r="C29" s="144"/>
      <c r="D29" s="144">
        <v>10</v>
      </c>
      <c r="E29" s="144">
        <v>67.666666666666671</v>
      </c>
      <c r="F29" s="144">
        <v>131.07500000000002</v>
      </c>
      <c r="G29" s="144">
        <v>200.655</v>
      </c>
      <c r="H29" s="144">
        <v>276.86531250000007</v>
      </c>
      <c r="I29" s="144">
        <v>360.19501875000009</v>
      </c>
      <c r="J29" s="144">
        <v>451.16553234375016</v>
      </c>
      <c r="K29" s="144">
        <v>550.3326097500003</v>
      </c>
      <c r="L29" s="144">
        <v>658.28848106601606</v>
      </c>
      <c r="M29" s="144">
        <v>775.66410798925813</v>
      </c>
    </row>
    <row r="30" spans="2:13" outlineLevel="1"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</row>
    <row r="31" spans="2:13" outlineLevel="1">
      <c r="B31" s="136" t="s">
        <v>60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</row>
    <row r="32" spans="2:13" outlineLevel="1">
      <c r="B32" s="149" t="s">
        <v>58</v>
      </c>
      <c r="C32" s="144"/>
      <c r="D32" s="144">
        <v>2</v>
      </c>
      <c r="E32" s="144">
        <v>2</v>
      </c>
      <c r="F32" s="144">
        <v>2</v>
      </c>
      <c r="G32" s="144">
        <v>2</v>
      </c>
      <c r="H32" s="144">
        <v>2</v>
      </c>
      <c r="I32" s="144">
        <v>2</v>
      </c>
      <c r="J32" s="144">
        <v>2</v>
      </c>
      <c r="K32" s="144">
        <v>2</v>
      </c>
      <c r="L32" s="144">
        <v>2</v>
      </c>
      <c r="M32" s="144">
        <v>2</v>
      </c>
    </row>
    <row r="33" spans="2:13" outlineLevel="1">
      <c r="B33" s="149" t="s">
        <v>59</v>
      </c>
      <c r="C33" s="144"/>
      <c r="D33" s="144">
        <v>6</v>
      </c>
      <c r="E33" s="144">
        <v>6</v>
      </c>
      <c r="F33" s="144">
        <v>6</v>
      </c>
      <c r="G33" s="144">
        <v>6</v>
      </c>
      <c r="H33" s="144">
        <v>6</v>
      </c>
      <c r="I33" s="144">
        <v>6</v>
      </c>
      <c r="J33" s="144">
        <v>6</v>
      </c>
      <c r="K33" s="144">
        <v>6</v>
      </c>
      <c r="L33" s="144">
        <v>6</v>
      </c>
      <c r="M33" s="144">
        <v>6</v>
      </c>
    </row>
    <row r="34" spans="2:13" outlineLevel="1"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</row>
    <row r="35" spans="2:13" outlineLevel="1">
      <c r="B35" s="136" t="s">
        <v>147</v>
      </c>
      <c r="C35" s="144"/>
      <c r="D35" s="144">
        <f>D36+D37</f>
        <v>260</v>
      </c>
      <c r="E35" s="144">
        <f t="shared" ref="E35:M35" si="2">E36+E37</f>
        <v>606</v>
      </c>
      <c r="F35" s="144">
        <f t="shared" si="2"/>
        <v>986.45</v>
      </c>
      <c r="G35" s="144">
        <f t="shared" si="2"/>
        <v>1403.93</v>
      </c>
      <c r="H35" s="144">
        <f t="shared" si="2"/>
        <v>1861.1918750000004</v>
      </c>
      <c r="I35" s="144">
        <f t="shared" si="2"/>
        <v>2361.1701125000004</v>
      </c>
      <c r="J35" s="144">
        <f t="shared" si="2"/>
        <v>2906.9931940625011</v>
      </c>
      <c r="K35" s="144">
        <f t="shared" si="2"/>
        <v>3501.9956585000018</v>
      </c>
      <c r="L35" s="144">
        <f t="shared" si="2"/>
        <v>4149.7308863960961</v>
      </c>
      <c r="M35" s="144">
        <f t="shared" si="2"/>
        <v>4853.9846479355492</v>
      </c>
    </row>
    <row r="36" spans="2:13" outlineLevel="1">
      <c r="B36" s="149" t="s">
        <v>58</v>
      </c>
      <c r="C36" s="144"/>
      <c r="D36" s="144">
        <f>D28*D32</f>
        <v>200</v>
      </c>
      <c r="E36" s="144">
        <f t="shared" ref="E36:M36" si="3">E28*E32</f>
        <v>200</v>
      </c>
      <c r="F36" s="144">
        <f t="shared" si="3"/>
        <v>200</v>
      </c>
      <c r="G36" s="144">
        <f t="shared" si="3"/>
        <v>200</v>
      </c>
      <c r="H36" s="144">
        <f t="shared" si="3"/>
        <v>200</v>
      </c>
      <c r="I36" s="144">
        <f t="shared" si="3"/>
        <v>200</v>
      </c>
      <c r="J36" s="144">
        <f t="shared" si="3"/>
        <v>200</v>
      </c>
      <c r="K36" s="144">
        <f t="shared" si="3"/>
        <v>200</v>
      </c>
      <c r="L36" s="144">
        <f t="shared" si="3"/>
        <v>200</v>
      </c>
      <c r="M36" s="144">
        <f t="shared" si="3"/>
        <v>200</v>
      </c>
    </row>
    <row r="37" spans="2:13" outlineLevel="1">
      <c r="B37" s="149" t="s">
        <v>59</v>
      </c>
      <c r="C37" s="144"/>
      <c r="D37" s="144">
        <f>D29*D33</f>
        <v>60</v>
      </c>
      <c r="E37" s="144">
        <f>E29*E33</f>
        <v>406</v>
      </c>
      <c r="F37" s="144">
        <f t="shared" ref="F37:M37" si="4">F29*F33</f>
        <v>786.45</v>
      </c>
      <c r="G37" s="144">
        <f t="shared" si="4"/>
        <v>1203.93</v>
      </c>
      <c r="H37" s="144">
        <f t="shared" si="4"/>
        <v>1661.1918750000004</v>
      </c>
      <c r="I37" s="144">
        <f t="shared" si="4"/>
        <v>2161.1701125000004</v>
      </c>
      <c r="J37" s="144">
        <f t="shared" si="4"/>
        <v>2706.9931940625011</v>
      </c>
      <c r="K37" s="144">
        <f t="shared" si="4"/>
        <v>3301.9956585000018</v>
      </c>
      <c r="L37" s="144">
        <f t="shared" si="4"/>
        <v>3949.7308863960961</v>
      </c>
      <c r="M37" s="144">
        <f t="shared" si="4"/>
        <v>4653.9846479355492</v>
      </c>
    </row>
    <row r="38" spans="2:13" outlineLevel="1"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</row>
    <row r="39" spans="2:13" outlineLevel="1">
      <c r="B39" s="148" t="s">
        <v>61</v>
      </c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</row>
    <row r="40" spans="2:13" outlineLevel="1"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2:13" outlineLevel="1">
      <c r="B41" s="136" t="s">
        <v>62</v>
      </c>
      <c r="C41" s="144"/>
      <c r="D41" s="144">
        <f>D42+D43</f>
        <v>7598.2337761273084</v>
      </c>
      <c r="E41" s="144">
        <f t="shared" ref="E41:M41" si="5">E42+E43</f>
        <v>16884.065545712234</v>
      </c>
      <c r="F41" s="144">
        <f t="shared" si="5"/>
        <v>236746.25679659116</v>
      </c>
      <c r="G41" s="144">
        <f t="shared" si="5"/>
        <v>535065.39690025442</v>
      </c>
      <c r="H41" s="144">
        <f t="shared" si="5"/>
        <v>801086.89609590475</v>
      </c>
      <c r="I41" s="144">
        <f t="shared" si="5"/>
        <v>1018739.501695339</v>
      </c>
      <c r="J41" s="144">
        <f t="shared" si="5"/>
        <v>1164028.1058748432</v>
      </c>
      <c r="K41" s="144">
        <f t="shared" si="5"/>
        <v>1201156.7047225954</v>
      </c>
      <c r="L41" s="144">
        <f t="shared" si="5"/>
        <v>1076766.6010936687</v>
      </c>
      <c r="M41" s="144">
        <f t="shared" si="5"/>
        <v>811378.67149238265</v>
      </c>
    </row>
    <row r="42" spans="2:13" outlineLevel="1">
      <c r="B42" s="149" t="s">
        <v>63</v>
      </c>
      <c r="C42" s="144"/>
      <c r="D42" s="144">
        <v>379.91168880636542</v>
      </c>
      <c r="E42" s="144">
        <v>844.20327728561176</v>
      </c>
      <c r="F42" s="144">
        <v>11837.312839829559</v>
      </c>
      <c r="G42" s="144">
        <v>26753.269845012721</v>
      </c>
      <c r="H42" s="144">
        <v>40054.344804795241</v>
      </c>
      <c r="I42" s="144">
        <v>50936.975084766949</v>
      </c>
      <c r="J42" s="144">
        <v>58201.405293742166</v>
      </c>
      <c r="K42" s="144">
        <v>60057.835236129773</v>
      </c>
      <c r="L42" s="144">
        <v>53838.330054683436</v>
      </c>
      <c r="M42" s="144">
        <v>40568.933574619135</v>
      </c>
    </row>
    <row r="43" spans="2:13" outlineLevel="1">
      <c r="B43" s="149" t="s">
        <v>64</v>
      </c>
      <c r="C43" s="144"/>
      <c r="D43" s="144">
        <v>7218.322087320943</v>
      </c>
      <c r="E43" s="144">
        <v>16039.862268426623</v>
      </c>
      <c r="F43" s="144">
        <v>224908.94395676159</v>
      </c>
      <c r="G43" s="144">
        <v>508312.12705524173</v>
      </c>
      <c r="H43" s="144">
        <v>761032.55129110953</v>
      </c>
      <c r="I43" s="144">
        <v>967802.52661057201</v>
      </c>
      <c r="J43" s="144">
        <v>1105826.700581101</v>
      </c>
      <c r="K43" s="144">
        <v>1141098.8694864656</v>
      </c>
      <c r="L43" s="144">
        <v>1022928.2710389853</v>
      </c>
      <c r="M43" s="144">
        <v>770809.73791776353</v>
      </c>
    </row>
    <row r="44" spans="2:13" outlineLevel="1"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</row>
    <row r="45" spans="2:13" outlineLevel="1">
      <c r="B45" s="136" t="s">
        <v>60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</row>
    <row r="46" spans="2:13" outlineLevel="1">
      <c r="B46" s="149" t="s">
        <v>63</v>
      </c>
      <c r="C46" s="144"/>
      <c r="D46" s="144">
        <v>447.27272727272725</v>
      </c>
      <c r="E46" s="144">
        <v>430.90909090909088</v>
      </c>
      <c r="F46" s="144">
        <v>414.5454545454545</v>
      </c>
      <c r="G46" s="144">
        <v>398.18181818181813</v>
      </c>
      <c r="H46" s="144">
        <v>381.81818181818176</v>
      </c>
      <c r="I46" s="144">
        <v>365.45454545454538</v>
      </c>
      <c r="J46" s="144">
        <v>349.09090909090901</v>
      </c>
      <c r="K46" s="144">
        <v>332.72727272727263</v>
      </c>
      <c r="L46" s="144">
        <v>316.36363636363626</v>
      </c>
      <c r="M46" s="144">
        <v>300</v>
      </c>
    </row>
    <row r="47" spans="2:13" outlineLevel="1">
      <c r="B47" s="149" t="s">
        <v>64</v>
      </c>
      <c r="C47" s="144"/>
      <c r="D47" s="144">
        <v>690.5454545454545</v>
      </c>
      <c r="E47" s="144">
        <v>663.81818181818176</v>
      </c>
      <c r="F47" s="144">
        <v>637.09090909090901</v>
      </c>
      <c r="G47" s="144">
        <v>610.36363636363626</v>
      </c>
      <c r="H47" s="144">
        <v>583.63636363636351</v>
      </c>
      <c r="I47" s="144">
        <v>556.90909090909076</v>
      </c>
      <c r="J47" s="144">
        <v>530.18181818181802</v>
      </c>
      <c r="K47" s="144">
        <v>503.45454545454527</v>
      </c>
      <c r="L47" s="144">
        <v>476.72727272727252</v>
      </c>
      <c r="M47" s="144">
        <v>450</v>
      </c>
    </row>
    <row r="48" spans="2:13" outlineLevel="1"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</row>
    <row r="49" spans="2:14" outlineLevel="1">
      <c r="B49" s="136" t="s">
        <v>31</v>
      </c>
      <c r="C49" s="144"/>
      <c r="D49" s="144">
        <f>D50+D51</f>
        <v>5154.5036440197455</v>
      </c>
      <c r="E49" s="144">
        <f t="shared" ref="E49:N49" si="6">E50+E51</f>
        <v>11011.327074398634</v>
      </c>
      <c r="F49" s="144">
        <f t="shared" si="6"/>
        <v>148194.54779987343</v>
      </c>
      <c r="G49" s="144">
        <f t="shared" si="6"/>
        <v>320907.90390636801</v>
      </c>
      <c r="H49" s="144">
        <f t="shared" si="6"/>
        <v>459459.74795173295</v>
      </c>
      <c r="I49" s="144">
        <f t="shared" si="6"/>
        <v>557593.17435064784</v>
      </c>
      <c r="J49" s="144">
        <f t="shared" si="6"/>
        <v>606606.79219244979</v>
      </c>
      <c r="K49" s="144">
        <f t="shared" si="6"/>
        <v>594474.29238002526</v>
      </c>
      <c r="L49" s="144">
        <f t="shared" si="6"/>
        <v>504690.29471988499</v>
      </c>
      <c r="M49" s="144">
        <f t="shared" si="6"/>
        <v>359035.06213537935</v>
      </c>
      <c r="N49" s="144"/>
    </row>
    <row r="50" spans="2:14" outlineLevel="1">
      <c r="B50" s="149" t="s">
        <v>63</v>
      </c>
      <c r="C50" s="144"/>
      <c r="D50" s="144">
        <v>169.92413717521069</v>
      </c>
      <c r="E50" s="144">
        <v>363.77486675761816</v>
      </c>
      <c r="F50" s="144">
        <v>4907.1042317838892</v>
      </c>
      <c r="G50" s="144">
        <v>10652.665629195973</v>
      </c>
      <c r="H50" s="144">
        <v>15293.477107285453</v>
      </c>
      <c r="I50" s="144">
        <v>18615.149076433012</v>
      </c>
      <c r="J50" s="144">
        <v>20317.581484360897</v>
      </c>
      <c r="K50" s="144">
        <v>19982.879724021357</v>
      </c>
      <c r="L50" s="144">
        <v>17032.489871845301</v>
      </c>
      <c r="M50" s="144">
        <v>12170.680072385741</v>
      </c>
    </row>
    <row r="51" spans="2:14" outlineLevel="1">
      <c r="B51" s="149" t="s">
        <v>64</v>
      </c>
      <c r="C51" s="144"/>
      <c r="D51" s="144">
        <v>4984.579506844535</v>
      </c>
      <c r="E51" s="144">
        <v>10647.552207641016</v>
      </c>
      <c r="F51" s="144">
        <v>143287.44356808954</v>
      </c>
      <c r="G51" s="144">
        <v>310255.23827717203</v>
      </c>
      <c r="H51" s="144">
        <v>444166.27084444748</v>
      </c>
      <c r="I51" s="144">
        <v>538978.0252742148</v>
      </c>
      <c r="J51" s="144">
        <v>586289.21070808894</v>
      </c>
      <c r="K51" s="144">
        <v>574491.41265600396</v>
      </c>
      <c r="L51" s="144">
        <v>487657.8048480397</v>
      </c>
      <c r="M51" s="144">
        <v>346864.38206299359</v>
      </c>
    </row>
    <row r="52" spans="2:14" outlineLevel="1"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2:14" outlineLevel="1"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</row>
    <row r="54" spans="2:14" outlineLevel="1">
      <c r="B54" s="146"/>
      <c r="C54" s="147"/>
      <c r="D54" s="147">
        <f>D49+D35</f>
        <v>5414.5036440197455</v>
      </c>
      <c r="E54" s="147">
        <f t="shared" ref="E54:M54" si="7">E49+E35</f>
        <v>11617.327074398634</v>
      </c>
      <c r="F54" s="147">
        <f t="shared" si="7"/>
        <v>149180.99779987344</v>
      </c>
      <c r="G54" s="147">
        <f t="shared" si="7"/>
        <v>322311.833906368</v>
      </c>
      <c r="H54" s="147">
        <f t="shared" si="7"/>
        <v>461320.93982673297</v>
      </c>
      <c r="I54" s="147">
        <f t="shared" si="7"/>
        <v>559954.34446314781</v>
      </c>
      <c r="J54" s="147">
        <f t="shared" si="7"/>
        <v>609513.78538651229</v>
      </c>
      <c r="K54" s="147">
        <f t="shared" si="7"/>
        <v>597976.28803852526</v>
      </c>
      <c r="L54" s="147">
        <f t="shared" si="7"/>
        <v>508840.02560628107</v>
      </c>
      <c r="M54" s="147">
        <f>M49+M35</f>
        <v>363889.0467833149</v>
      </c>
    </row>
    <row r="55" spans="2:14" outlineLevel="1"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</row>
    <row r="56" spans="2:14" outlineLevel="1">
      <c r="B56" s="141" t="s">
        <v>382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</row>
    <row r="57" spans="2:14" outlineLevel="1"/>
    <row r="58" spans="2:14" outlineLevel="1">
      <c r="B58" s="136" t="s">
        <v>65</v>
      </c>
      <c r="C58" s="144"/>
      <c r="D58" s="144">
        <v>1670.3524037935699</v>
      </c>
      <c r="E58" s="144">
        <v>1670.3524037935688</v>
      </c>
      <c r="F58" s="144">
        <v>1670.3524037935688</v>
      </c>
      <c r="G58" s="144">
        <v>1670.3524037935688</v>
      </c>
      <c r="H58" s="144">
        <v>1670.3524037935688</v>
      </c>
      <c r="I58" s="144">
        <v>1670.3524037935688</v>
      </c>
      <c r="J58" s="144">
        <v>1670.3524037935688</v>
      </c>
      <c r="K58" s="144">
        <v>1670.3524037935688</v>
      </c>
      <c r="L58" s="144">
        <v>1670.3524037935688</v>
      </c>
      <c r="M58" s="144">
        <v>1670.3524037935688</v>
      </c>
    </row>
    <row r="59" spans="2:14" outlineLevel="1"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</row>
    <row r="60" spans="2:14" outlineLevel="1">
      <c r="B60" s="146"/>
      <c r="C60" s="147"/>
      <c r="D60" s="147">
        <v>3516.1505228724554</v>
      </c>
      <c r="E60" s="147">
        <v>5270.8687810375159</v>
      </c>
      <c r="F60" s="147">
        <v>7815.2102553768527</v>
      </c>
      <c r="G60" s="147">
        <v>11504.505393168893</v>
      </c>
      <c r="H60" s="147">
        <v>16853.983342967349</v>
      </c>
      <c r="I60" s="147">
        <v>24610.726370175114</v>
      </c>
      <c r="J60" s="147">
        <v>35858.003759626365</v>
      </c>
      <c r="K60" s="147">
        <v>52166.55597433068</v>
      </c>
      <c r="L60" s="147">
        <v>75813.956685651952</v>
      </c>
      <c r="M60" s="147">
        <v>110102.68771706778</v>
      </c>
    </row>
    <row r="61" spans="2:14" outlineLevel="1"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</row>
    <row r="62" spans="2:14" outlineLevel="1">
      <c r="B62" s="141" t="s">
        <v>383</v>
      </c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</row>
    <row r="63" spans="2:14" outlineLevel="1"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</row>
    <row r="64" spans="2:14" outlineLevel="1">
      <c r="B64" s="136" t="s">
        <v>67</v>
      </c>
      <c r="C64" s="144"/>
      <c r="D64" s="144"/>
      <c r="E64" s="144">
        <v>100000</v>
      </c>
      <c r="F64" s="144">
        <v>153108.74616820278</v>
      </c>
      <c r="G64" s="144">
        <v>238146.93696072829</v>
      </c>
      <c r="H64" s="144">
        <v>376520.18638459023</v>
      </c>
      <c r="I64" s="144">
        <v>605469.72303830972</v>
      </c>
      <c r="J64" s="144">
        <v>990900.05095729011</v>
      </c>
      <c r="K64" s="144">
        <v>1651516.6453273492</v>
      </c>
      <c r="L64" s="144">
        <v>2805075.9493114939</v>
      </c>
      <c r="M64" s="144">
        <v>4858683.120870891</v>
      </c>
    </row>
    <row r="65" spans="2:13" outlineLevel="1"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</row>
    <row r="66" spans="2:13" outlineLevel="1">
      <c r="B66" s="146"/>
      <c r="C66" s="147"/>
      <c r="D66" s="147">
        <v>0</v>
      </c>
      <c r="E66" s="147">
        <v>1462.5</v>
      </c>
      <c r="F66" s="147">
        <v>2239.2154127099657</v>
      </c>
      <c r="G66" s="147">
        <v>3482.898953050651</v>
      </c>
      <c r="H66" s="147">
        <v>5506.6077258746318</v>
      </c>
      <c r="I66" s="147">
        <v>8854.9946994352795</v>
      </c>
      <c r="J66" s="147">
        <v>14491.913245250367</v>
      </c>
      <c r="K66" s="147">
        <v>24153.430937912482</v>
      </c>
      <c r="L66" s="147">
        <v>41024.235758680596</v>
      </c>
      <c r="M66" s="147">
        <v>71058.240642736782</v>
      </c>
    </row>
    <row r="67" spans="2:13" outlineLevel="1"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</row>
    <row r="68" spans="2:13" outlineLevel="1">
      <c r="B68" s="141" t="s">
        <v>384</v>
      </c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</row>
    <row r="69" spans="2:13" outlineLevel="1"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</row>
    <row r="70" spans="2:13" outlineLevel="1">
      <c r="B70" s="136" t="s">
        <v>67</v>
      </c>
      <c r="C70" s="144"/>
      <c r="D70" s="144"/>
      <c r="E70" s="144">
        <v>100000</v>
      </c>
      <c r="F70" s="144">
        <v>53108.746168202779</v>
      </c>
      <c r="G70" s="144">
        <v>85038.190792525507</v>
      </c>
      <c r="H70" s="144">
        <v>138373.24942386194</v>
      </c>
      <c r="I70" s="144">
        <v>228949.53665371949</v>
      </c>
      <c r="J70" s="144">
        <v>385430.32791898039</v>
      </c>
      <c r="K70" s="144">
        <v>660616.59437005909</v>
      </c>
      <c r="L70" s="144">
        <v>1153559.3039841447</v>
      </c>
      <c r="M70" s="144">
        <v>2053607.1715593971</v>
      </c>
    </row>
    <row r="71" spans="2:13" outlineLevel="1"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</row>
    <row r="72" spans="2:13" outlineLevel="1">
      <c r="B72" s="146"/>
      <c r="C72" s="147"/>
      <c r="D72" s="147"/>
      <c r="E72" s="147">
        <v>10000</v>
      </c>
      <c r="F72" s="147">
        <v>5310.8746168202779</v>
      </c>
      <c r="G72" s="147">
        <v>8503.8190792525511</v>
      </c>
      <c r="H72" s="147">
        <v>13837.324942386194</v>
      </c>
      <c r="I72" s="147">
        <v>22894.953665371948</v>
      </c>
      <c r="J72" s="147">
        <v>38543.03279189804</v>
      </c>
      <c r="K72" s="147">
        <v>66061.659437005903</v>
      </c>
      <c r="L72" s="147">
        <v>115355.93039841446</v>
      </c>
      <c r="M72" s="147">
        <v>205360.71715593972</v>
      </c>
    </row>
    <row r="73" spans="2:13" outlineLevel="1"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</row>
    <row r="74" spans="2:13" outlineLevel="1"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</row>
    <row r="75" spans="2:13" outlineLevel="1"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</row>
    <row r="76" spans="2:13">
      <c r="B76" s="146" t="s">
        <v>68</v>
      </c>
      <c r="C76" s="147"/>
      <c r="D76" s="147">
        <f>D66+D60+D72+D54+D21</f>
        <v>49253.274916892195</v>
      </c>
      <c r="E76" s="147">
        <f t="shared" ref="E76:M76" si="8">E66+E60+E72+E54+E21</f>
        <v>86002.058592258341</v>
      </c>
      <c r="F76" s="147">
        <f t="shared" si="8"/>
        <v>247098.69689468993</v>
      </c>
      <c r="G76" s="147">
        <f t="shared" si="8"/>
        <v>464148.95642640861</v>
      </c>
      <c r="H76" s="147">
        <f t="shared" si="8"/>
        <v>667327.07068437536</v>
      </c>
      <c r="I76" s="147">
        <f t="shared" si="8"/>
        <v>860125.267973401</v>
      </c>
      <c r="J76" s="147">
        <f t="shared" si="8"/>
        <v>1048642.2313406868</v>
      </c>
      <c r="K76" s="147">
        <f t="shared" si="8"/>
        <v>1243658.1262602967</v>
      </c>
      <c r="L76" s="147">
        <f t="shared" si="8"/>
        <v>1464485.7053810868</v>
      </c>
      <c r="M76" s="147">
        <f t="shared" si="8"/>
        <v>1779531.4333746303</v>
      </c>
    </row>
    <row r="77" spans="2:13"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</row>
    <row r="78" spans="2:13"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</row>
    <row r="79" spans="2:13"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</row>
    <row r="80" spans="2:13">
      <c r="B80" s="142" t="s">
        <v>69</v>
      </c>
      <c r="C80" s="150"/>
      <c r="D80" s="150">
        <v>2021</v>
      </c>
      <c r="E80" s="150">
        <v>2022</v>
      </c>
      <c r="F80" s="150">
        <v>2023</v>
      </c>
      <c r="G80" s="150">
        <v>2024</v>
      </c>
      <c r="H80" s="150">
        <v>2025</v>
      </c>
      <c r="I80" s="150">
        <v>2026</v>
      </c>
      <c r="J80" s="150">
        <v>2027</v>
      </c>
      <c r="K80" s="150">
        <v>2028</v>
      </c>
      <c r="L80" s="150">
        <v>2029</v>
      </c>
      <c r="M80" s="150">
        <v>2030</v>
      </c>
    </row>
    <row r="81" spans="2:13" outlineLevel="1"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</row>
    <row r="82" spans="2:13" outlineLevel="1">
      <c r="B82" s="141" t="s">
        <v>70</v>
      </c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</row>
    <row r="83" spans="2:13" outlineLevel="1">
      <c r="B83" s="136" t="s">
        <v>53</v>
      </c>
      <c r="C83" s="144"/>
      <c r="D83" s="144">
        <v>31332.336599999999</v>
      </c>
      <c r="E83" s="144">
        <v>45102.754189457752</v>
      </c>
      <c r="F83" s="144">
        <v>64921.749447927497</v>
      </c>
      <c r="G83" s="144">
        <v>93444.532715654801</v>
      </c>
      <c r="H83" s="144">
        <v>134491.16666113137</v>
      </c>
      <c r="I83" s="144">
        <v>193557.25328261673</v>
      </c>
      <c r="J83" s="144">
        <v>278548.35661455983</v>
      </c>
      <c r="K83" s="144">
        <v>400836.1091555219</v>
      </c>
      <c r="L83" s="144">
        <v>576776.79676890129</v>
      </c>
      <c r="M83" s="144">
        <v>821113.69920603698</v>
      </c>
    </row>
    <row r="84" spans="2:13" outlineLevel="1">
      <c r="B84" s="136" t="s">
        <v>54</v>
      </c>
      <c r="C84" s="144"/>
      <c r="D84" s="144">
        <v>925.7600000000001</v>
      </c>
      <c r="E84" s="144">
        <v>1018.3360000000001</v>
      </c>
      <c r="F84" s="144">
        <v>1120.1696000000002</v>
      </c>
      <c r="G84" s="144">
        <v>1232.1865600000003</v>
      </c>
      <c r="H84" s="144">
        <v>1355.4052160000006</v>
      </c>
      <c r="I84" s="144">
        <v>1490.9457376000007</v>
      </c>
      <c r="J84" s="144">
        <v>1640.0403113600009</v>
      </c>
      <c r="K84" s="144">
        <v>1804.0443424960013</v>
      </c>
      <c r="L84" s="144">
        <v>1984.4487767456017</v>
      </c>
      <c r="M84" s="144">
        <v>2182.893654420162</v>
      </c>
    </row>
    <row r="85" spans="2:13" outlineLevel="1"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</row>
    <row r="86" spans="2:13" outlineLevel="1">
      <c r="B86" s="146"/>
      <c r="C86" s="147"/>
      <c r="D86" s="147">
        <v>32258.096599999997</v>
      </c>
      <c r="E86" s="147">
        <v>46121.090189457755</v>
      </c>
      <c r="F86" s="147">
        <v>66041.919047927498</v>
      </c>
      <c r="G86" s="147">
        <v>94676.719275654803</v>
      </c>
      <c r="H86" s="147">
        <v>135846.57187713138</v>
      </c>
      <c r="I86" s="147">
        <v>195048.19902021674</v>
      </c>
      <c r="J86" s="147">
        <v>280188.39692591981</v>
      </c>
      <c r="K86" s="147">
        <v>402640.15349801793</v>
      </c>
      <c r="L86" s="147">
        <v>578761.24554564687</v>
      </c>
      <c r="M86" s="147">
        <v>823296.59286045714</v>
      </c>
    </row>
    <row r="87" spans="2:13" outlineLevel="1"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</row>
    <row r="88" spans="2:13" outlineLevel="1">
      <c r="B88" s="141" t="s">
        <v>71</v>
      </c>
      <c r="C88" s="144"/>
      <c r="D88" s="144">
        <v>4474.8280974167837</v>
      </c>
      <c r="E88" s="144">
        <v>9502.1446799055047</v>
      </c>
      <c r="F88" s="144">
        <v>126161.77937989242</v>
      </c>
      <c r="G88" s="144">
        <v>273027.27507041284</v>
      </c>
      <c r="H88" s="144">
        <v>390861.121274598</v>
      </c>
      <c r="I88" s="144">
        <v>474345.3639639882</v>
      </c>
      <c r="J88" s="144">
        <v>516084.26406607451</v>
      </c>
      <c r="K88" s="144">
        <v>505855.93124130892</v>
      </c>
      <c r="L88" s="144">
        <v>429631.29572080832</v>
      </c>
      <c r="M88" s="144">
        <v>305924.11730686337</v>
      </c>
    </row>
    <row r="89" spans="2:13" outlineLevel="1"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</row>
    <row r="90" spans="2:13" outlineLevel="1">
      <c r="B90" s="146"/>
      <c r="C90" s="147"/>
      <c r="D90" s="147">
        <v>4474.8280974167837</v>
      </c>
      <c r="E90" s="147">
        <v>9502.1446799055047</v>
      </c>
      <c r="F90" s="147">
        <v>126161.77937989242</v>
      </c>
      <c r="G90" s="147">
        <v>273027.27507041284</v>
      </c>
      <c r="H90" s="147">
        <v>390861.121274598</v>
      </c>
      <c r="I90" s="147">
        <v>474345.3639639882</v>
      </c>
      <c r="J90" s="147">
        <v>516084.26406607451</v>
      </c>
      <c r="K90" s="147">
        <v>505855.93124130892</v>
      </c>
      <c r="L90" s="147">
        <v>429631.29572080832</v>
      </c>
      <c r="M90" s="147">
        <v>305924.11730686337</v>
      </c>
    </row>
    <row r="91" spans="2:13" outlineLevel="1"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</row>
    <row r="92" spans="2:13" outlineLevel="1">
      <c r="B92" s="141" t="s">
        <v>72</v>
      </c>
      <c r="C92" s="144"/>
      <c r="D92" s="144">
        <v>3164.5354705852101</v>
      </c>
      <c r="E92" s="144">
        <v>4743.7819029337643</v>
      </c>
      <c r="F92" s="144">
        <v>7033.6892298391676</v>
      </c>
      <c r="G92" s="144">
        <v>10354.054853852003</v>
      </c>
      <c r="H92" s="144">
        <v>15168.585008670614</v>
      </c>
      <c r="I92" s="144">
        <v>22149.653733157604</v>
      </c>
      <c r="J92" s="144">
        <v>32272.203383663727</v>
      </c>
      <c r="K92" s="144">
        <v>46949.900376897611</v>
      </c>
      <c r="L92" s="144">
        <v>68232.561017086759</v>
      </c>
      <c r="M92" s="144">
        <v>99092.418945361002</v>
      </c>
    </row>
    <row r="93" spans="2:13" outlineLevel="1"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</row>
    <row r="94" spans="2:13" outlineLevel="1">
      <c r="B94" s="146"/>
      <c r="C94" s="147"/>
      <c r="D94" s="147">
        <v>3164.5354705852101</v>
      </c>
      <c r="E94" s="147">
        <v>4743.7819029337643</v>
      </c>
      <c r="F94" s="147">
        <v>7033.6892298391676</v>
      </c>
      <c r="G94" s="147">
        <v>10354.054853852003</v>
      </c>
      <c r="H94" s="147">
        <v>15168.585008670614</v>
      </c>
      <c r="I94" s="147">
        <v>22149.653733157604</v>
      </c>
      <c r="J94" s="147">
        <v>32272.203383663727</v>
      </c>
      <c r="K94" s="147">
        <v>46949.900376897611</v>
      </c>
      <c r="L94" s="147">
        <v>68232.561017086759</v>
      </c>
      <c r="M94" s="147">
        <v>99092.418945361002</v>
      </c>
    </row>
    <row r="95" spans="2:13" outlineLevel="1"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</row>
    <row r="96" spans="2:13" outlineLevel="1">
      <c r="B96" s="141" t="s">
        <v>73</v>
      </c>
      <c r="C96" s="144"/>
      <c r="D96" s="144"/>
      <c r="E96" s="144">
        <v>731.25</v>
      </c>
      <c r="F96" s="144">
        <v>1119.6077063549828</v>
      </c>
      <c r="G96" s="144">
        <v>1741.4494765253255</v>
      </c>
      <c r="H96" s="144">
        <v>2753.3038629373159</v>
      </c>
      <c r="I96" s="144">
        <v>4427.4973497176397</v>
      </c>
      <c r="J96" s="144">
        <v>7245.9566226251836</v>
      </c>
      <c r="K96" s="144">
        <v>12076.715468956241</v>
      </c>
      <c r="L96" s="144">
        <v>20512.117879340298</v>
      </c>
      <c r="M96" s="144">
        <v>35529.120321368391</v>
      </c>
    </row>
    <row r="97" spans="2:13" outlineLevel="1"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</row>
    <row r="98" spans="2:13" outlineLevel="1">
      <c r="B98" s="146"/>
      <c r="C98" s="147"/>
      <c r="D98" s="147"/>
      <c r="E98" s="147">
        <v>731.25</v>
      </c>
      <c r="F98" s="147">
        <v>1119.6077063549828</v>
      </c>
      <c r="G98" s="147">
        <v>1741.4494765253255</v>
      </c>
      <c r="H98" s="147">
        <v>2753.3038629373159</v>
      </c>
      <c r="I98" s="147">
        <v>4427.4973497176397</v>
      </c>
      <c r="J98" s="147">
        <v>7245.9566226251836</v>
      </c>
      <c r="K98" s="147">
        <v>12076.715468956241</v>
      </c>
      <c r="L98" s="147">
        <v>20512.117879340298</v>
      </c>
      <c r="M98" s="147">
        <v>35529.120321368391</v>
      </c>
    </row>
    <row r="99" spans="2:13" outlineLevel="1"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</row>
    <row r="100" spans="2:13" outlineLevel="1">
      <c r="B100" s="141" t="s">
        <v>74</v>
      </c>
      <c r="C100" s="144"/>
      <c r="D100" s="144"/>
      <c r="E100" s="144">
        <v>0</v>
      </c>
      <c r="F100" s="144">
        <v>0</v>
      </c>
      <c r="G100" s="144">
        <v>0</v>
      </c>
      <c r="H100" s="144">
        <v>0</v>
      </c>
      <c r="I100" s="144">
        <v>0</v>
      </c>
      <c r="J100" s="144">
        <v>0</v>
      </c>
      <c r="K100" s="144">
        <v>0</v>
      </c>
      <c r="L100" s="144">
        <v>0</v>
      </c>
      <c r="M100" s="144">
        <v>1</v>
      </c>
    </row>
    <row r="101" spans="2:13" outlineLevel="1"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</row>
    <row r="102" spans="2:13" outlineLevel="1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</row>
    <row r="103" spans="2:13" outlineLevel="1"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</row>
    <row r="104" spans="2:13" outlineLevel="1"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</row>
    <row r="105" spans="2:13">
      <c r="B105" s="146" t="s">
        <v>75</v>
      </c>
      <c r="C105" s="147"/>
      <c r="D105" s="147">
        <f>D102+D98+D94+D90+D86</f>
        <v>39897.460168001991</v>
      </c>
      <c r="E105" s="147">
        <f>E102+E98+E94+E90+E86</f>
        <v>61098.266772297022</v>
      </c>
      <c r="F105" s="147">
        <f t="shared" ref="F105:M105" si="9">F102+F98+F94+F90+F86</f>
        <v>200356.99536401406</v>
      </c>
      <c r="G105" s="147">
        <f t="shared" si="9"/>
        <v>379799.49867644499</v>
      </c>
      <c r="H105" s="147">
        <f t="shared" si="9"/>
        <v>544629.58202333737</v>
      </c>
      <c r="I105" s="147">
        <f t="shared" si="9"/>
        <v>695970.71406708017</v>
      </c>
      <c r="J105" s="147">
        <f t="shared" si="9"/>
        <v>835790.82099828322</v>
      </c>
      <c r="K105" s="147">
        <f t="shared" si="9"/>
        <v>967522.70058518066</v>
      </c>
      <c r="L105" s="147">
        <f t="shared" si="9"/>
        <v>1097137.2201628822</v>
      </c>
      <c r="M105" s="147">
        <f t="shared" si="9"/>
        <v>1263842.2494340499</v>
      </c>
    </row>
    <row r="106" spans="2:13"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</row>
    <row r="107" spans="2:13"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</row>
    <row r="108" spans="2:13">
      <c r="B108" s="142" t="s">
        <v>76</v>
      </c>
      <c r="C108" s="150"/>
      <c r="D108" s="150">
        <v>2021</v>
      </c>
      <c r="E108" s="150">
        <v>2022</v>
      </c>
      <c r="F108" s="150">
        <v>2023</v>
      </c>
      <c r="G108" s="150">
        <v>2024</v>
      </c>
      <c r="H108" s="150">
        <v>2025</v>
      </c>
      <c r="I108" s="150">
        <v>2026</v>
      </c>
      <c r="J108" s="150">
        <v>2027</v>
      </c>
      <c r="K108" s="150">
        <v>2028</v>
      </c>
      <c r="L108" s="150">
        <v>2029</v>
      </c>
      <c r="M108" s="150">
        <v>2030</v>
      </c>
    </row>
    <row r="109" spans="2:13"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</row>
    <row r="110" spans="2:13">
      <c r="B110" s="136" t="s">
        <v>376</v>
      </c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</row>
    <row r="111" spans="2:13">
      <c r="B111" s="136" t="s">
        <v>53</v>
      </c>
      <c r="C111" s="144"/>
      <c r="D111" s="144">
        <v>7833.0841499999988</v>
      </c>
      <c r="E111" s="144">
        <v>11275.688547364436</v>
      </c>
      <c r="F111" s="144">
        <v>16230.437361981873</v>
      </c>
      <c r="G111" s="144">
        <v>23361.133178913689</v>
      </c>
      <c r="H111" s="144">
        <v>33622.791665282828</v>
      </c>
      <c r="I111" s="144">
        <v>48389.313320654182</v>
      </c>
      <c r="J111" s="144">
        <v>69637.089153639914</v>
      </c>
      <c r="K111" s="144">
        <v>100209.02728888043</v>
      </c>
      <c r="L111" s="144">
        <v>144194.19919222535</v>
      </c>
      <c r="M111" s="144">
        <v>205278.42480150913</v>
      </c>
    </row>
    <row r="112" spans="2:13">
      <c r="B112" s="136" t="s">
        <v>54</v>
      </c>
      <c r="C112" s="144"/>
      <c r="D112" s="144">
        <v>231.43999999999994</v>
      </c>
      <c r="E112" s="144">
        <v>254.58399999999995</v>
      </c>
      <c r="F112" s="144">
        <v>280.04240000000004</v>
      </c>
      <c r="G112" s="144">
        <v>308.04664000000002</v>
      </c>
      <c r="H112" s="144">
        <v>338.85130400000003</v>
      </c>
      <c r="I112" s="144">
        <v>372.73643440000001</v>
      </c>
      <c r="J112" s="144">
        <v>410.01007784000012</v>
      </c>
      <c r="K112" s="144">
        <v>451.01108562400032</v>
      </c>
      <c r="L112" s="144">
        <v>496.1121941864003</v>
      </c>
      <c r="M112" s="144">
        <v>545.72341360504061</v>
      </c>
    </row>
    <row r="113" spans="2:13"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</row>
    <row r="114" spans="2:13">
      <c r="B114" s="146"/>
      <c r="C114" s="147"/>
      <c r="D114" s="147">
        <v>8064.5241499999984</v>
      </c>
      <c r="E114" s="147">
        <v>11530.272547364437</v>
      </c>
      <c r="F114" s="147">
        <v>16510.479761981871</v>
      </c>
      <c r="G114" s="147">
        <v>23669.17981891369</v>
      </c>
      <c r="H114" s="147">
        <v>33961.642969282831</v>
      </c>
      <c r="I114" s="147">
        <v>48762.049755054184</v>
      </c>
      <c r="J114" s="147">
        <v>70047.099231479908</v>
      </c>
      <c r="K114" s="147">
        <v>100660.03837450444</v>
      </c>
      <c r="L114" s="147">
        <v>144690.31138641175</v>
      </c>
      <c r="M114" s="147">
        <v>205824.14821511417</v>
      </c>
    </row>
    <row r="115" spans="2:13"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</row>
    <row r="116" spans="2:13"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</row>
    <row r="117" spans="2:13">
      <c r="B117" s="136" t="s">
        <v>377</v>
      </c>
      <c r="C117" s="144"/>
      <c r="D117" s="144">
        <v>789.67554660296173</v>
      </c>
      <c r="E117" s="144">
        <v>1676.8490611597954</v>
      </c>
      <c r="F117" s="144">
        <v>22263.843419981014</v>
      </c>
      <c r="G117" s="144">
        <v>48181.283835955197</v>
      </c>
      <c r="H117" s="144">
        <v>68975.491989634931</v>
      </c>
      <c r="I117" s="144">
        <v>83708.005405409669</v>
      </c>
      <c r="J117" s="144">
        <v>91073.693658719072</v>
      </c>
      <c r="K117" s="144">
        <v>89268.693748466321</v>
      </c>
      <c r="L117" s="144">
        <v>75817.287480142666</v>
      </c>
      <c r="M117" s="144">
        <v>53986.608936505276</v>
      </c>
    </row>
    <row r="118" spans="2:13"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</row>
    <row r="119" spans="2:13"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</row>
    <row r="120" spans="2:13">
      <c r="B120" s="146"/>
      <c r="C120" s="147"/>
      <c r="D120" s="147">
        <v>789.67554660296173</v>
      </c>
      <c r="E120" s="147">
        <v>1676.8490611597954</v>
      </c>
      <c r="F120" s="147">
        <v>22263.843419981014</v>
      </c>
      <c r="G120" s="147">
        <v>48181.283835955197</v>
      </c>
      <c r="H120" s="147">
        <v>68975.491989634931</v>
      </c>
      <c r="I120" s="147">
        <v>83708.005405409669</v>
      </c>
      <c r="J120" s="147">
        <v>91073.693658719072</v>
      </c>
      <c r="K120" s="147">
        <v>89268.693748466321</v>
      </c>
      <c r="L120" s="147">
        <v>75817.287480142666</v>
      </c>
      <c r="M120" s="147">
        <v>53986.608936505276</v>
      </c>
    </row>
    <row r="121" spans="2:13"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</row>
    <row r="122" spans="2:13">
      <c r="B122" s="136" t="s">
        <v>378</v>
      </c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</row>
    <row r="123" spans="2:13">
      <c r="C123" s="144"/>
      <c r="D123" s="144">
        <v>351.61505228724536</v>
      </c>
      <c r="E123" s="144">
        <v>527.08687810375159</v>
      </c>
      <c r="F123" s="144">
        <v>781.52102553768509</v>
      </c>
      <c r="G123" s="144">
        <v>1150.4505393168893</v>
      </c>
      <c r="H123" s="144">
        <v>1685.3983342967349</v>
      </c>
      <c r="I123" s="144">
        <v>2461.0726370175107</v>
      </c>
      <c r="J123" s="144">
        <v>3585.8003759626372</v>
      </c>
      <c r="K123" s="144">
        <v>5216.6555974330695</v>
      </c>
      <c r="L123" s="144">
        <v>7581.3956685651938</v>
      </c>
      <c r="M123" s="144">
        <v>11010.268771706775</v>
      </c>
    </row>
    <row r="124" spans="2:13"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</row>
    <row r="125" spans="2:13"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</row>
    <row r="126" spans="2:13">
      <c r="B126" s="146"/>
      <c r="C126" s="147"/>
      <c r="D126" s="147">
        <v>351.61505228724536</v>
      </c>
      <c r="E126" s="147">
        <v>527.08687810375159</v>
      </c>
      <c r="F126" s="147">
        <v>781.52102553768509</v>
      </c>
      <c r="G126" s="147">
        <v>1150.4505393168893</v>
      </c>
      <c r="H126" s="147">
        <v>1685.3983342967349</v>
      </c>
      <c r="I126" s="147">
        <v>2461.0726370175107</v>
      </c>
      <c r="J126" s="147">
        <v>3585.8003759626372</v>
      </c>
      <c r="K126" s="147">
        <v>5216.6555974330695</v>
      </c>
      <c r="L126" s="147">
        <v>7581.3956685651938</v>
      </c>
      <c r="M126" s="147">
        <v>11010.268771706775</v>
      </c>
    </row>
    <row r="127" spans="2:13"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</row>
    <row r="128" spans="2:13">
      <c r="B128" s="136" t="s">
        <v>379</v>
      </c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</row>
    <row r="129" spans="2:13">
      <c r="C129" s="144"/>
      <c r="D129" s="144"/>
      <c r="E129" s="144">
        <v>731.25</v>
      </c>
      <c r="F129" s="144">
        <v>1119.6077063549828</v>
      </c>
      <c r="G129" s="144">
        <v>1741.4494765253255</v>
      </c>
      <c r="H129" s="144">
        <v>2753.3038629373159</v>
      </c>
      <c r="I129" s="144">
        <v>4427.4973497176397</v>
      </c>
      <c r="J129" s="144">
        <v>7245.9566226251836</v>
      </c>
      <c r="K129" s="144">
        <v>12076.715468956241</v>
      </c>
      <c r="L129" s="144">
        <v>20512.117879340298</v>
      </c>
      <c r="M129" s="144">
        <v>35529.120321368391</v>
      </c>
    </row>
    <row r="130" spans="2:13"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</row>
    <row r="131" spans="2:13">
      <c r="B131" s="146"/>
      <c r="C131" s="147"/>
      <c r="D131" s="147">
        <v>0</v>
      </c>
      <c r="E131" s="147">
        <v>731.25</v>
      </c>
      <c r="F131" s="147">
        <v>1119.6077063549828</v>
      </c>
      <c r="G131" s="147">
        <v>1741.4494765253255</v>
      </c>
      <c r="H131" s="147">
        <v>2753.3038629373159</v>
      </c>
      <c r="I131" s="147">
        <v>4427.4973497176397</v>
      </c>
      <c r="J131" s="147">
        <v>7245.9566226251836</v>
      </c>
      <c r="K131" s="147">
        <v>12076.715468956241</v>
      </c>
      <c r="L131" s="147">
        <v>20512.117879340298</v>
      </c>
      <c r="M131" s="147">
        <v>35529.120321368391</v>
      </c>
    </row>
    <row r="132" spans="2:13"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</row>
    <row r="133" spans="2:13"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</row>
    <row r="134" spans="2:13">
      <c r="B134" s="136" t="s">
        <v>77</v>
      </c>
      <c r="C134" s="144"/>
      <c r="D134" s="144"/>
      <c r="E134" s="144">
        <v>10000</v>
      </c>
      <c r="F134" s="144">
        <v>5310.8746168202779</v>
      </c>
      <c r="G134" s="144">
        <v>8503.8190792525511</v>
      </c>
      <c r="H134" s="144">
        <v>13837.324942386194</v>
      </c>
      <c r="I134" s="144">
        <v>22894.953665371948</v>
      </c>
      <c r="J134" s="144">
        <v>38543.03279189804</v>
      </c>
      <c r="K134" s="144">
        <v>66061.659437005903</v>
      </c>
      <c r="L134" s="144">
        <v>115355.93039841446</v>
      </c>
      <c r="M134" s="144">
        <v>205359.71715593972</v>
      </c>
    </row>
    <row r="135" spans="2:13"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</row>
    <row r="136" spans="2:13">
      <c r="B136" s="146"/>
      <c r="C136" s="147"/>
      <c r="D136" s="147">
        <v>0</v>
      </c>
      <c r="E136" s="147">
        <v>10000</v>
      </c>
      <c r="F136" s="147">
        <v>5310.8746168202779</v>
      </c>
      <c r="G136" s="147">
        <v>8503.8190792525511</v>
      </c>
      <c r="H136" s="147">
        <v>13837.324942386194</v>
      </c>
      <c r="I136" s="147">
        <v>22894.953665371948</v>
      </c>
      <c r="J136" s="147">
        <v>38543.03279189804</v>
      </c>
      <c r="K136" s="147">
        <v>66061.659437005903</v>
      </c>
      <c r="L136" s="147">
        <v>115355.93039841446</v>
      </c>
      <c r="M136" s="147">
        <v>205359.71715593972</v>
      </c>
    </row>
    <row r="137" spans="2:13"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</row>
    <row r="138" spans="2:13"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</row>
    <row r="139" spans="2:13">
      <c r="B139" s="146" t="s">
        <v>78</v>
      </c>
      <c r="C139" s="147"/>
      <c r="D139" s="147">
        <f>D136+D131+D126+D120+D114</f>
        <v>9205.814748890205</v>
      </c>
      <c r="E139" s="147">
        <f t="shared" ref="E139:M139" si="10">E136+E131+E126+E120+E114</f>
        <v>24465.458486627984</v>
      </c>
      <c r="F139" s="147">
        <f t="shared" si="10"/>
        <v>45986.326530675833</v>
      </c>
      <c r="G139" s="147">
        <f t="shared" si="10"/>
        <v>83246.182749963657</v>
      </c>
      <c r="H139" s="147">
        <f t="shared" si="10"/>
        <v>121213.16209853801</v>
      </c>
      <c r="I139" s="147">
        <f t="shared" si="10"/>
        <v>162253.57881257095</v>
      </c>
      <c r="J139" s="147">
        <f t="shared" si="10"/>
        <v>210495.58268068486</v>
      </c>
      <c r="K139" s="147">
        <f t="shared" si="10"/>
        <v>273283.76262636599</v>
      </c>
      <c r="L139" s="147">
        <f t="shared" si="10"/>
        <v>363957.04281287442</v>
      </c>
      <c r="M139" s="147">
        <f t="shared" si="10"/>
        <v>511709.86340063438</v>
      </c>
    </row>
    <row r="140" spans="2:13"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</row>
    <row r="141" spans="2:13"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</row>
    <row r="142" spans="2:13">
      <c r="B142" s="142" t="s">
        <v>79</v>
      </c>
      <c r="C142" s="150"/>
      <c r="D142" s="150">
        <v>2021</v>
      </c>
      <c r="E142" s="150">
        <v>2022</v>
      </c>
      <c r="F142" s="150">
        <v>2023</v>
      </c>
      <c r="G142" s="150">
        <v>2024</v>
      </c>
      <c r="H142" s="150">
        <v>2025</v>
      </c>
      <c r="I142" s="150">
        <v>2026</v>
      </c>
      <c r="J142" s="150">
        <v>2027</v>
      </c>
      <c r="K142" s="150">
        <v>2028</v>
      </c>
      <c r="L142" s="150">
        <v>2029</v>
      </c>
      <c r="M142" s="150">
        <v>2030</v>
      </c>
    </row>
    <row r="143" spans="2:13"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</row>
    <row r="144" spans="2:13">
      <c r="B144" s="136" t="s">
        <v>80</v>
      </c>
      <c r="C144" s="144"/>
      <c r="D144" s="144">
        <v>1418</v>
      </c>
      <c r="E144" s="144">
        <v>820.42857142857144</v>
      </c>
      <c r="F144" s="144">
        <v>1243.1428571428571</v>
      </c>
      <c r="G144" s="144">
        <v>1160.5238095238094</v>
      </c>
      <c r="H144" s="144">
        <v>1074.6984126984125</v>
      </c>
      <c r="I144" s="144">
        <v>1159.4550264550264</v>
      </c>
      <c r="J144" s="144">
        <v>1131.559082892416</v>
      </c>
      <c r="K144" s="144">
        <v>1121.904174015285</v>
      </c>
      <c r="L144" s="144">
        <v>1137.6394277875759</v>
      </c>
      <c r="M144" s="144">
        <v>1130.3675615650925</v>
      </c>
    </row>
    <row r="145" spans="2:13"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</row>
    <row r="146" spans="2:13"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</row>
    <row r="147" spans="2:13"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</row>
    <row r="148" spans="2:13">
      <c r="B148" s="136" t="s">
        <v>81</v>
      </c>
      <c r="C148" s="144"/>
      <c r="D148" s="144">
        <v>2775.75</v>
      </c>
      <c r="E148" s="144">
        <v>8556.3725258925006</v>
      </c>
      <c r="F148" s="144">
        <v>24634.332189468994</v>
      </c>
      <c r="G148" s="144">
        <v>46304.56814264087</v>
      </c>
      <c r="H148" s="144">
        <v>66584.274412187544</v>
      </c>
      <c r="I148" s="144">
        <v>85822.429287965118</v>
      </c>
      <c r="J148" s="144">
        <v>104628.64036789682</v>
      </c>
      <c r="K148" s="144">
        <v>124080.64632115469</v>
      </c>
      <c r="L148" s="144">
        <v>146109.42629757567</v>
      </c>
      <c r="M148" s="144">
        <v>177555.31128346844</v>
      </c>
    </row>
    <row r="149" spans="2:13"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</row>
    <row r="150" spans="2:13"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</row>
    <row r="151" spans="2:13"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</row>
    <row r="152" spans="2:13">
      <c r="B152" s="136" t="s">
        <v>82</v>
      </c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</row>
    <row r="153" spans="2:13"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</row>
    <row r="154" spans="2:13"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</row>
    <row r="155" spans="2:13">
      <c r="B155" s="136" t="s">
        <v>83</v>
      </c>
      <c r="C155" s="144"/>
      <c r="D155" s="144">
        <v>4193.75</v>
      </c>
      <c r="E155" s="144">
        <v>9376.8010973210712</v>
      </c>
      <c r="F155" s="144">
        <v>25877.475046611853</v>
      </c>
      <c r="G155" s="144">
        <v>47465.091952164679</v>
      </c>
      <c r="H155" s="144">
        <v>67658.972824885961</v>
      </c>
      <c r="I155" s="144">
        <v>86981.884314420138</v>
      </c>
      <c r="J155" s="144">
        <v>105760.19945078924</v>
      </c>
      <c r="K155" s="144">
        <v>125202.55049516998</v>
      </c>
      <c r="L155" s="144">
        <v>147247.06572536324</v>
      </c>
      <c r="M155" s="144">
        <v>178685.67884503354</v>
      </c>
    </row>
    <row r="156" spans="2:13"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</row>
    <row r="157" spans="2:13"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</row>
    <row r="158" spans="2:13">
      <c r="B158" s="146" t="s">
        <v>84</v>
      </c>
      <c r="C158" s="147"/>
      <c r="D158" s="147">
        <v>5012.064748890205</v>
      </c>
      <c r="E158" s="147">
        <v>15088.657389306913</v>
      </c>
      <c r="F158" s="147">
        <v>20108.85148406398</v>
      </c>
      <c r="G158" s="147">
        <v>35781.090797798977</v>
      </c>
      <c r="H158" s="147">
        <v>53554.189273652068</v>
      </c>
      <c r="I158" s="147">
        <v>75271.694498150842</v>
      </c>
      <c r="J158" s="147">
        <v>104735.3832298956</v>
      </c>
      <c r="K158" s="147">
        <v>148081.21213119599</v>
      </c>
      <c r="L158" s="147">
        <v>216709.97708751119</v>
      </c>
      <c r="M158" s="147">
        <v>333024.18455560075</v>
      </c>
    </row>
    <row r="159" spans="2:13"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</row>
    <row r="160" spans="2:13"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</row>
    <row r="161" spans="2:13">
      <c r="B161" s="142" t="s">
        <v>85</v>
      </c>
      <c r="C161" s="150"/>
      <c r="D161" s="150">
        <v>2021</v>
      </c>
      <c r="E161" s="150">
        <v>2022</v>
      </c>
      <c r="F161" s="150">
        <v>2023</v>
      </c>
      <c r="G161" s="150">
        <v>2024</v>
      </c>
      <c r="H161" s="150">
        <v>2025</v>
      </c>
      <c r="I161" s="150">
        <v>2026</v>
      </c>
      <c r="J161" s="150">
        <v>2027</v>
      </c>
      <c r="K161" s="150">
        <v>2028</v>
      </c>
      <c r="L161" s="150">
        <v>2029</v>
      </c>
      <c r="M161" s="150">
        <v>2030</v>
      </c>
    </row>
    <row r="162" spans="2:13"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</row>
    <row r="163" spans="2:13"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</row>
    <row r="164" spans="2:13">
      <c r="B164" s="136" t="s">
        <v>86</v>
      </c>
      <c r="C164" s="144"/>
      <c r="D164" s="144">
        <v>673.8143</v>
      </c>
      <c r="E164" s="144">
        <v>660.27378784306302</v>
      </c>
      <c r="F164" s="144">
        <v>343.19905274705928</v>
      </c>
      <c r="G164" s="144">
        <v>-74.325649588199227</v>
      </c>
      <c r="H164" s="144">
        <v>0</v>
      </c>
      <c r="I164" s="144">
        <v>0</v>
      </c>
      <c r="J164" s="144">
        <v>0</v>
      </c>
      <c r="K164" s="144">
        <v>0</v>
      </c>
      <c r="L164" s="144">
        <v>0</v>
      </c>
      <c r="M164" s="144">
        <v>0</v>
      </c>
    </row>
    <row r="165" spans="2:13"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</row>
    <row r="166" spans="2:13"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</row>
    <row r="167" spans="2:13">
      <c r="B167" s="136" t="s">
        <v>87</v>
      </c>
      <c r="C167" s="144"/>
      <c r="D167" s="144">
        <v>15355.204368443327</v>
      </c>
      <c r="E167" s="144">
        <v>7981.3733196990534</v>
      </c>
      <c r="F167" s="144">
        <v>-1728.5034787953309</v>
      </c>
      <c r="G167" s="144">
        <v>0</v>
      </c>
      <c r="H167" s="144">
        <v>0</v>
      </c>
      <c r="I167" s="144">
        <v>0</v>
      </c>
      <c r="J167" s="144">
        <v>0</v>
      </c>
      <c r="K167" s="144">
        <v>0</v>
      </c>
      <c r="L167" s="144">
        <v>0</v>
      </c>
      <c r="M167" s="144">
        <v>0</v>
      </c>
    </row>
    <row r="168" spans="2:13">
      <c r="B168" s="136" t="s">
        <v>88</v>
      </c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</row>
    <row r="169" spans="2:13">
      <c r="B169" s="136" t="s">
        <v>89</v>
      </c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</row>
    <row r="170" spans="2:13"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</row>
    <row r="171" spans="2:13">
      <c r="B171" s="136" t="s">
        <v>90</v>
      </c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</row>
    <row r="172" spans="2:13"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</row>
    <row r="173" spans="2:13">
      <c r="B173" s="136" t="s">
        <v>91</v>
      </c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</row>
    <row r="174" spans="2:13"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</row>
    <row r="175" spans="2:13">
      <c r="B175" s="136" t="s">
        <v>92</v>
      </c>
      <c r="C175" s="144"/>
      <c r="D175" s="144">
        <v>4338.250448890205</v>
      </c>
      <c r="E175" s="144">
        <v>14428.383601463849</v>
      </c>
      <c r="F175" s="144">
        <v>19765.652431316921</v>
      </c>
      <c r="G175" s="144">
        <v>35855.416447387179</v>
      </c>
      <c r="H175" s="144">
        <v>53554.189273652068</v>
      </c>
      <c r="I175" s="144">
        <v>75271.694498150842</v>
      </c>
      <c r="J175" s="144">
        <v>104735.3832298956</v>
      </c>
      <c r="K175" s="144">
        <v>148081.21213119599</v>
      </c>
      <c r="L175" s="144">
        <v>216709.97708751119</v>
      </c>
      <c r="M175" s="144">
        <v>333024.18455560075</v>
      </c>
    </row>
    <row r="176" spans="2:13"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</row>
    <row r="177" spans="2:13">
      <c r="B177" s="136" t="s">
        <v>93</v>
      </c>
      <c r="C177" s="144"/>
      <c r="D177" s="144">
        <v>650.73756733353071</v>
      </c>
      <c r="E177" s="144">
        <v>2164.2575402195771</v>
      </c>
      <c r="F177" s="144">
        <v>2964.8478646975382</v>
      </c>
      <c r="G177" s="144">
        <v>5378.3124671080768</v>
      </c>
      <c r="H177" s="144">
        <v>8033.1283910478096</v>
      </c>
      <c r="I177" s="144">
        <v>11290.754174722626</v>
      </c>
      <c r="J177" s="144">
        <v>15710.30748448434</v>
      </c>
      <c r="K177" s="144">
        <v>22212.181819679397</v>
      </c>
      <c r="L177" s="144">
        <v>32506.496563126675</v>
      </c>
      <c r="M177" s="144">
        <v>49953.627683340113</v>
      </c>
    </row>
    <row r="178" spans="2:13"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</row>
    <row r="179" spans="2:13">
      <c r="B179" s="146" t="s">
        <v>8</v>
      </c>
      <c r="C179" s="147"/>
      <c r="D179" s="147">
        <v>3687.5128815566741</v>
      </c>
      <c r="E179" s="147">
        <v>12264.126061244271</v>
      </c>
      <c r="F179" s="147">
        <v>16800.804566619383</v>
      </c>
      <c r="G179" s="147">
        <v>30477.103980279102</v>
      </c>
      <c r="H179" s="147">
        <v>45521.060882604259</v>
      </c>
      <c r="I179" s="147">
        <v>63980.940323428214</v>
      </c>
      <c r="J179" s="147">
        <v>89025.075745411261</v>
      </c>
      <c r="K179" s="147">
        <v>125869.0303115166</v>
      </c>
      <c r="L179" s="147">
        <v>184203.4805243845</v>
      </c>
      <c r="M179" s="147">
        <v>283070.55687226064</v>
      </c>
    </row>
    <row r="180" spans="2:13"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</row>
    <row r="181" spans="2:13">
      <c r="B181" s="142" t="s">
        <v>94</v>
      </c>
      <c r="C181" s="150"/>
      <c r="D181" s="150">
        <v>2021</v>
      </c>
      <c r="E181" s="150">
        <v>2022</v>
      </c>
      <c r="F181" s="150">
        <v>2023</v>
      </c>
      <c r="G181" s="150">
        <v>2024</v>
      </c>
      <c r="H181" s="150">
        <v>2025</v>
      </c>
      <c r="I181" s="150">
        <v>2026</v>
      </c>
      <c r="J181" s="150">
        <v>2027</v>
      </c>
      <c r="K181" s="150">
        <v>2028</v>
      </c>
      <c r="L181" s="150">
        <v>2029</v>
      </c>
      <c r="M181" s="150">
        <v>2030</v>
      </c>
    </row>
    <row r="182" spans="2:13"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</row>
    <row r="183" spans="2:13">
      <c r="B183" s="136" t="s">
        <v>95</v>
      </c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</row>
    <row r="184" spans="2:13">
      <c r="B184" s="136" t="s">
        <v>96</v>
      </c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</row>
    <row r="185" spans="2:13">
      <c r="B185" s="136" t="s">
        <v>97</v>
      </c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</row>
    <row r="186" spans="2:13">
      <c r="B186" s="136" t="s">
        <v>98</v>
      </c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</row>
    <row r="187" spans="2:13"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</row>
    <row r="188" spans="2:13">
      <c r="B188" s="136" t="s">
        <v>99</v>
      </c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</row>
    <row r="189" spans="2:13">
      <c r="B189" s="136" t="s">
        <v>100</v>
      </c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</row>
    <row r="190" spans="2:13">
      <c r="B190" s="136" t="s">
        <v>101</v>
      </c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</row>
    <row r="191" spans="2:13">
      <c r="B191" s="136" t="s">
        <v>102</v>
      </c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</row>
    <row r="192" spans="2:13"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</row>
    <row r="193" spans="2:13"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</row>
    <row r="194" spans="2:13">
      <c r="B194" s="142" t="s">
        <v>103</v>
      </c>
      <c r="C194" s="150"/>
      <c r="D194" s="150">
        <v>2021</v>
      </c>
      <c r="E194" s="150">
        <v>2022</v>
      </c>
      <c r="F194" s="150">
        <v>2023</v>
      </c>
      <c r="G194" s="150">
        <v>2024</v>
      </c>
      <c r="H194" s="150">
        <v>2025</v>
      </c>
      <c r="I194" s="150">
        <v>2026</v>
      </c>
      <c r="J194" s="150">
        <v>2027</v>
      </c>
      <c r="K194" s="150">
        <v>2028</v>
      </c>
      <c r="L194" s="150">
        <v>2029</v>
      </c>
      <c r="M194" s="150">
        <v>2030</v>
      </c>
    </row>
    <row r="195" spans="2:13"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</row>
    <row r="196" spans="2:13"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</row>
    <row r="197" spans="2:13">
      <c r="B197" s="136" t="s">
        <v>104</v>
      </c>
      <c r="C197" s="144"/>
      <c r="D197" s="144">
        <v>3372.6172500000007</v>
      </c>
      <c r="E197" s="144">
        <v>4890.2950124999979</v>
      </c>
      <c r="F197" s="144">
        <v>7090.9277681249978</v>
      </c>
      <c r="G197" s="144">
        <v>10281.845263781248</v>
      </c>
      <c r="H197" s="144">
        <v>14908.675632482807</v>
      </c>
      <c r="I197" s="144">
        <v>21617.579667100072</v>
      </c>
      <c r="J197" s="144">
        <v>31345.4905172951</v>
      </c>
      <c r="K197" s="144">
        <v>45450.961250077904</v>
      </c>
      <c r="L197" s="144">
        <v>65903.893812612951</v>
      </c>
      <c r="M197" s="144">
        <v>95560.646028288771</v>
      </c>
    </row>
    <row r="198" spans="2:13"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</row>
    <row r="199" spans="2:13"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</row>
    <row r="200" spans="2:13">
      <c r="B200" s="136" t="s">
        <v>105</v>
      </c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</row>
    <row r="201" spans="2:13"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</row>
    <row r="202" spans="2:13">
      <c r="B202" s="136" t="s">
        <v>106</v>
      </c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</row>
    <row r="203" spans="2:13"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</row>
    <row r="204" spans="2:13"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</row>
    <row r="205" spans="2:13">
      <c r="B205" s="146" t="s">
        <v>107</v>
      </c>
      <c r="C205" s="147"/>
      <c r="D205" s="147">
        <v>3372.6172500000007</v>
      </c>
      <c r="E205" s="147">
        <v>4890.2950124999979</v>
      </c>
      <c r="F205" s="147">
        <v>7090.9277681249978</v>
      </c>
      <c r="G205" s="147">
        <v>10281.845263781248</v>
      </c>
      <c r="H205" s="147">
        <v>14908.675632482807</v>
      </c>
      <c r="I205" s="147">
        <v>21617.579667100072</v>
      </c>
      <c r="J205" s="147">
        <v>31345.4905172951</v>
      </c>
      <c r="K205" s="147">
        <v>45450.961250077904</v>
      </c>
      <c r="L205" s="147">
        <v>65903.893812612951</v>
      </c>
      <c r="M205" s="147">
        <v>95560.646028288771</v>
      </c>
    </row>
    <row r="206" spans="2:13"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</row>
    <row r="207" spans="2:13">
      <c r="B207" s="142" t="s">
        <v>385</v>
      </c>
      <c r="C207" s="150"/>
      <c r="D207" s="150">
        <v>314.89563155667338</v>
      </c>
      <c r="E207" s="150">
        <v>7373.8310487442732</v>
      </c>
      <c r="F207" s="150">
        <v>9709.8767984943843</v>
      </c>
      <c r="G207" s="150">
        <v>20195.258716497854</v>
      </c>
      <c r="H207" s="150">
        <v>30612.38525012145</v>
      </c>
      <c r="I207" s="150">
        <v>42363.360656328143</v>
      </c>
      <c r="J207" s="150">
        <v>57679.585228116164</v>
      </c>
      <c r="K207" s="150">
        <v>80418.069061438699</v>
      </c>
      <c r="L207" s="150">
        <v>118299.58671177155</v>
      </c>
      <c r="M207" s="150">
        <v>187509.91084397188</v>
      </c>
    </row>
    <row r="208" spans="2:13"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</row>
    <row r="212" spans="2:13">
      <c r="B212" s="151" t="s">
        <v>108</v>
      </c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</row>
    <row r="214" spans="2:13">
      <c r="B214" s="142" t="s">
        <v>109</v>
      </c>
      <c r="C214" s="1"/>
      <c r="D214" s="1">
        <v>2021</v>
      </c>
      <c r="E214" s="1">
        <v>2022</v>
      </c>
      <c r="F214" s="1">
        <v>2023</v>
      </c>
      <c r="G214" s="1">
        <v>2024</v>
      </c>
      <c r="H214" s="1">
        <v>2025</v>
      </c>
      <c r="I214" s="1">
        <v>2026</v>
      </c>
      <c r="J214" s="142">
        <v>2027</v>
      </c>
      <c r="K214" s="142">
        <v>2028</v>
      </c>
      <c r="L214" s="142">
        <v>2029</v>
      </c>
      <c r="M214" s="142">
        <v>2030</v>
      </c>
    </row>
    <row r="215" spans="2:13">
      <c r="C215" s="2"/>
      <c r="D215" s="2"/>
      <c r="E215" s="2"/>
      <c r="F215" s="2"/>
      <c r="G215" s="2"/>
      <c r="H215" s="2"/>
      <c r="I215" s="2"/>
    </row>
    <row r="216" spans="2:13">
      <c r="B216" s="136" t="s">
        <v>110</v>
      </c>
      <c r="C216" s="17"/>
      <c r="D216" s="17">
        <f>D114/D139</f>
        <v>0.87602503091561845</v>
      </c>
      <c r="E216" s="17">
        <f>E114/E139</f>
        <v>0.47128781803400516</v>
      </c>
      <c r="F216" s="17">
        <f>F114/F139</f>
        <v>0.35903019457247409</v>
      </c>
      <c r="G216" s="17">
        <f>G114/G139</f>
        <v>0.28432750952684405</v>
      </c>
      <c r="H216" s="17">
        <f>H114/H139</f>
        <v>0.28018114849338177</v>
      </c>
      <c r="I216" s="17">
        <f>I114/I139</f>
        <v>0.30052988730302349</v>
      </c>
      <c r="J216" s="17">
        <f>J114/J139</f>
        <v>0.33277230020422394</v>
      </c>
      <c r="K216" s="17">
        <f>K114/K139</f>
        <v>0.36833523297220921</v>
      </c>
      <c r="L216" s="17">
        <f>L114/L139</f>
        <v>0.39754777175943562</v>
      </c>
      <c r="M216" s="17">
        <f>M114/M139</f>
        <v>0.40222822137389153</v>
      </c>
    </row>
    <row r="217" spans="2:13">
      <c r="B217" s="136" t="s">
        <v>55</v>
      </c>
      <c r="C217" s="17"/>
      <c r="D217" s="17">
        <f>D120/D139</f>
        <v>8.5780082278774955E-2</v>
      </c>
      <c r="E217" s="17">
        <f>E120/E139</f>
        <v>6.8539449692974527E-2</v>
      </c>
      <c r="F217" s="17">
        <f>F120/F139</f>
        <v>0.48414050652925278</v>
      </c>
      <c r="G217" s="17">
        <f>G120/G139</f>
        <v>0.57878069893812922</v>
      </c>
      <c r="H217" s="17">
        <f>H120/H139</f>
        <v>0.56904292236483833</v>
      </c>
      <c r="I217" s="17">
        <f>I120/I139</f>
        <v>0.51590853044977159</v>
      </c>
      <c r="J217" s="17">
        <f>J120/J139</f>
        <v>0.4326632060344705</v>
      </c>
      <c r="K217" s="17">
        <f>K120/K139</f>
        <v>0.32665202239078733</v>
      </c>
      <c r="L217" s="17">
        <f>L120/L139</f>
        <v>0.20831383532018505</v>
      </c>
      <c r="M217" s="17">
        <f>M120/M139</f>
        <v>0.10550238093463794</v>
      </c>
    </row>
    <row r="218" spans="2:13">
      <c r="B218" s="136" t="s">
        <v>111</v>
      </c>
      <c r="C218" s="17"/>
      <c r="D218" s="17">
        <f>D126/D139</f>
        <v>3.8194886805606627E-2</v>
      </c>
      <c r="E218" s="17">
        <f>E126/E139</f>
        <v>2.1544124275939484E-2</v>
      </c>
      <c r="F218" s="17">
        <f>F126/F139</f>
        <v>1.6994639156845032E-2</v>
      </c>
      <c r="G218" s="17">
        <f>G126/G139</f>
        <v>1.3819859377484688E-2</v>
      </c>
      <c r="H218" s="17">
        <f>H126/H139</f>
        <v>1.3904416856369289E-2</v>
      </c>
      <c r="I218" s="17">
        <f>I126/I139</f>
        <v>1.5168063811156034E-2</v>
      </c>
      <c r="J218" s="17">
        <f>J126/J139</f>
        <v>1.7035038599371385E-2</v>
      </c>
      <c r="K218" s="17">
        <f>K126/K139</f>
        <v>1.9088787227235633E-2</v>
      </c>
      <c r="L218" s="17">
        <f>L126/L139</f>
        <v>2.0830468370584897E-2</v>
      </c>
      <c r="M218" s="17">
        <f>M126/M139</f>
        <v>2.151662408564221E-2</v>
      </c>
    </row>
    <row r="219" spans="2:13">
      <c r="B219" s="136" t="s">
        <v>66</v>
      </c>
      <c r="C219" s="17"/>
      <c r="D219" s="17">
        <f>D131/D139</f>
        <v>0</v>
      </c>
      <c r="E219" s="17">
        <f>E131/E139</f>
        <v>2.9889078122107428E-2</v>
      </c>
      <c r="F219" s="17">
        <f>F131/F139</f>
        <v>2.434653495551841E-2</v>
      </c>
      <c r="G219" s="17">
        <f>G131/G139</f>
        <v>2.0919271238609264E-2</v>
      </c>
      <c r="H219" s="17">
        <f>H131/H139</f>
        <v>2.2714561812182312E-2</v>
      </c>
      <c r="I219" s="17">
        <f>I131/I139</f>
        <v>2.7287517367072151E-2</v>
      </c>
      <c r="J219" s="17">
        <f>J131/J139</f>
        <v>3.4423319151628329E-2</v>
      </c>
      <c r="K219" s="17">
        <f>K131/K139</f>
        <v>4.4191119709763166E-2</v>
      </c>
      <c r="L219" s="17">
        <f>L131/L139</f>
        <v>5.6358623316671019E-2</v>
      </c>
      <c r="M219" s="17">
        <f>M131/M139</f>
        <v>6.9432158460372456E-2</v>
      </c>
    </row>
    <row r="220" spans="2:13">
      <c r="B220" s="136" t="s">
        <v>112</v>
      </c>
      <c r="C220" s="17"/>
      <c r="D220" s="17">
        <f>D136/D139</f>
        <v>0</v>
      </c>
      <c r="E220" s="17">
        <f>E136/E139</f>
        <v>0.40873952987497336</v>
      </c>
      <c r="F220" s="17">
        <f>F136/F139</f>
        <v>0.11548812478590964</v>
      </c>
      <c r="G220" s="17">
        <f>G136/G139</f>
        <v>0.10215266091893281</v>
      </c>
      <c r="H220" s="17">
        <f>H136/H139</f>
        <v>0.11415695047322827</v>
      </c>
      <c r="I220" s="17">
        <f>I136/I139</f>
        <v>0.14110600106897681</v>
      </c>
      <c r="J220" s="17">
        <f>J136/J139</f>
        <v>0.18310613601030573</v>
      </c>
      <c r="K220" s="17">
        <f>K136/K139</f>
        <v>0.24173283770000456</v>
      </c>
      <c r="L220" s="17">
        <f>L136/L139</f>
        <v>0.3169493012331232</v>
      </c>
      <c r="M220" s="17">
        <f>M136/M139</f>
        <v>0.40132061514545575</v>
      </c>
    </row>
    <row r="221" spans="2:13">
      <c r="C221" s="8"/>
      <c r="D221" s="8"/>
      <c r="E221" s="8"/>
      <c r="F221" s="8"/>
      <c r="G221" s="8"/>
      <c r="H221" s="8"/>
      <c r="I221" s="7"/>
    </row>
    <row r="222" spans="2:13">
      <c r="B222" s="142" t="s">
        <v>113</v>
      </c>
      <c r="C222" s="1"/>
      <c r="D222" s="1">
        <v>2021</v>
      </c>
      <c r="E222" s="1">
        <v>2022</v>
      </c>
      <c r="F222" s="1">
        <v>2023</v>
      </c>
      <c r="G222" s="1">
        <v>2024</v>
      </c>
      <c r="H222" s="1">
        <v>2025</v>
      </c>
      <c r="I222" s="1">
        <v>2026</v>
      </c>
      <c r="J222" s="142">
        <v>2027</v>
      </c>
      <c r="K222" s="142">
        <v>2028</v>
      </c>
      <c r="L222" s="142">
        <v>2029</v>
      </c>
      <c r="M222" s="142">
        <v>2030</v>
      </c>
    </row>
    <row r="223" spans="2:13">
      <c r="C223" s="2"/>
      <c r="D223" s="2"/>
      <c r="E223" s="2"/>
      <c r="F223" s="2"/>
      <c r="G223" s="2"/>
      <c r="H223" s="2"/>
      <c r="I223" s="2"/>
    </row>
    <row r="224" spans="2:13">
      <c r="B224" s="136" t="s">
        <v>110</v>
      </c>
      <c r="C224" s="3"/>
      <c r="D224" s="3">
        <v>0.4</v>
      </c>
      <c r="E224" s="3">
        <v>0.4</v>
      </c>
      <c r="F224" s="3">
        <v>0.4</v>
      </c>
      <c r="G224" s="3">
        <v>0.4</v>
      </c>
      <c r="H224" s="3">
        <v>0.4</v>
      </c>
      <c r="I224" s="3">
        <v>0.4</v>
      </c>
      <c r="J224" s="3">
        <v>0.4</v>
      </c>
      <c r="K224" s="3">
        <v>0.4</v>
      </c>
      <c r="L224" s="3">
        <v>0.4</v>
      </c>
      <c r="M224" s="3">
        <v>0.4</v>
      </c>
    </row>
    <row r="225" spans="2:13">
      <c r="B225" s="136" t="s">
        <v>55</v>
      </c>
      <c r="C225" s="3"/>
      <c r="D225" s="3">
        <v>0.4</v>
      </c>
      <c r="E225" s="3">
        <v>0.4</v>
      </c>
      <c r="F225" s="3">
        <v>0.4</v>
      </c>
      <c r="G225" s="3">
        <v>0.4</v>
      </c>
      <c r="H225" s="3">
        <v>0.4</v>
      </c>
      <c r="I225" s="3">
        <v>0.4</v>
      </c>
      <c r="J225" s="3">
        <v>0.4</v>
      </c>
      <c r="K225" s="3">
        <v>0.4</v>
      </c>
      <c r="L225" s="3">
        <v>0.4</v>
      </c>
      <c r="M225" s="3">
        <v>0.4</v>
      </c>
    </row>
    <row r="226" spans="2:13">
      <c r="B226" s="136" t="s">
        <v>111</v>
      </c>
      <c r="C226" s="3"/>
      <c r="D226" s="3">
        <v>0.2</v>
      </c>
      <c r="E226" s="3">
        <v>0.2</v>
      </c>
      <c r="F226" s="3">
        <v>0.2</v>
      </c>
      <c r="G226" s="3">
        <v>0.2</v>
      </c>
      <c r="H226" s="3">
        <v>0.2</v>
      </c>
      <c r="I226" s="3">
        <v>0.2</v>
      </c>
      <c r="J226" s="3">
        <v>0.2</v>
      </c>
      <c r="K226" s="3">
        <v>0.2</v>
      </c>
      <c r="L226" s="3">
        <v>0.2</v>
      </c>
      <c r="M226" s="3">
        <v>0.2</v>
      </c>
    </row>
    <row r="227" spans="2:13">
      <c r="B227" s="136" t="s">
        <v>66</v>
      </c>
      <c r="C227" s="3"/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</row>
    <row r="228" spans="2:13">
      <c r="B228" s="136" t="s">
        <v>112</v>
      </c>
      <c r="C228" s="3"/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</row>
    <row r="229" spans="2:13">
      <c r="C229" s="8"/>
      <c r="D229" s="8"/>
      <c r="E229" s="8"/>
      <c r="F229" s="8"/>
      <c r="G229" s="8"/>
      <c r="H229" s="8"/>
      <c r="I229" s="7"/>
    </row>
    <row r="230" spans="2:13">
      <c r="B230" s="142" t="s">
        <v>114</v>
      </c>
      <c r="C230" s="1"/>
      <c r="D230" s="1"/>
      <c r="E230" s="1"/>
      <c r="F230" s="1"/>
      <c r="G230" s="1"/>
      <c r="H230" s="1"/>
      <c r="I230" s="1"/>
      <c r="J230" s="142"/>
      <c r="K230" s="142"/>
      <c r="L230" s="142"/>
      <c r="M230" s="142"/>
    </row>
    <row r="232" spans="2:13">
      <c r="B232" s="136" t="s">
        <v>115</v>
      </c>
      <c r="C232" s="8">
        <v>6.7000000000000002E-3</v>
      </c>
      <c r="D232" s="8"/>
    </row>
    <row r="233" spans="2:13">
      <c r="C233" s="8"/>
      <c r="D233" s="8"/>
    </row>
    <row r="234" spans="2:13">
      <c r="B234" s="136" t="s">
        <v>116</v>
      </c>
      <c r="C234" s="8"/>
      <c r="D234" s="8"/>
    </row>
    <row r="235" spans="2:13">
      <c r="C235" s="19"/>
      <c r="D235" s="8"/>
    </row>
    <row r="236" spans="2:13">
      <c r="B236" s="136" t="s">
        <v>117</v>
      </c>
      <c r="C236" s="21">
        <v>6.7000000000000002E-3</v>
      </c>
      <c r="D236" s="8"/>
    </row>
    <row r="237" spans="2:13">
      <c r="B237" s="136" t="s">
        <v>118</v>
      </c>
      <c r="C237" s="21">
        <v>0.11799999999999999</v>
      </c>
      <c r="D237" s="8"/>
    </row>
    <row r="238" spans="2:13">
      <c r="B238" s="136" t="s">
        <v>119</v>
      </c>
      <c r="C238" s="21">
        <f>C237-C236</f>
        <v>0.1113</v>
      </c>
      <c r="D238" s="8"/>
    </row>
    <row r="239" spans="2:13">
      <c r="C239" s="19"/>
      <c r="D239" s="8"/>
    </row>
    <row r="240" spans="2:13">
      <c r="B240" s="136" t="s">
        <v>120</v>
      </c>
      <c r="C240" s="20"/>
      <c r="D240" s="20"/>
    </row>
    <row r="241" spans="2:13">
      <c r="C241" s="19" t="s">
        <v>375</v>
      </c>
      <c r="D241" s="19" t="s">
        <v>121</v>
      </c>
    </row>
    <row r="242" spans="2:13">
      <c r="B242" s="136" t="s">
        <v>122</v>
      </c>
      <c r="C242" s="18">
        <v>1.1000000000000001</v>
      </c>
      <c r="D242" s="18">
        <f>$C$236+($C$238*C242)</f>
        <v>0.12913000000000002</v>
      </c>
    </row>
    <row r="243" spans="2:13">
      <c r="B243" s="136" t="s">
        <v>123</v>
      </c>
      <c r="C243" s="18">
        <v>1.1499999999999999</v>
      </c>
      <c r="D243" s="18">
        <f t="shared" ref="D243:D245" si="11">$C$236+($C$238*C243)</f>
        <v>0.13469500000000001</v>
      </c>
    </row>
    <row r="244" spans="2:13">
      <c r="B244" s="136" t="s">
        <v>124</v>
      </c>
      <c r="C244" s="18">
        <v>1.33</v>
      </c>
      <c r="D244" s="18">
        <f t="shared" si="11"/>
        <v>0.15472900000000001</v>
      </c>
    </row>
    <row r="245" spans="2:13">
      <c r="B245" s="136" t="s">
        <v>125</v>
      </c>
      <c r="C245" s="18">
        <v>1.37</v>
      </c>
      <c r="D245" s="18">
        <f t="shared" si="11"/>
        <v>0.15918100000000002</v>
      </c>
    </row>
    <row r="246" spans="2:13"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</row>
    <row r="247" spans="2:13">
      <c r="C247" s="152"/>
      <c r="D247" s="152">
        <v>1</v>
      </c>
      <c r="E247" s="152">
        <v>2</v>
      </c>
      <c r="F247" s="152">
        <v>3</v>
      </c>
      <c r="G247" s="152">
        <v>4</v>
      </c>
      <c r="H247" s="152">
        <v>5</v>
      </c>
      <c r="I247" s="152">
        <v>6</v>
      </c>
      <c r="J247" s="152">
        <v>7</v>
      </c>
      <c r="K247" s="152">
        <v>8</v>
      </c>
      <c r="L247" s="152">
        <v>9</v>
      </c>
      <c r="M247" s="152">
        <v>10</v>
      </c>
    </row>
    <row r="248" spans="2:13">
      <c r="B248" s="153" t="s">
        <v>126</v>
      </c>
      <c r="C248" s="154"/>
      <c r="D248" s="154">
        <v>2021</v>
      </c>
      <c r="E248" s="154">
        <v>2022</v>
      </c>
      <c r="F248" s="154">
        <v>2023</v>
      </c>
      <c r="G248" s="154">
        <v>2024</v>
      </c>
      <c r="H248" s="154">
        <v>2025</v>
      </c>
      <c r="I248" s="154">
        <v>2026</v>
      </c>
      <c r="J248" s="154">
        <v>2027</v>
      </c>
      <c r="K248" s="154">
        <v>2028</v>
      </c>
      <c r="L248" s="154">
        <v>2029</v>
      </c>
      <c r="M248" s="154">
        <v>2030</v>
      </c>
    </row>
    <row r="250" spans="2:13">
      <c r="B250" s="136" t="s">
        <v>7</v>
      </c>
      <c r="C250" s="135"/>
      <c r="D250" s="135">
        <f>D114</f>
        <v>8064.5241499999984</v>
      </c>
      <c r="E250" s="135">
        <f>E114</f>
        <v>11530.272547364437</v>
      </c>
      <c r="F250" s="135">
        <f>F114</f>
        <v>16510.479761981871</v>
      </c>
      <c r="G250" s="135">
        <f>G114</f>
        <v>23669.17981891369</v>
      </c>
      <c r="H250" s="135">
        <f>H114</f>
        <v>33961.642969282831</v>
      </c>
      <c r="I250" s="135">
        <f>I114</f>
        <v>48762.049755054184</v>
      </c>
      <c r="J250" s="135">
        <f>J114</f>
        <v>70047.099231479908</v>
      </c>
      <c r="K250" s="135">
        <f>K114</f>
        <v>100660.03837450444</v>
      </c>
      <c r="L250" s="135">
        <f>L114</f>
        <v>144690.31138641175</v>
      </c>
      <c r="M250" s="135">
        <f>M114</f>
        <v>205824.14821511417</v>
      </c>
    </row>
    <row r="251" spans="2:13">
      <c r="B251" s="136" t="s">
        <v>127</v>
      </c>
      <c r="C251" s="135"/>
      <c r="D251" s="135">
        <f>D216*D155</f>
        <v>3673.8299734023749</v>
      </c>
      <c r="E251" s="135">
        <f>E216*E155</f>
        <v>4419.1721292953125</v>
      </c>
      <c r="F251" s="135">
        <f>F216*F155</f>
        <v>9290.794901029396</v>
      </c>
      <c r="G251" s="135">
        <f>G216*G155</f>
        <v>13495.631384221631</v>
      </c>
      <c r="H251" s="135">
        <f>H216*H155</f>
        <v>18956.768711959056</v>
      </c>
      <c r="I251" s="135">
        <f>I216*I155</f>
        <v>26140.655890417311</v>
      </c>
      <c r="J251" s="135">
        <f>J216*J155</f>
        <v>35194.064841296633</v>
      </c>
      <c r="K251" s="135">
        <f>K216*K155</f>
        <v>46116.510605353222</v>
      </c>
      <c r="L251" s="135">
        <f>L216*L155</f>
        <v>58537.742877233322</v>
      </c>
      <c r="M251" s="135">
        <f>M216*M155</f>
        <v>71872.422786824245</v>
      </c>
    </row>
    <row r="252" spans="2:13">
      <c r="B252" s="136" t="s">
        <v>128</v>
      </c>
      <c r="C252" s="135"/>
      <c r="D252" s="135">
        <f>D250-D251</f>
        <v>4390.6941765976235</v>
      </c>
      <c r="E252" s="135">
        <f t="shared" ref="E252:M252" si="12">E250-E251</f>
        <v>7111.1004180691243</v>
      </c>
      <c r="F252" s="135">
        <f t="shared" si="12"/>
        <v>7219.684860952475</v>
      </c>
      <c r="G252" s="135">
        <f t="shared" si="12"/>
        <v>10173.548434692058</v>
      </c>
      <c r="H252" s="135">
        <f t="shared" si="12"/>
        <v>15004.874257323776</v>
      </c>
      <c r="I252" s="135">
        <f t="shared" si="12"/>
        <v>22621.393864636873</v>
      </c>
      <c r="J252" s="135">
        <f t="shared" si="12"/>
        <v>34853.034390183275</v>
      </c>
      <c r="K252" s="135">
        <f t="shared" si="12"/>
        <v>54543.527769151216</v>
      </c>
      <c r="L252" s="135">
        <f t="shared" si="12"/>
        <v>86152.568509178425</v>
      </c>
      <c r="M252" s="135">
        <f t="shared" si="12"/>
        <v>133951.72542828991</v>
      </c>
    </row>
    <row r="253" spans="2:13"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</row>
    <row r="254" spans="2:13">
      <c r="B254" s="136" t="s">
        <v>129</v>
      </c>
      <c r="C254" s="135"/>
      <c r="D254" s="135">
        <f>(D158-D179)*D216</f>
        <v>1160.3405905301966</v>
      </c>
      <c r="E254" s="135">
        <f>(E158-E179)*E216</f>
        <v>1331.1672065713331</v>
      </c>
      <c r="F254" s="135">
        <f>(F158-F179)*F216</f>
        <v>1187.6887284250067</v>
      </c>
      <c r="G254" s="135">
        <f>(G158-G179)*G216</f>
        <v>1508.0693623886375</v>
      </c>
      <c r="H254" s="135">
        <f>(H158-H179)*H216</f>
        <v>2250.7311385985672</v>
      </c>
      <c r="I254" s="135">
        <f>(I158-I179)*I216</f>
        <v>3393.2090796955335</v>
      </c>
      <c r="J254" s="135">
        <f>(J158-J179)*J216</f>
        <v>5227.9551585274876</v>
      </c>
      <c r="K254" s="135">
        <f>(K158-K179)*K216</f>
        <v>8181.5291653726781</v>
      </c>
      <c r="L254" s="135">
        <f>(L158-L179)*L216</f>
        <v>12922.885276376765</v>
      </c>
      <c r="M254" s="135">
        <f>(M158-M179)*M216</f>
        <v>20092.75881424348</v>
      </c>
    </row>
    <row r="255" spans="2:13">
      <c r="B255" s="136" t="s">
        <v>130</v>
      </c>
      <c r="C255" s="135"/>
      <c r="D255" s="135">
        <f>D252-D254</f>
        <v>3230.3535860674269</v>
      </c>
      <c r="E255" s="135">
        <f>E252-E254</f>
        <v>5779.9332114977915</v>
      </c>
      <c r="F255" s="135">
        <f t="shared" ref="F255:M255" si="13">F252-F254</f>
        <v>6031.996132527468</v>
      </c>
      <c r="G255" s="135">
        <f t="shared" si="13"/>
        <v>8665.4790723034203</v>
      </c>
      <c r="H255" s="135">
        <f t="shared" si="13"/>
        <v>12754.143118725209</v>
      </c>
      <c r="I255" s="135">
        <f t="shared" si="13"/>
        <v>19228.184784941339</v>
      </c>
      <c r="J255" s="135">
        <f t="shared" si="13"/>
        <v>29625.079231655785</v>
      </c>
      <c r="K255" s="135">
        <f t="shared" si="13"/>
        <v>46361.998603778542</v>
      </c>
      <c r="L255" s="135">
        <f t="shared" si="13"/>
        <v>73229.683232801661</v>
      </c>
      <c r="M255" s="135">
        <f t="shared" si="13"/>
        <v>113858.96661404643</v>
      </c>
    </row>
    <row r="256" spans="2:13"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</row>
    <row r="257" spans="2:13">
      <c r="B257" s="136" t="s">
        <v>131</v>
      </c>
      <c r="C257" s="135"/>
      <c r="D257" s="135">
        <f>D224*D205</f>
        <v>1349.0469000000003</v>
      </c>
      <c r="E257" s="135">
        <f>E224*E205</f>
        <v>1956.1180049999994</v>
      </c>
      <c r="F257" s="135">
        <f>F224*F205</f>
        <v>2836.3711072499991</v>
      </c>
      <c r="G257" s="135">
        <f>G224*G205</f>
        <v>4112.7381055124997</v>
      </c>
      <c r="H257" s="135">
        <f>H224*H205</f>
        <v>5963.4702529931237</v>
      </c>
      <c r="I257" s="135">
        <f>I224*I205</f>
        <v>8647.0318668400287</v>
      </c>
      <c r="J257" s="135">
        <f>J224*J205</f>
        <v>12538.196206918041</v>
      </c>
      <c r="K257" s="135">
        <f>K224*K205</f>
        <v>18180.384500031163</v>
      </c>
      <c r="L257" s="135">
        <f>L224*L205</f>
        <v>26361.55752504518</v>
      </c>
      <c r="M257" s="135">
        <f>M224*M205</f>
        <v>38224.25841131551</v>
      </c>
    </row>
    <row r="258" spans="2:13">
      <c r="B258" s="136" t="s">
        <v>132</v>
      </c>
      <c r="C258" s="135"/>
      <c r="D258" s="135">
        <v>0</v>
      </c>
      <c r="E258" s="135">
        <v>0</v>
      </c>
      <c r="F258" s="135">
        <v>0</v>
      </c>
      <c r="G258" s="135">
        <v>0</v>
      </c>
      <c r="H258" s="135">
        <v>0</v>
      </c>
      <c r="I258" s="135">
        <v>0</v>
      </c>
      <c r="J258" s="135">
        <v>0</v>
      </c>
      <c r="K258" s="135">
        <v>0</v>
      </c>
      <c r="L258" s="135">
        <v>0</v>
      </c>
      <c r="M258" s="135">
        <v>0</v>
      </c>
    </row>
    <row r="259" spans="2:13">
      <c r="B259" s="136" t="s">
        <v>133</v>
      </c>
      <c r="C259" s="135"/>
      <c r="D259" s="135">
        <f>D255-D257</f>
        <v>1881.3066860674267</v>
      </c>
      <c r="E259" s="135">
        <f t="shared" ref="E259:M259" si="14">E255-E257</f>
        <v>3823.8152064977921</v>
      </c>
      <c r="F259" s="135">
        <f t="shared" si="14"/>
        <v>3195.6250252774689</v>
      </c>
      <c r="G259" s="135">
        <f t="shared" si="14"/>
        <v>4552.7409667909205</v>
      </c>
      <c r="H259" s="135">
        <f t="shared" si="14"/>
        <v>6790.6728657320855</v>
      </c>
      <c r="I259" s="135">
        <f t="shared" si="14"/>
        <v>10581.15291810131</v>
      </c>
      <c r="J259" s="135">
        <f t="shared" si="14"/>
        <v>17086.883024737745</v>
      </c>
      <c r="K259" s="135">
        <f t="shared" si="14"/>
        <v>28181.614103747379</v>
      </c>
      <c r="L259" s="135">
        <f t="shared" si="14"/>
        <v>46868.125707756481</v>
      </c>
      <c r="M259" s="135">
        <f t="shared" si="14"/>
        <v>75634.708202730922</v>
      </c>
    </row>
    <row r="260" spans="2:13">
      <c r="B260" s="136" t="s">
        <v>134</v>
      </c>
      <c r="C260" s="135"/>
      <c r="D260" s="135">
        <f>(D259/(1+$D$242)^D247)</f>
        <v>1666.1559661575077</v>
      </c>
      <c r="E260" s="135">
        <f>(E259/(1+$D$242)^E247)</f>
        <v>2999.2246941642156</v>
      </c>
      <c r="F260" s="135">
        <f>(F259/(1+$D$242)^F247)</f>
        <v>2219.8517640512837</v>
      </c>
      <c r="G260" s="135">
        <f>(G259/(1+$D$242)^G247)</f>
        <v>2800.8971123348019</v>
      </c>
      <c r="H260" s="135">
        <f>(H259/(1+$D$242)^H247)</f>
        <v>3699.9263343073885</v>
      </c>
      <c r="I260" s="135">
        <f>(I259/(1+$D$242)^I247)</f>
        <v>5105.8648205648515</v>
      </c>
      <c r="J260" s="135">
        <f>(J259/(1+$D$242)^J247)</f>
        <v>7302.225186534698</v>
      </c>
      <c r="K260" s="135">
        <f>(K259/(1+$D$242)^K247)</f>
        <v>10666.312235830615</v>
      </c>
      <c r="L260" s="135">
        <f>(L259/(1+$D$242)^L247)</f>
        <v>15710.212833123056</v>
      </c>
      <c r="M260" s="135">
        <f>(M259/(1+$D$242)^M247)</f>
        <v>22453.377182875407</v>
      </c>
    </row>
    <row r="261" spans="2:13">
      <c r="B261" s="136" t="s">
        <v>135</v>
      </c>
      <c r="C261" s="135">
        <f>SUM(D260:M260)</f>
        <v>74624.048129943825</v>
      </c>
      <c r="E261" s="137"/>
      <c r="F261" s="137"/>
      <c r="G261" s="137"/>
      <c r="H261" s="137"/>
      <c r="I261" s="137"/>
    </row>
    <row r="262" spans="2:13">
      <c r="B262" s="136" t="s">
        <v>136</v>
      </c>
      <c r="C262" s="135">
        <f>M259/D242</f>
        <v>585725.30165516073</v>
      </c>
      <c r="E262" s="137"/>
      <c r="F262" s="137"/>
      <c r="G262" s="137"/>
      <c r="H262" s="137"/>
      <c r="I262" s="137"/>
    </row>
    <row r="263" spans="2:13">
      <c r="B263" s="136" t="s">
        <v>137</v>
      </c>
      <c r="C263" s="135">
        <f>C262/(1+D242*M247)</f>
        <v>255630.12336017139</v>
      </c>
      <c r="E263" s="137"/>
      <c r="F263" s="137"/>
      <c r="G263" s="137"/>
      <c r="H263" s="137"/>
      <c r="I263" s="137"/>
    </row>
    <row r="264" spans="2:13">
      <c r="C264" s="135"/>
      <c r="D264" s="138"/>
      <c r="E264" s="138"/>
      <c r="F264" s="138"/>
      <c r="G264" s="138"/>
      <c r="H264" s="138"/>
    </row>
    <row r="265" spans="2:13">
      <c r="B265" s="136" t="s">
        <v>138</v>
      </c>
      <c r="C265" s="135">
        <f>C263+C261</f>
        <v>330254.17149011523</v>
      </c>
      <c r="D265" s="137"/>
      <c r="E265" s="137"/>
      <c r="F265" s="137"/>
      <c r="G265" s="137"/>
      <c r="H265" s="137"/>
    </row>
    <row r="267" spans="2:13">
      <c r="D267" s="152">
        <v>1</v>
      </c>
      <c r="E267" s="152">
        <v>2</v>
      </c>
      <c r="F267" s="152">
        <v>3</v>
      </c>
      <c r="G267" s="152">
        <v>4</v>
      </c>
      <c r="H267" s="152">
        <v>5</v>
      </c>
      <c r="I267" s="152">
        <v>6</v>
      </c>
      <c r="J267" s="152">
        <v>7</v>
      </c>
      <c r="K267" s="152">
        <v>8</v>
      </c>
      <c r="L267" s="152">
        <v>9</v>
      </c>
      <c r="M267" s="152">
        <v>10</v>
      </c>
    </row>
    <row r="268" spans="2:13">
      <c r="B268" s="153" t="s">
        <v>55</v>
      </c>
      <c r="C268" s="154"/>
      <c r="D268" s="154">
        <v>2021</v>
      </c>
      <c r="E268" s="154">
        <v>2022</v>
      </c>
      <c r="F268" s="154">
        <v>2023</v>
      </c>
      <c r="G268" s="154">
        <v>2024</v>
      </c>
      <c r="H268" s="154">
        <v>2025</v>
      </c>
      <c r="I268" s="154">
        <v>2026</v>
      </c>
      <c r="J268" s="154">
        <v>2027</v>
      </c>
      <c r="K268" s="154">
        <v>2028</v>
      </c>
      <c r="L268" s="154">
        <v>2029</v>
      </c>
      <c r="M268" s="154">
        <v>2030</v>
      </c>
    </row>
    <row r="270" spans="2:13">
      <c r="B270" s="136" t="s">
        <v>7</v>
      </c>
      <c r="C270" s="9"/>
      <c r="D270" s="9">
        <f>D117</f>
        <v>789.67554660296173</v>
      </c>
      <c r="E270" s="9">
        <f>E117</f>
        <v>1676.8490611597954</v>
      </c>
      <c r="F270" s="9">
        <f>F117</f>
        <v>22263.843419981014</v>
      </c>
      <c r="G270" s="9">
        <f>G117</f>
        <v>48181.283835955197</v>
      </c>
      <c r="H270" s="9">
        <f>H117</f>
        <v>68975.491989634931</v>
      </c>
      <c r="I270" s="9">
        <f>I117</f>
        <v>83708.005405409669</v>
      </c>
      <c r="J270" s="9">
        <f>J117</f>
        <v>91073.693658719072</v>
      </c>
      <c r="K270" s="9">
        <f>K117</f>
        <v>89268.693748466321</v>
      </c>
      <c r="L270" s="9">
        <f>L117</f>
        <v>75817.287480142666</v>
      </c>
      <c r="M270" s="9">
        <f>M117</f>
        <v>53986.608936505276</v>
      </c>
    </row>
    <row r="271" spans="2:13">
      <c r="B271" s="136" t="s">
        <v>127</v>
      </c>
      <c r="C271" s="9"/>
      <c r="D271" s="9">
        <f>D158*D217</f>
        <v>429.9353265463493</v>
      </c>
      <c r="E271" s="9">
        <f t="shared" ref="E271:M271" si="15">E158*E217</f>
        <v>1034.1682740689296</v>
      </c>
      <c r="F271" s="9">
        <f t="shared" si="15"/>
        <v>9735.5095432162525</v>
      </c>
      <c r="G271" s="9">
        <f t="shared" si="15"/>
        <v>20709.404740718757</v>
      </c>
      <c r="H271" s="9">
        <f t="shared" si="15"/>
        <v>30474.632369158651</v>
      </c>
      <c r="I271" s="9">
        <f t="shared" si="15"/>
        <v>38833.309293005157</v>
      </c>
      <c r="J271" s="9">
        <f t="shared" si="15"/>
        <v>45315.146693495546</v>
      </c>
      <c r="K271" s="9">
        <f t="shared" si="15"/>
        <v>48371.027420734361</v>
      </c>
      <c r="L271" s="9">
        <f t="shared" si="15"/>
        <v>45143.686479248878</v>
      </c>
      <c r="M271" s="9">
        <f t="shared" si="15"/>
        <v>35134.844379432157</v>
      </c>
    </row>
    <row r="272" spans="2:13">
      <c r="B272" s="136" t="s">
        <v>128</v>
      </c>
      <c r="C272" s="9"/>
      <c r="D272" s="9">
        <f>D270-D271</f>
        <v>359.74022005661243</v>
      </c>
      <c r="E272" s="9">
        <f>E270-E271</f>
        <v>642.68078709086581</v>
      </c>
      <c r="F272" s="9">
        <f t="shared" ref="F272" si="16">F270-F271</f>
        <v>12528.333876764762</v>
      </c>
      <c r="G272" s="9">
        <f t="shared" ref="G272" si="17">G270-G271</f>
        <v>27471.87909523644</v>
      </c>
      <c r="H272" s="9">
        <f t="shared" ref="H272" si="18">H270-H271</f>
        <v>38500.85962047628</v>
      </c>
      <c r="I272" s="9">
        <f t="shared" ref="I272" si="19">I270-I271</f>
        <v>44874.696112404512</v>
      </c>
      <c r="J272" s="9">
        <f t="shared" ref="J272" si="20">J270-J271</f>
        <v>45758.546965223526</v>
      </c>
      <c r="K272" s="9">
        <f t="shared" ref="K272" si="21">K270-K271</f>
        <v>40897.66632773196</v>
      </c>
      <c r="L272" s="9">
        <f t="shared" ref="L272" si="22">L270-L271</f>
        <v>30673.601000893788</v>
      </c>
      <c r="M272" s="9">
        <f t="shared" ref="M272" si="23">M270-M271</f>
        <v>18851.764557073118</v>
      </c>
    </row>
    <row r="273" spans="2:13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2:13">
      <c r="B274" s="136" t="s">
        <v>129</v>
      </c>
      <c r="C274" s="9"/>
      <c r="D274" s="9">
        <f>(D158-D179)*D217</f>
        <v>113.62016816237529</v>
      </c>
      <c r="E274" s="9">
        <f>(E158-E179)*E217</f>
        <v>193.59182286597994</v>
      </c>
      <c r="F274" s="9">
        <f t="shared" ref="F274:M274" si="24">(F158-F179)*F217</f>
        <v>1601.5595102341604</v>
      </c>
      <c r="G274" s="9">
        <f t="shared" si="24"/>
        <v>3069.8451974027771</v>
      </c>
      <c r="H274" s="9">
        <f t="shared" si="24"/>
        <v>4571.1948553737966</v>
      </c>
      <c r="I274" s="9">
        <f t="shared" si="24"/>
        <v>5824.9963939507743</v>
      </c>
      <c r="J274" s="9">
        <f t="shared" si="24"/>
        <v>6797.2720040243303</v>
      </c>
      <c r="K274" s="9">
        <f t="shared" si="24"/>
        <v>7255.6541131101512</v>
      </c>
      <c r="L274" s="9">
        <f t="shared" si="24"/>
        <v>6771.5529718873331</v>
      </c>
      <c r="M274" s="9">
        <f t="shared" si="24"/>
        <v>5270.2266569148233</v>
      </c>
    </row>
    <row r="275" spans="2:13">
      <c r="B275" s="136" t="s">
        <v>130</v>
      </c>
      <c r="C275" s="9"/>
      <c r="D275" s="9">
        <f>D272-D274</f>
        <v>246.12005189423712</v>
      </c>
      <c r="E275" s="9">
        <f t="shared" ref="E275:M275" si="25">E272-E274</f>
        <v>449.0889642248859</v>
      </c>
      <c r="F275" s="9">
        <f t="shared" si="25"/>
        <v>10926.774366530601</v>
      </c>
      <c r="G275" s="9">
        <f t="shared" si="25"/>
        <v>24402.033897833662</v>
      </c>
      <c r="H275" s="9">
        <f t="shared" si="25"/>
        <v>33929.664765102483</v>
      </c>
      <c r="I275" s="9">
        <f t="shared" si="25"/>
        <v>39049.699718453739</v>
      </c>
      <c r="J275" s="9">
        <f t="shared" si="25"/>
        <v>38961.274961199197</v>
      </c>
      <c r="K275" s="9">
        <f t="shared" si="25"/>
        <v>33642.012214621805</v>
      </c>
      <c r="L275" s="9">
        <f t="shared" si="25"/>
        <v>23902.048029006455</v>
      </c>
      <c r="M275" s="9">
        <f t="shared" si="25"/>
        <v>13581.537900158295</v>
      </c>
    </row>
    <row r="276" spans="2:13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2:13">
      <c r="B277" s="136" t="s">
        <v>131</v>
      </c>
      <c r="C277" s="9"/>
      <c r="D277" s="9">
        <f>D197*D225</f>
        <v>1349.0469000000003</v>
      </c>
      <c r="E277" s="9">
        <f t="shared" ref="E277:M277" si="26">E197*E225</f>
        <v>1956.1180049999994</v>
      </c>
      <c r="F277" s="9">
        <f t="shared" si="26"/>
        <v>2836.3711072499991</v>
      </c>
      <c r="G277" s="9">
        <f>G197*G225</f>
        <v>4112.7381055124997</v>
      </c>
      <c r="H277" s="9">
        <f t="shared" si="26"/>
        <v>5963.4702529931237</v>
      </c>
      <c r="I277" s="9">
        <f t="shared" si="26"/>
        <v>8647.0318668400287</v>
      </c>
      <c r="J277" s="9">
        <f t="shared" si="26"/>
        <v>12538.196206918041</v>
      </c>
      <c r="K277" s="9">
        <f t="shared" si="26"/>
        <v>18180.384500031163</v>
      </c>
      <c r="L277" s="9">
        <f t="shared" si="26"/>
        <v>26361.55752504518</v>
      </c>
      <c r="M277" s="9">
        <f t="shared" si="26"/>
        <v>38224.25841131551</v>
      </c>
    </row>
    <row r="278" spans="2:13">
      <c r="B278" s="136" t="s">
        <v>132</v>
      </c>
      <c r="C278" s="9"/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</row>
    <row r="279" spans="2:13">
      <c r="B279" s="136" t="s">
        <v>133</v>
      </c>
      <c r="C279" s="9"/>
      <c r="D279" s="9">
        <f>D275-D277-D278</f>
        <v>-1102.9268481057632</v>
      </c>
      <c r="E279" s="9">
        <f>E275-E277-E278</f>
        <v>-1507.0290407751136</v>
      </c>
      <c r="F279" s="9">
        <f t="shared" ref="F279" si="27">F275-F277-F278</f>
        <v>8090.4032592806016</v>
      </c>
      <c r="G279" s="9">
        <f t="shared" ref="G279" si="28">G275-G277-G278</f>
        <v>20289.295792321162</v>
      </c>
      <c r="H279" s="9">
        <f t="shared" ref="H279" si="29">H275-H277-H278</f>
        <v>27966.194512109359</v>
      </c>
      <c r="I279" s="9">
        <f t="shared" ref="I279" si="30">I275-I277-I278</f>
        <v>30402.667851613711</v>
      </c>
      <c r="J279" s="9">
        <f t="shared" ref="J279" si="31">J275-J277-J278</f>
        <v>26423.078754281156</v>
      </c>
      <c r="K279" s="9">
        <f t="shared" ref="K279" si="32">K275-K277-K278</f>
        <v>15461.627714590642</v>
      </c>
      <c r="L279" s="9">
        <f t="shared" ref="L279" si="33">L275-L277-L278</f>
        <v>-2459.509496038725</v>
      </c>
      <c r="M279" s="9">
        <f t="shared" ref="M279" si="34">M275-M277-M278</f>
        <v>-24642.720511157215</v>
      </c>
    </row>
    <row r="280" spans="2:13">
      <c r="B280" s="136" t="s">
        <v>134</v>
      </c>
      <c r="C280" s="9"/>
      <c r="D280" s="9">
        <v>238.38078303237202</v>
      </c>
      <c r="E280" s="9">
        <v>343.39757417317651</v>
      </c>
      <c r="F280" s="9">
        <v>6824.4950536724118</v>
      </c>
      <c r="G280" s="9">
        <v>13272.110915957643</v>
      </c>
      <c r="H280" s="9">
        <v>16372.533601828141</v>
      </c>
      <c r="I280" s="9">
        <v>16688.222211030585</v>
      </c>
      <c r="J280" s="9">
        <v>14746.249888750699</v>
      </c>
      <c r="K280" s="9">
        <v>11276.814765792218</v>
      </c>
      <c r="L280" s="9">
        <v>7095.7066218853715</v>
      </c>
      <c r="M280" s="9">
        <v>3570.8001117180911</v>
      </c>
    </row>
    <row r="281" spans="2:13">
      <c r="B281" s="136" t="s">
        <v>135</v>
      </c>
      <c r="C281" s="9">
        <f>SUM(D280:M280)</f>
        <v>90428.711527840715</v>
      </c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</row>
    <row r="282" spans="2:13">
      <c r="B282" s="136" t="s">
        <v>136</v>
      </c>
      <c r="C282" s="9">
        <f>M279/D243</f>
        <v>-182952.00646762844</v>
      </c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</row>
    <row r="283" spans="2:13">
      <c r="B283" s="136" t="s">
        <v>137</v>
      </c>
      <c r="C283" s="9">
        <f>C282/(1+D243*M267)</f>
        <v>-77953.090806207387</v>
      </c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</row>
    <row r="284" spans="2:13">
      <c r="C284" s="9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</row>
    <row r="285" spans="2:13">
      <c r="B285" s="136" t="s">
        <v>139</v>
      </c>
      <c r="C285" s="9">
        <f>C283+C281</f>
        <v>12475.620721633328</v>
      </c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</row>
    <row r="287" spans="2:13">
      <c r="D287" s="152">
        <v>1</v>
      </c>
      <c r="E287" s="152">
        <v>2</v>
      </c>
      <c r="F287" s="152">
        <v>3</v>
      </c>
      <c r="G287" s="152">
        <v>4</v>
      </c>
      <c r="H287" s="152">
        <v>5</v>
      </c>
      <c r="I287" s="152">
        <v>6</v>
      </c>
      <c r="J287" s="152">
        <v>7</v>
      </c>
      <c r="K287" s="152">
        <v>8</v>
      </c>
      <c r="L287" s="152">
        <v>9</v>
      </c>
      <c r="M287" s="152">
        <v>10</v>
      </c>
    </row>
    <row r="288" spans="2:13">
      <c r="B288" s="153" t="s">
        <v>111</v>
      </c>
      <c r="C288" s="154"/>
      <c r="D288" s="154">
        <v>2021</v>
      </c>
      <c r="E288" s="154">
        <v>2022</v>
      </c>
      <c r="F288" s="154">
        <v>2023</v>
      </c>
      <c r="G288" s="154">
        <v>2024</v>
      </c>
      <c r="H288" s="154">
        <v>2025</v>
      </c>
      <c r="I288" s="154">
        <v>2026</v>
      </c>
      <c r="J288" s="154">
        <v>2027</v>
      </c>
      <c r="K288" s="154">
        <v>2028</v>
      </c>
      <c r="L288" s="154">
        <v>2029</v>
      </c>
      <c r="M288" s="154">
        <v>2030</v>
      </c>
    </row>
    <row r="290" spans="2:13">
      <c r="B290" s="136" t="s">
        <v>7</v>
      </c>
      <c r="C290" s="9"/>
      <c r="D290" s="9">
        <f>D126</f>
        <v>351.61505228724536</v>
      </c>
      <c r="E290" s="9">
        <f>E126</f>
        <v>527.08687810375159</v>
      </c>
      <c r="F290" s="9">
        <f>F126</f>
        <v>781.52102553768509</v>
      </c>
      <c r="G290" s="9">
        <f>G126</f>
        <v>1150.4505393168893</v>
      </c>
      <c r="H290" s="9">
        <f>H126</f>
        <v>1685.3983342967349</v>
      </c>
      <c r="I290" s="9">
        <f>I126</f>
        <v>2461.0726370175107</v>
      </c>
      <c r="J290" s="9">
        <f>J126</f>
        <v>3585.8003759626372</v>
      </c>
      <c r="K290" s="9">
        <f>K126</f>
        <v>5216.6555974330695</v>
      </c>
      <c r="L290" s="9">
        <f>L126</f>
        <v>7581.3956685651938</v>
      </c>
      <c r="M290" s="9">
        <f>M126</f>
        <v>11010.268771706775</v>
      </c>
    </row>
    <row r="291" spans="2:13">
      <c r="B291" s="136" t="s">
        <v>127</v>
      </c>
      <c r="C291" s="9"/>
      <c r="D291" s="9">
        <f>D155*D218</f>
        <v>160.17980654101279</v>
      </c>
      <c r="E291" s="9">
        <f>E155*E218</f>
        <v>202.01496815145089</v>
      </c>
      <c r="F291" s="9">
        <f t="shared" ref="F291:M291" si="35">F155*F218</f>
        <v>439.77835070743004</v>
      </c>
      <c r="G291" s="9">
        <f t="shared" si="35"/>
        <v>655.96089611829609</v>
      </c>
      <c r="H291" s="9">
        <f t="shared" si="35"/>
        <v>940.75856223097605</v>
      </c>
      <c r="I291" s="9">
        <f t="shared" si="35"/>
        <v>1319.3467716957168</v>
      </c>
      <c r="J291" s="9">
        <f t="shared" si="35"/>
        <v>1801.6290799214109</v>
      </c>
      <c r="K291" s="9">
        <f t="shared" si="35"/>
        <v>2389.9648467095253</v>
      </c>
      <c r="L291" s="9">
        <f t="shared" si="35"/>
        <v>3067.2253452536143</v>
      </c>
      <c r="M291" s="9">
        <f t="shared" si="35"/>
        <v>3844.7125811963774</v>
      </c>
    </row>
    <row r="292" spans="2:13">
      <c r="B292" s="136" t="s">
        <v>128</v>
      </c>
      <c r="C292" s="9"/>
      <c r="D292" s="9">
        <v>191.43524574623257</v>
      </c>
      <c r="E292" s="9">
        <f>E290-E291</f>
        <v>325.0719099523007</v>
      </c>
      <c r="F292" s="9">
        <f t="shared" ref="F292:M292" si="36">F290-F291</f>
        <v>341.74267483025505</v>
      </c>
      <c r="G292" s="9">
        <f t="shared" si="36"/>
        <v>494.48964319859317</v>
      </c>
      <c r="H292" s="9">
        <f t="shared" si="36"/>
        <v>744.63977206575885</v>
      </c>
      <c r="I292" s="9">
        <f t="shared" si="36"/>
        <v>1141.7258653217939</v>
      </c>
      <c r="J292" s="9">
        <f t="shared" si="36"/>
        <v>1784.1712960412262</v>
      </c>
      <c r="K292" s="9">
        <f t="shared" si="36"/>
        <v>2826.6907507235442</v>
      </c>
      <c r="L292" s="9">
        <f t="shared" si="36"/>
        <v>4514.1703233115795</v>
      </c>
      <c r="M292" s="9">
        <f t="shared" si="36"/>
        <v>7165.5561905103968</v>
      </c>
    </row>
    <row r="294" spans="2:13">
      <c r="B294" s="136" t="s">
        <v>129</v>
      </c>
      <c r="C294" s="9"/>
      <c r="D294" s="9">
        <v>50.591108640959099</v>
      </c>
      <c r="E294" s="9">
        <v>60.852053953065948</v>
      </c>
      <c r="F294" s="9">
        <v>56.219063675884456</v>
      </c>
      <c r="G294" s="9">
        <v>73.300351958157222</v>
      </c>
      <c r="H294" s="9">
        <v>111.69596580986385</v>
      </c>
      <c r="I294" s="9">
        <v>171.25887979826916</v>
      </c>
      <c r="J294" s="9">
        <v>267.62569440618381</v>
      </c>
      <c r="K294" s="9">
        <v>424.00361260853145</v>
      </c>
      <c r="L294" s="9">
        <v>677.125548496737</v>
      </c>
      <c r="M294" s="9">
        <v>1074.8334285765593</v>
      </c>
    </row>
    <row r="295" spans="2:13">
      <c r="B295" s="136" t="s">
        <v>130</v>
      </c>
      <c r="C295" s="9"/>
      <c r="D295" s="9">
        <v>140.84413710527346</v>
      </c>
      <c r="E295" s="9">
        <v>264.21985599923477</v>
      </c>
      <c r="F295" s="9">
        <v>285.5236111543706</v>
      </c>
      <c r="G295" s="9">
        <v>421.18929124043598</v>
      </c>
      <c r="H295" s="9">
        <v>632.94380625589508</v>
      </c>
      <c r="I295" s="9">
        <v>970.46698552352518</v>
      </c>
      <c r="J295" s="9">
        <v>1516.5456016350424</v>
      </c>
      <c r="K295" s="9">
        <v>2402.6871381150127</v>
      </c>
      <c r="L295" s="9">
        <v>3837.0447748148426</v>
      </c>
      <c r="M295" s="9">
        <v>6090.7227619338373</v>
      </c>
    </row>
    <row r="296" spans="2:13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2:13">
      <c r="B297" s="136" t="s">
        <v>131</v>
      </c>
      <c r="C297" s="9"/>
      <c r="D297" s="9">
        <f>D205*D226</f>
        <v>674.52345000000014</v>
      </c>
      <c r="E297" s="9">
        <f t="shared" ref="E297:M297" si="37">E205*E226</f>
        <v>978.05900249999968</v>
      </c>
      <c r="F297" s="9">
        <f t="shared" si="37"/>
        <v>1418.1855536249996</v>
      </c>
      <c r="G297" s="9">
        <f t="shared" si="37"/>
        <v>2056.3690527562499</v>
      </c>
      <c r="H297" s="9">
        <f t="shared" si="37"/>
        <v>2981.7351264965619</v>
      </c>
      <c r="I297" s="9">
        <f t="shared" si="37"/>
        <v>4323.5159334200143</v>
      </c>
      <c r="J297" s="9">
        <f t="shared" si="37"/>
        <v>6269.0981034590204</v>
      </c>
      <c r="K297" s="9">
        <f t="shared" si="37"/>
        <v>9090.1922500155815</v>
      </c>
      <c r="L297" s="9">
        <f t="shared" si="37"/>
        <v>13180.77876252259</v>
      </c>
      <c r="M297" s="9">
        <f t="shared" si="37"/>
        <v>19112.129205657755</v>
      </c>
    </row>
    <row r="298" spans="2:13">
      <c r="B298" s="136" t="s">
        <v>132</v>
      </c>
      <c r="C298" s="9"/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2:13">
      <c r="B299" s="136" t="s">
        <v>133</v>
      </c>
      <c r="C299" s="9"/>
      <c r="D299" s="9">
        <f>D295-D297-D298</f>
        <v>-533.67931289472665</v>
      </c>
      <c r="E299" s="9">
        <f>E295-E297-E298</f>
        <v>-713.83914650076485</v>
      </c>
      <c r="F299" s="9">
        <f t="shared" ref="F299" si="38">F295-F297-F298</f>
        <v>-1132.6619424706289</v>
      </c>
      <c r="G299" s="9">
        <f t="shared" ref="G299" si="39">G295-G297-G298</f>
        <v>-1635.1797615158139</v>
      </c>
      <c r="H299" s="9">
        <f t="shared" ref="H299" si="40">H295-H297-H298</f>
        <v>-2348.7913202406667</v>
      </c>
      <c r="I299" s="9">
        <f t="shared" ref="I299" si="41">I295-I297-I298</f>
        <v>-3353.0489478964892</v>
      </c>
      <c r="J299" s="9">
        <f t="shared" ref="J299" si="42">J295-J297-J298</f>
        <v>-4752.5525018239778</v>
      </c>
      <c r="K299" s="9">
        <f t="shared" ref="K299" si="43">K295-K297-K298</f>
        <v>-6687.5051119005693</v>
      </c>
      <c r="L299" s="9">
        <f t="shared" ref="L299" si="44">L295-L297-L298</f>
        <v>-9343.7339877077466</v>
      </c>
      <c r="M299" s="9">
        <f t="shared" ref="M299" si="45">M295-M297-M298</f>
        <v>-13021.406443723918</v>
      </c>
    </row>
    <row r="300" spans="2:13">
      <c r="B300" s="136" t="s">
        <v>134</v>
      </c>
      <c r="C300" s="9"/>
      <c r="D300" s="9">
        <v>-418.59349564762488</v>
      </c>
      <c r="E300" s="9">
        <v>-495.87078461153214</v>
      </c>
      <c r="F300" s="9">
        <v>-696.82628268519363</v>
      </c>
      <c r="G300" s="9">
        <v>-890.93448920051821</v>
      </c>
      <c r="H300" s="9">
        <v>-1133.3935976247903</v>
      </c>
      <c r="I300" s="9">
        <v>-1432.9540644461229</v>
      </c>
      <c r="J300" s="9">
        <v>-1798.7688254836983</v>
      </c>
      <c r="K300" s="9">
        <v>-2241.6541528813264</v>
      </c>
      <c r="L300" s="9">
        <v>-2773.837415490676</v>
      </c>
      <c r="M300" s="9">
        <v>-13021.406443723918</v>
      </c>
    </row>
    <row r="301" spans="2:13">
      <c r="B301" s="136" t="s">
        <v>135</v>
      </c>
      <c r="C301" s="9">
        <f>SUM(D300:M300)</f>
        <v>-24904.239551795399</v>
      </c>
    </row>
    <row r="302" spans="2:13">
      <c r="B302" s="136" t="s">
        <v>136</v>
      </c>
      <c r="C302" s="9">
        <f>M299/D244</f>
        <v>-84156.21146471519</v>
      </c>
    </row>
    <row r="303" spans="2:13">
      <c r="B303" s="136" t="s">
        <v>137</v>
      </c>
      <c r="C303" s="9">
        <f>C302/(1+D244*M287)</f>
        <v>-33037.546358959982</v>
      </c>
    </row>
    <row r="304" spans="2:13">
      <c r="C304" s="9"/>
    </row>
    <row r="305" spans="2:13">
      <c r="B305" s="136" t="s">
        <v>140</v>
      </c>
      <c r="C305" s="9">
        <f>C301+C303</f>
        <v>-57941.785910755381</v>
      </c>
    </row>
    <row r="307" spans="2:13">
      <c r="D307" s="152">
        <v>1</v>
      </c>
      <c r="E307" s="152">
        <v>2</v>
      </c>
      <c r="F307" s="152">
        <v>3</v>
      </c>
      <c r="G307" s="152">
        <v>4</v>
      </c>
      <c r="H307" s="152">
        <v>5</v>
      </c>
      <c r="I307" s="152">
        <v>6</v>
      </c>
      <c r="J307" s="152">
        <v>7</v>
      </c>
      <c r="K307" s="152">
        <v>8</v>
      </c>
      <c r="L307" s="152">
        <v>9</v>
      </c>
      <c r="M307" s="152">
        <v>10</v>
      </c>
    </row>
    <row r="308" spans="2:13">
      <c r="B308" s="153" t="s">
        <v>141</v>
      </c>
      <c r="C308" s="154"/>
      <c r="D308" s="154">
        <v>2021</v>
      </c>
      <c r="E308" s="154">
        <v>2022</v>
      </c>
      <c r="F308" s="154">
        <v>2023</v>
      </c>
      <c r="G308" s="154">
        <v>2024</v>
      </c>
      <c r="H308" s="154">
        <v>2025</v>
      </c>
      <c r="I308" s="154">
        <v>2026</v>
      </c>
      <c r="J308" s="154">
        <v>2027</v>
      </c>
      <c r="K308" s="154">
        <v>2028</v>
      </c>
      <c r="L308" s="154">
        <v>2029</v>
      </c>
      <c r="M308" s="154">
        <v>2030</v>
      </c>
    </row>
    <row r="310" spans="2:13">
      <c r="B310" s="136" t="s">
        <v>7</v>
      </c>
      <c r="C310" s="9"/>
      <c r="D310" s="9">
        <f>D131</f>
        <v>0</v>
      </c>
      <c r="E310" s="9">
        <f>E131</f>
        <v>731.25</v>
      </c>
      <c r="F310" s="9">
        <f t="shared" ref="E310:M310" si="46">F131</f>
        <v>1119.6077063549828</v>
      </c>
      <c r="G310" s="9">
        <f t="shared" si="46"/>
        <v>1741.4494765253255</v>
      </c>
      <c r="H310" s="9">
        <f t="shared" si="46"/>
        <v>2753.3038629373159</v>
      </c>
      <c r="I310" s="9">
        <f t="shared" si="46"/>
        <v>4427.4973497176397</v>
      </c>
      <c r="J310" s="9">
        <f t="shared" si="46"/>
        <v>7245.9566226251836</v>
      </c>
      <c r="K310" s="9">
        <f t="shared" si="46"/>
        <v>12076.715468956241</v>
      </c>
      <c r="L310" s="9">
        <f t="shared" si="46"/>
        <v>20512.117879340298</v>
      </c>
      <c r="M310" s="9">
        <f t="shared" si="46"/>
        <v>35529.120321368391</v>
      </c>
    </row>
    <row r="311" spans="2:13">
      <c r="B311" s="136" t="s">
        <v>127</v>
      </c>
      <c r="C311" s="9"/>
      <c r="D311" s="9">
        <f>D155*D219</f>
        <v>0</v>
      </c>
      <c r="E311" s="9">
        <f t="shared" ref="E311:M311" si="47">E155*E219</f>
        <v>280.26394053329216</v>
      </c>
      <c r="F311" s="9">
        <f t="shared" si="47"/>
        <v>630.02685078289085</v>
      </c>
      <c r="G311" s="9">
        <f t="shared" si="47"/>
        <v>992.93513291286263</v>
      </c>
      <c r="H311" s="9">
        <f t="shared" si="47"/>
        <v>1536.8439203796354</v>
      </c>
      <c r="I311" s="9">
        <f t="shared" si="47"/>
        <v>2373.5196788504004</v>
      </c>
      <c r="J311" s="9">
        <f t="shared" si="47"/>
        <v>3640.617099234385</v>
      </c>
      <c r="K311" s="9">
        <f t="shared" si="47"/>
        <v>5532.8408968997246</v>
      </c>
      <c r="L311" s="9">
        <f t="shared" si="47"/>
        <v>8298.6419117008463</v>
      </c>
      <c r="M311" s="9">
        <f t="shared" si="47"/>
        <v>12406.532368167591</v>
      </c>
    </row>
    <row r="312" spans="2:13">
      <c r="B312" s="136" t="s">
        <v>128</v>
      </c>
      <c r="C312" s="9"/>
      <c r="D312" s="9">
        <f>D310-D311</f>
        <v>0</v>
      </c>
      <c r="E312" s="9">
        <f t="shared" ref="E312:M312" si="48">E310-E311</f>
        <v>450.98605946670784</v>
      </c>
      <c r="F312" s="9">
        <f t="shared" si="48"/>
        <v>489.58085557209199</v>
      </c>
      <c r="G312" s="9">
        <f t="shared" si="48"/>
        <v>748.51434361246288</v>
      </c>
      <c r="H312" s="9">
        <f t="shared" si="48"/>
        <v>1216.4599425576805</v>
      </c>
      <c r="I312" s="9">
        <f t="shared" si="48"/>
        <v>2053.9776708672393</v>
      </c>
      <c r="J312" s="9">
        <f t="shared" si="48"/>
        <v>3605.3395233907986</v>
      </c>
      <c r="K312" s="9">
        <f t="shared" si="48"/>
        <v>6543.8745720565166</v>
      </c>
      <c r="L312" s="9">
        <f t="shared" si="48"/>
        <v>12213.475967639451</v>
      </c>
      <c r="M312" s="9">
        <f>M310-M311</f>
        <v>23122.5879532008</v>
      </c>
    </row>
    <row r="313" spans="2:13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2:13">
      <c r="B314" s="136" t="s">
        <v>129</v>
      </c>
      <c r="C314" s="9"/>
      <c r="D314" s="9">
        <f>(D158-D179)*D219</f>
        <v>0</v>
      </c>
      <c r="E314" s="9">
        <f t="shared" ref="E314:M314" si="49">(E158-E179)*E219</f>
        <v>84.422637522804138</v>
      </c>
      <c r="F314" s="9">
        <f t="shared" si="49"/>
        <v>80.539479910059811</v>
      </c>
      <c r="G314" s="9">
        <f t="shared" si="49"/>
        <v>110.9555388817062</v>
      </c>
      <c r="H314" s="9">
        <f t="shared" si="49"/>
        <v>182.46899138365208</v>
      </c>
      <c r="I314" s="9">
        <f>(I158-I179)*I219</f>
        <v>308.09665063008612</v>
      </c>
      <c r="J314" s="9">
        <f t="shared" si="49"/>
        <v>540.80092850861956</v>
      </c>
      <c r="K314" s="9">
        <f t="shared" si="49"/>
        <v>981.58118580847702</v>
      </c>
      <c r="L314" s="9">
        <f t="shared" si="49"/>
        <v>1832.0213951459177</v>
      </c>
      <c r="M314" s="9">
        <f t="shared" si="49"/>
        <v>3468.3881929801187</v>
      </c>
    </row>
    <row r="315" spans="2:13">
      <c r="B315" s="136" t="s">
        <v>130</v>
      </c>
      <c r="C315" s="9"/>
      <c r="D315" s="9">
        <f>D179*D219</f>
        <v>0</v>
      </c>
      <c r="E315" s="9">
        <f t="shared" ref="E315:M315" si="50">E179*E219</f>
        <v>366.56342194390368</v>
      </c>
      <c r="F315" s="9">
        <f t="shared" si="50"/>
        <v>409.04137566203212</v>
      </c>
      <c r="G315" s="9">
        <f t="shared" si="50"/>
        <v>637.55880473075649</v>
      </c>
      <c r="H315" s="9">
        <f t="shared" si="50"/>
        <v>1033.9909511740289</v>
      </c>
      <c r="I315" s="9">
        <f t="shared" si="50"/>
        <v>1745.8810202371542</v>
      </c>
      <c r="J315" s="9">
        <f t="shared" si="50"/>
        <v>3064.5385948821781</v>
      </c>
      <c r="K315" s="9">
        <f t="shared" si="50"/>
        <v>5562.2933862480386</v>
      </c>
      <c r="L315" s="9">
        <f t="shared" si="50"/>
        <v>10381.454572493532</v>
      </c>
      <c r="M315" s="9">
        <f>M179*M219</f>
        <v>19654.199760220676</v>
      </c>
    </row>
    <row r="316" spans="2:13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2:13">
      <c r="B317" s="136" t="s">
        <v>131</v>
      </c>
      <c r="C317" s="9"/>
      <c r="D317" s="9">
        <f>D197*D227</f>
        <v>0</v>
      </c>
      <c r="E317" s="9">
        <f t="shared" ref="E317:M317" si="51">E197*E227</f>
        <v>0</v>
      </c>
      <c r="F317" s="9">
        <f>F197*F227</f>
        <v>0</v>
      </c>
      <c r="G317" s="9">
        <f t="shared" si="51"/>
        <v>0</v>
      </c>
      <c r="H317" s="9">
        <f t="shared" si="51"/>
        <v>0</v>
      </c>
      <c r="I317" s="9">
        <f t="shared" si="51"/>
        <v>0</v>
      </c>
      <c r="J317" s="9">
        <f t="shared" si="51"/>
        <v>0</v>
      </c>
      <c r="K317" s="9">
        <f t="shared" si="51"/>
        <v>0</v>
      </c>
      <c r="L317" s="9">
        <f t="shared" si="51"/>
        <v>0</v>
      </c>
      <c r="M317" s="9">
        <f t="shared" si="51"/>
        <v>0</v>
      </c>
    </row>
    <row r="318" spans="2:13">
      <c r="B318" s="136" t="s">
        <v>132</v>
      </c>
      <c r="C318" s="9"/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2:13">
      <c r="B319" s="136" t="s">
        <v>133</v>
      </c>
      <c r="C319" s="9"/>
      <c r="D319" s="9">
        <v>0</v>
      </c>
      <c r="E319" s="9">
        <f>E315-E317-E318</f>
        <v>366.56342194390368</v>
      </c>
      <c r="F319" s="9">
        <f>F315-F317-F318</f>
        <v>409.04137566203212</v>
      </c>
      <c r="G319" s="9">
        <f t="shared" ref="F319:M319" si="52">G315-G317-G318</f>
        <v>637.55880473075649</v>
      </c>
      <c r="H319" s="9">
        <f t="shared" si="52"/>
        <v>1033.9909511740289</v>
      </c>
      <c r="I319" s="9">
        <f t="shared" si="52"/>
        <v>1745.8810202371542</v>
      </c>
      <c r="J319" s="9">
        <f t="shared" si="52"/>
        <v>3064.5385948821781</v>
      </c>
      <c r="K319" s="9">
        <f t="shared" si="52"/>
        <v>5562.2933862480386</v>
      </c>
      <c r="L319" s="9">
        <f t="shared" si="52"/>
        <v>10381.454572493532</v>
      </c>
      <c r="M319" s="9">
        <f t="shared" si="52"/>
        <v>19654.199760220676</v>
      </c>
    </row>
    <row r="320" spans="2:13">
      <c r="B320" s="136" t="s">
        <v>134</v>
      </c>
      <c r="C320" s="9"/>
      <c r="D320" s="9">
        <v>0</v>
      </c>
      <c r="E320" s="9">
        <v>235.33979127433039</v>
      </c>
      <c r="F320" s="9">
        <v>226.54903890845551</v>
      </c>
      <c r="G320" s="9">
        <v>304.6239024896048</v>
      </c>
      <c r="H320" s="9">
        <v>426.19584731003488</v>
      </c>
      <c r="I320" s="9">
        <v>620.80594237819298</v>
      </c>
      <c r="J320" s="9">
        <v>940.05889431301421</v>
      </c>
      <c r="K320" s="9">
        <v>1471.9484676075383</v>
      </c>
      <c r="L320" s="9">
        <v>2369.9853824538723</v>
      </c>
      <c r="M320" s="9">
        <v>3870.7183489510412</v>
      </c>
    </row>
    <row r="321" spans="2:13">
      <c r="B321" s="136" t="s">
        <v>135</v>
      </c>
      <c r="C321" s="9">
        <f>SUM(D320:M320)</f>
        <v>10466.225615686084</v>
      </c>
    </row>
    <row r="322" spans="2:13">
      <c r="B322" s="136" t="s">
        <v>136</v>
      </c>
      <c r="C322" s="9">
        <v>65217.925333384846</v>
      </c>
    </row>
    <row r="323" spans="2:13">
      <c r="B323" s="136" t="s">
        <v>137</v>
      </c>
      <c r="C323" s="9">
        <v>14888.619762747265</v>
      </c>
    </row>
    <row r="324" spans="2:13">
      <c r="C324" s="9"/>
    </row>
    <row r="325" spans="2:13">
      <c r="B325" s="136" t="s">
        <v>142</v>
      </c>
      <c r="C325" s="9">
        <v>25354.845378433347</v>
      </c>
    </row>
    <row r="327" spans="2:13">
      <c r="D327" s="152">
        <v>1</v>
      </c>
      <c r="E327" s="152">
        <v>2</v>
      </c>
      <c r="F327" s="152">
        <v>3</v>
      </c>
      <c r="G327" s="152">
        <v>4</v>
      </c>
      <c r="H327" s="152">
        <v>5</v>
      </c>
      <c r="I327" s="152">
        <v>6</v>
      </c>
      <c r="J327" s="152">
        <v>7</v>
      </c>
      <c r="K327" s="152">
        <v>8</v>
      </c>
      <c r="L327" s="152">
        <v>9</v>
      </c>
      <c r="M327" s="152">
        <v>10</v>
      </c>
    </row>
    <row r="328" spans="2:13">
      <c r="B328" s="153" t="s">
        <v>149</v>
      </c>
      <c r="C328" s="154"/>
      <c r="D328" s="154">
        <v>2021</v>
      </c>
      <c r="E328" s="154">
        <v>2022</v>
      </c>
      <c r="F328" s="154">
        <v>2023</v>
      </c>
      <c r="G328" s="154">
        <v>2024</v>
      </c>
      <c r="H328" s="154">
        <v>2025</v>
      </c>
      <c r="I328" s="154">
        <v>2026</v>
      </c>
      <c r="J328" s="154">
        <v>2027</v>
      </c>
      <c r="K328" s="154">
        <v>2028</v>
      </c>
      <c r="L328" s="154">
        <v>2029</v>
      </c>
      <c r="M328" s="154">
        <v>2030</v>
      </c>
    </row>
    <row r="330" spans="2:13">
      <c r="B330" s="136" t="s">
        <v>7</v>
      </c>
      <c r="C330" s="10"/>
      <c r="D330" s="4">
        <f>D136</f>
        <v>0</v>
      </c>
      <c r="E330" s="4">
        <f>E136</f>
        <v>10000</v>
      </c>
      <c r="F330" s="4">
        <f>F136</f>
        <v>5310.8746168202779</v>
      </c>
      <c r="G330" s="4">
        <f>G136</f>
        <v>8503.8190792525511</v>
      </c>
      <c r="H330" s="4">
        <f>H136</f>
        <v>13837.324942386194</v>
      </c>
      <c r="I330" s="4">
        <f>I136</f>
        <v>22894.953665371948</v>
      </c>
      <c r="J330" s="4">
        <f>J136</f>
        <v>38543.03279189804</v>
      </c>
      <c r="K330" s="4">
        <f>K136</f>
        <v>66061.659437005903</v>
      </c>
      <c r="L330" s="4">
        <f>L136</f>
        <v>115355.93039841446</v>
      </c>
      <c r="M330" s="4">
        <f>M136</f>
        <v>205359.71715593972</v>
      </c>
    </row>
    <row r="331" spans="2:13">
      <c r="B331" s="136" t="s">
        <v>127</v>
      </c>
      <c r="C331" s="10"/>
      <c r="D331" s="4">
        <f>D158*D220</f>
        <v>0</v>
      </c>
      <c r="E331" s="4">
        <f>E155*E220</f>
        <v>3832.6692722501489</v>
      </c>
      <c r="F331" s="4">
        <f>F155*F220</f>
        <v>2988.5410673273727</v>
      </c>
      <c r="G331" s="4">
        <f>G155*G220</f>
        <v>4848.6854436754447</v>
      </c>
      <c r="H331" s="4">
        <f>H155*H220</f>
        <v>7723.7420098400044</v>
      </c>
      <c r="I331" s="4">
        <f>I155*I220</f>
        <v>12273.665861052184</v>
      </c>
      <c r="J331" s="4">
        <f>J155*J220</f>
        <v>19365.341465113277</v>
      </c>
      <c r="K331" s="4">
        <f>K155*K220</f>
        <v>30265.567818475552</v>
      </c>
      <c r="L331" s="4">
        <f>L155*L220</f>
        <v>46669.85459028164</v>
      </c>
      <c r="M331" s="4">
        <f>M155*M220</f>
        <v>71710.246551772216</v>
      </c>
    </row>
    <row r="332" spans="2:13">
      <c r="B332" s="136" t="s">
        <v>128</v>
      </c>
      <c r="C332" s="10"/>
      <c r="D332" s="4">
        <f>D330-D331</f>
        <v>0</v>
      </c>
      <c r="E332" s="4">
        <f t="shared" ref="E332:M332" si="53">E330-E331</f>
        <v>6167.3307277498516</v>
      </c>
      <c r="F332" s="4">
        <f t="shared" si="53"/>
        <v>2322.3335494929051</v>
      </c>
      <c r="G332" s="4">
        <f t="shared" si="53"/>
        <v>3655.1336355771064</v>
      </c>
      <c r="H332" s="4">
        <f t="shared" si="53"/>
        <v>6113.58293254619</v>
      </c>
      <c r="I332" s="4">
        <f t="shared" si="53"/>
        <v>10621.287804319763</v>
      </c>
      <c r="J332" s="4">
        <f t="shared" si="53"/>
        <v>19177.691326784763</v>
      </c>
      <c r="K332" s="4">
        <f t="shared" si="53"/>
        <v>35796.09161853035</v>
      </c>
      <c r="L332" s="4">
        <f t="shared" si="53"/>
        <v>68686.075808132824</v>
      </c>
      <c r="M332" s="4">
        <f t="shared" si="53"/>
        <v>133649.47060416749</v>
      </c>
    </row>
    <row r="333" spans="2:13">
      <c r="C333" s="10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2:13">
      <c r="B334" s="136" t="s">
        <v>129</v>
      </c>
      <c r="C334" s="10"/>
      <c r="D334" s="4">
        <v>0</v>
      </c>
      <c r="E334" s="4">
        <f>(E158-E179)</f>
        <v>2824.5313280626415</v>
      </c>
      <c r="F334" s="4">
        <v>382.04013519948535</v>
      </c>
      <c r="G334" s="4">
        <v>541.81636688859737</v>
      </c>
      <c r="H334" s="4">
        <v>917.03743988192844</v>
      </c>
      <c r="I334" s="4">
        <v>1593.1931706479652</v>
      </c>
      <c r="J334" s="4">
        <v>2876.6536990177133</v>
      </c>
      <c r="K334" s="4">
        <v>5369.4137427795504</v>
      </c>
      <c r="L334" s="4">
        <v>10302.911371219923</v>
      </c>
      <c r="M334" s="4">
        <v>20047.420590625123</v>
      </c>
    </row>
    <row r="335" spans="2:13">
      <c r="B335" s="136" t="s">
        <v>130</v>
      </c>
      <c r="C335" s="10"/>
      <c r="D335" s="4">
        <v>0</v>
      </c>
      <c r="E335" s="4">
        <v>5012.8331206003932</v>
      </c>
      <c r="F335" s="4">
        <v>1940.2934142934198</v>
      </c>
      <c r="G335" s="4">
        <v>3113.3172686885091</v>
      </c>
      <c r="H335" s="4">
        <v>5196.5454926642624</v>
      </c>
      <c r="I335" s="4">
        <v>9028.0946336718007</v>
      </c>
      <c r="J335" s="4">
        <v>16301.037627767049</v>
      </c>
      <c r="K335" s="4">
        <v>30426.6778757508</v>
      </c>
      <c r="L335" s="4">
        <v>58383.164436912899</v>
      </c>
      <c r="M335" s="4">
        <v>113602.05001354238</v>
      </c>
    </row>
    <row r="336" spans="2:13">
      <c r="C336" s="10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2:13">
      <c r="B337" s="136" t="s">
        <v>131</v>
      </c>
      <c r="C337" s="10"/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</row>
    <row r="338" spans="2:13">
      <c r="B338" s="136" t="s">
        <v>132</v>
      </c>
      <c r="C338" s="10"/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</row>
    <row r="339" spans="2:13">
      <c r="B339" s="136" t="s">
        <v>133</v>
      </c>
      <c r="C339" s="10"/>
      <c r="D339" s="9">
        <f>D335-D337-D338</f>
        <v>0</v>
      </c>
      <c r="E339" s="9">
        <f>E335-E337-E338</f>
        <v>5012.8331206003932</v>
      </c>
      <c r="F339" s="9">
        <f t="shared" ref="F339" si="54">F335-F337-F338</f>
        <v>1940.2934142934198</v>
      </c>
      <c r="G339" s="9">
        <f t="shared" ref="G339" si="55">G335-G337-G338</f>
        <v>3113.3172686885091</v>
      </c>
      <c r="H339" s="9">
        <f t="shared" ref="H339" si="56">H335-H337-H338</f>
        <v>5196.5454926642624</v>
      </c>
      <c r="I339" s="9">
        <f t="shared" ref="I339" si="57">I335-I337-I338</f>
        <v>9028.0946336718007</v>
      </c>
      <c r="J339" s="9">
        <f t="shared" ref="J339" si="58">J335-J337-J338</f>
        <v>16301.037627767049</v>
      </c>
      <c r="K339" s="9">
        <f t="shared" ref="K339" si="59">K335-K337-K338</f>
        <v>30426.6778757508</v>
      </c>
      <c r="L339" s="9">
        <f t="shared" ref="L339:M339" si="60">L335-L337-L338</f>
        <v>58383.164436912899</v>
      </c>
      <c r="M339" s="9">
        <f t="shared" si="60"/>
        <v>113602.05001354238</v>
      </c>
    </row>
    <row r="340" spans="2:13">
      <c r="B340" s="136" t="s">
        <v>134</v>
      </c>
      <c r="C340" s="10"/>
      <c r="D340" s="4">
        <v>0</v>
      </c>
      <c r="E340" s="4">
        <v>3482.1815318251515</v>
      </c>
      <c r="F340" s="4">
        <v>1193.6901881345821</v>
      </c>
      <c r="G340" s="4">
        <v>1696.3038534227385</v>
      </c>
      <c r="H340" s="4">
        <v>2507.5583941395657</v>
      </c>
      <c r="I340" s="4">
        <v>3858.2332380325297</v>
      </c>
      <c r="J340" s="4">
        <v>6169.6947685713558</v>
      </c>
      <c r="K340" s="4">
        <v>10199.033522559084</v>
      </c>
      <c r="L340" s="4">
        <v>17331.979502295624</v>
      </c>
      <c r="M340" s="4">
        <v>29867.767248584831</v>
      </c>
    </row>
    <row r="341" spans="2:13">
      <c r="B341" s="136" t="s">
        <v>135</v>
      </c>
      <c r="C341" s="9">
        <f>SUM(D340:M340)</f>
        <v>76306.442247565457</v>
      </c>
    </row>
    <row r="342" spans="2:13">
      <c r="B342" s="136" t="s">
        <v>136</v>
      </c>
      <c r="C342" s="4">
        <v>366772.19289307698</v>
      </c>
    </row>
    <row r="343" spans="2:13">
      <c r="B343" s="136" t="s">
        <v>137</v>
      </c>
      <c r="C343" s="4">
        <v>83730.534076628886</v>
      </c>
    </row>
    <row r="344" spans="2:13">
      <c r="C344" s="4"/>
    </row>
    <row r="345" spans="2:13">
      <c r="B345" s="136" t="s">
        <v>143</v>
      </c>
      <c r="C345" s="4">
        <v>160036.97632419434</v>
      </c>
    </row>
    <row r="346" spans="2:13">
      <c r="C346" s="4"/>
    </row>
    <row r="347" spans="2:13">
      <c r="B347" s="136" t="s">
        <v>144</v>
      </c>
      <c r="C347" s="4">
        <f>C345+C325+C305+C265</f>
        <v>457704.20728198753</v>
      </c>
    </row>
    <row r="348" spans="2:13">
      <c r="C348" s="4"/>
    </row>
    <row r="349" spans="2:13">
      <c r="C3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W118"/>
  <sheetViews>
    <sheetView zoomScale="70" zoomScaleNormal="70" workbookViewId="0">
      <selection activeCell="B84" sqref="B84"/>
    </sheetView>
  </sheetViews>
  <sheetFormatPr baseColWidth="10" defaultRowHeight="18" outlineLevelRow="1"/>
  <cols>
    <col min="1" max="1" width="11.42578125" style="140"/>
    <col min="2" max="2" width="58" style="140" bestFit="1" customWidth="1"/>
    <col min="3" max="3" width="12.85546875" style="140" customWidth="1"/>
    <col min="4" max="9" width="13.7109375" style="140" bestFit="1" customWidth="1"/>
    <col min="10" max="23" width="15.28515625" style="140" bestFit="1" customWidth="1"/>
    <col min="24" max="16384" width="11.42578125" style="140"/>
  </cols>
  <sheetData>
    <row r="2" spans="2:14">
      <c r="B2" s="139" t="s">
        <v>180</v>
      </c>
    </row>
    <row r="4" spans="2:14">
      <c r="B4" s="139" t="s">
        <v>181</v>
      </c>
    </row>
    <row r="5" spans="2:14">
      <c r="B5" s="139" t="s">
        <v>182</v>
      </c>
    </row>
    <row r="9" spans="2:14">
      <c r="B9" s="158" t="s">
        <v>0</v>
      </c>
      <c r="C9" s="159"/>
      <c r="D9" s="160">
        <v>2021</v>
      </c>
      <c r="E9" s="160">
        <v>2022</v>
      </c>
      <c r="F9" s="160">
        <v>2023</v>
      </c>
      <c r="G9" s="160">
        <v>2024</v>
      </c>
      <c r="H9" s="160">
        <v>2025</v>
      </c>
      <c r="I9" s="160">
        <v>2026</v>
      </c>
      <c r="J9" s="160">
        <v>2027</v>
      </c>
      <c r="K9" s="160">
        <v>2028</v>
      </c>
      <c r="L9" s="160">
        <v>2029</v>
      </c>
      <c r="M9" s="160">
        <v>2030</v>
      </c>
    </row>
    <row r="10" spans="2:14">
      <c r="D10" s="161"/>
      <c r="E10" s="161"/>
      <c r="F10" s="161"/>
      <c r="G10" s="161"/>
      <c r="H10" s="161"/>
      <c r="I10" s="161"/>
      <c r="J10" s="161"/>
      <c r="K10" s="161"/>
      <c r="L10" s="161"/>
      <c r="M10" s="161"/>
    </row>
    <row r="11" spans="2:14" outlineLevel="1">
      <c r="B11" s="140" t="s">
        <v>29</v>
      </c>
      <c r="D11" s="162">
        <v>778006</v>
      </c>
      <c r="E11" s="162">
        <v>1072780</v>
      </c>
      <c r="F11" s="162">
        <v>1349069</v>
      </c>
      <c r="G11" s="162">
        <v>1628600</v>
      </c>
      <c r="H11" s="162">
        <v>1955877</v>
      </c>
      <c r="I11" s="162">
        <v>2396851</v>
      </c>
      <c r="J11" s="162">
        <v>2852017</v>
      </c>
      <c r="K11" s="162">
        <v>3109900</v>
      </c>
      <c r="L11" s="162">
        <v>3448831</v>
      </c>
      <c r="M11" s="162">
        <v>3801492</v>
      </c>
    </row>
    <row r="12" spans="2:14" outlineLevel="1">
      <c r="B12" s="140" t="s">
        <v>30</v>
      </c>
      <c r="D12" s="162">
        <v>51536</v>
      </c>
      <c r="E12" s="162">
        <v>52217</v>
      </c>
      <c r="F12" s="162">
        <v>53088</v>
      </c>
      <c r="G12" s="162">
        <v>54058</v>
      </c>
      <c r="H12" s="162">
        <v>53861</v>
      </c>
      <c r="I12" s="162">
        <v>53318</v>
      </c>
      <c r="J12" s="162">
        <v>52633</v>
      </c>
      <c r="K12" s="162">
        <v>52248</v>
      </c>
      <c r="L12" s="162">
        <v>52124</v>
      </c>
      <c r="M12" s="162">
        <v>52332</v>
      </c>
    </row>
    <row r="13" spans="2:14" outlineLevel="1">
      <c r="B13" s="140" t="s">
        <v>31</v>
      </c>
      <c r="D13" s="162">
        <v>41651</v>
      </c>
      <c r="E13" s="162">
        <v>57626</v>
      </c>
      <c r="F13" s="162">
        <v>73239</v>
      </c>
      <c r="G13" s="162">
        <v>89667</v>
      </c>
      <c r="H13" s="162">
        <v>106910</v>
      </c>
      <c r="I13" s="162">
        <v>128994</v>
      </c>
      <c r="J13" s="162">
        <v>150967</v>
      </c>
      <c r="K13" s="162">
        <v>163418</v>
      </c>
      <c r="L13" s="162">
        <v>180458</v>
      </c>
      <c r="M13" s="162">
        <v>199699</v>
      </c>
    </row>
    <row r="14" spans="2:14" outlineLevel="1">
      <c r="B14" s="140" t="s">
        <v>32</v>
      </c>
      <c r="D14" s="162">
        <v>11079</v>
      </c>
      <c r="E14" s="162">
        <v>15189</v>
      </c>
      <c r="F14" s="162">
        <v>19325</v>
      </c>
      <c r="G14" s="162">
        <v>23476</v>
      </c>
      <c r="H14" s="162">
        <v>27993</v>
      </c>
      <c r="I14" s="162">
        <v>32602</v>
      </c>
      <c r="J14" s="162">
        <v>36752</v>
      </c>
      <c r="K14" s="162">
        <v>39485</v>
      </c>
      <c r="L14" s="162">
        <v>42400</v>
      </c>
      <c r="M14" s="162">
        <v>45710</v>
      </c>
    </row>
    <row r="15" spans="2:14" outlineLevel="1">
      <c r="B15" s="140" t="s">
        <v>33</v>
      </c>
      <c r="D15" s="162">
        <v>2154</v>
      </c>
      <c r="E15" s="162">
        <v>4445</v>
      </c>
      <c r="F15" s="162">
        <v>5925</v>
      </c>
      <c r="G15" s="162">
        <v>7430</v>
      </c>
      <c r="H15" s="162">
        <v>9061</v>
      </c>
      <c r="I15" s="162">
        <v>10950</v>
      </c>
      <c r="J15" s="162">
        <v>12500</v>
      </c>
      <c r="K15" s="162">
        <v>13779</v>
      </c>
      <c r="L15" s="162">
        <v>14853</v>
      </c>
      <c r="M15" s="162">
        <v>15686</v>
      </c>
      <c r="N15" s="162"/>
    </row>
    <row r="16" spans="2:14" outlineLevel="1">
      <c r="B16" s="140" t="s">
        <v>34</v>
      </c>
      <c r="D16" s="162">
        <v>4445</v>
      </c>
      <c r="E16" s="162">
        <v>5925</v>
      </c>
      <c r="F16" s="162">
        <v>7430</v>
      </c>
      <c r="G16" s="162">
        <v>9061</v>
      </c>
      <c r="H16" s="162">
        <v>10950</v>
      </c>
      <c r="I16" s="162">
        <v>12500</v>
      </c>
      <c r="J16" s="162">
        <v>13779</v>
      </c>
      <c r="K16" s="162">
        <v>14853</v>
      </c>
      <c r="L16" s="162">
        <v>15686</v>
      </c>
      <c r="M16" s="162">
        <v>16711</v>
      </c>
      <c r="N16" s="162"/>
    </row>
    <row r="17" spans="2:14" ht="18.75" outlineLevel="1">
      <c r="B17" s="163" t="s">
        <v>17</v>
      </c>
      <c r="D17" s="162">
        <v>4308</v>
      </c>
      <c r="E17" s="162">
        <v>5350</v>
      </c>
      <c r="F17" s="162">
        <v>6392</v>
      </c>
      <c r="G17" s="162">
        <v>7671</v>
      </c>
      <c r="H17" s="162">
        <v>9117</v>
      </c>
      <c r="I17" s="162">
        <v>10745</v>
      </c>
      <c r="J17" s="162">
        <v>12125</v>
      </c>
      <c r="K17" s="162">
        <v>12943</v>
      </c>
      <c r="L17" s="162">
        <v>13994</v>
      </c>
      <c r="M17" s="162">
        <v>15356</v>
      </c>
      <c r="N17" s="162"/>
    </row>
    <row r="18" spans="2:14">
      <c r="B18" s="209" t="s">
        <v>9</v>
      </c>
      <c r="C18" s="209"/>
      <c r="D18" s="210">
        <v>2088</v>
      </c>
      <c r="E18" s="210">
        <v>4132</v>
      </c>
      <c r="F18" s="210">
        <v>6162</v>
      </c>
      <c r="G18" s="210">
        <v>7338</v>
      </c>
      <c r="H18" s="210">
        <v>8900</v>
      </c>
      <c r="I18" s="210">
        <v>9956</v>
      </c>
      <c r="J18" s="210">
        <v>11278</v>
      </c>
      <c r="K18" s="210">
        <v>12475</v>
      </c>
      <c r="L18" s="210">
        <v>13363</v>
      </c>
      <c r="M18" s="210">
        <v>14310</v>
      </c>
    </row>
    <row r="19" spans="2:14">
      <c r="D19" s="162"/>
      <c r="E19" s="162"/>
      <c r="F19" s="162"/>
      <c r="G19" s="162"/>
      <c r="H19" s="162"/>
      <c r="I19" s="162"/>
      <c r="J19" s="162"/>
      <c r="K19" s="162"/>
      <c r="L19" s="162"/>
      <c r="M19" s="162"/>
    </row>
    <row r="20" spans="2:14">
      <c r="B20" s="164" t="s">
        <v>121</v>
      </c>
      <c r="C20" s="165">
        <v>0.08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</row>
    <row r="21" spans="2:14">
      <c r="B21" s="164" t="s">
        <v>150</v>
      </c>
      <c r="C21" s="166">
        <v>88</v>
      </c>
      <c r="D21" s="162"/>
      <c r="E21" s="162"/>
      <c r="F21" s="162"/>
      <c r="G21" s="162"/>
      <c r="H21" s="162"/>
      <c r="I21" s="162"/>
      <c r="J21" s="162"/>
      <c r="K21" s="162"/>
      <c r="L21" s="162"/>
      <c r="M21" s="162"/>
    </row>
    <row r="22" spans="2:14">
      <c r="B22" s="164" t="s">
        <v>151</v>
      </c>
      <c r="C22" s="167">
        <v>56509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</row>
    <row r="23" spans="2:14">
      <c r="B23" s="164" t="s">
        <v>136</v>
      </c>
      <c r="C23" s="167">
        <v>484956</v>
      </c>
      <c r="D23" s="162"/>
      <c r="E23" s="162"/>
      <c r="F23" s="162"/>
      <c r="G23" s="162"/>
      <c r="H23" s="162"/>
      <c r="I23" s="162"/>
      <c r="J23" s="162"/>
      <c r="K23" s="162"/>
      <c r="L23" s="162"/>
      <c r="M23" s="162"/>
    </row>
    <row r="24" spans="2:14">
      <c r="B24" s="164" t="s">
        <v>152</v>
      </c>
      <c r="C24" s="167">
        <v>223193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</row>
    <row r="25" spans="2:14">
      <c r="B25" s="164" t="s">
        <v>153</v>
      </c>
      <c r="C25" s="167">
        <v>279790</v>
      </c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2:14">
      <c r="B26" s="164" t="s">
        <v>154</v>
      </c>
      <c r="C26" s="165">
        <v>0.79800000000000004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</row>
    <row r="27" spans="2:14">
      <c r="B27" s="164" t="s">
        <v>155</v>
      </c>
      <c r="C27" s="165">
        <v>0.20200000000000001</v>
      </c>
      <c r="D27" s="162"/>
      <c r="E27" s="162"/>
      <c r="F27" s="162"/>
      <c r="G27" s="162"/>
      <c r="H27" s="162"/>
      <c r="I27" s="162"/>
      <c r="J27" s="162"/>
      <c r="K27" s="162"/>
      <c r="L27" s="162"/>
      <c r="M27" s="162"/>
    </row>
    <row r="28" spans="2:14">
      <c r="B28" s="164"/>
      <c r="D28" s="162"/>
      <c r="E28" s="162"/>
      <c r="F28" s="162"/>
      <c r="G28" s="162"/>
      <c r="H28" s="162"/>
      <c r="I28" s="162"/>
      <c r="J28" s="162"/>
      <c r="K28" s="162"/>
      <c r="L28" s="162"/>
      <c r="M28" s="162"/>
    </row>
    <row r="29" spans="2:14">
      <c r="B29" s="140" t="s">
        <v>18</v>
      </c>
      <c r="C29" s="195">
        <v>279790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</row>
    <row r="30" spans="2:14">
      <c r="B30" s="164" t="s">
        <v>163</v>
      </c>
      <c r="C30" s="195">
        <v>254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</row>
    <row r="31" spans="2:14">
      <c r="D31" s="162"/>
      <c r="E31" s="162"/>
      <c r="F31" s="162"/>
      <c r="G31" s="162"/>
      <c r="H31" s="162"/>
      <c r="I31" s="162"/>
      <c r="J31" s="162"/>
      <c r="K31" s="162"/>
      <c r="L31" s="162"/>
      <c r="M31" s="162"/>
    </row>
    <row r="32" spans="2:14">
      <c r="D32" s="162"/>
      <c r="E32" s="162"/>
      <c r="F32" s="162"/>
      <c r="G32" s="162"/>
      <c r="H32" s="162"/>
      <c r="I32" s="162"/>
      <c r="J32" s="162"/>
      <c r="K32" s="162"/>
      <c r="L32" s="162"/>
      <c r="M32" s="162"/>
    </row>
    <row r="33" spans="2:23">
      <c r="B33" s="158" t="s">
        <v>1</v>
      </c>
      <c r="C33" s="159"/>
      <c r="D33" s="160">
        <v>2021</v>
      </c>
      <c r="E33" s="160">
        <v>2022</v>
      </c>
      <c r="F33" s="160">
        <v>2023</v>
      </c>
      <c r="G33" s="160">
        <v>2024</v>
      </c>
      <c r="H33" s="160">
        <v>2025</v>
      </c>
      <c r="I33" s="160">
        <v>2026</v>
      </c>
      <c r="J33" s="160">
        <v>2027</v>
      </c>
      <c r="K33" s="160">
        <v>2028</v>
      </c>
      <c r="L33" s="160">
        <v>2029</v>
      </c>
      <c r="M33" s="160">
        <v>2030</v>
      </c>
      <c r="N33" s="160">
        <v>2031</v>
      </c>
      <c r="O33" s="160">
        <v>2032</v>
      </c>
      <c r="P33" s="160">
        <v>2033</v>
      </c>
      <c r="Q33" s="160">
        <v>2034</v>
      </c>
      <c r="R33" s="160">
        <v>2035</v>
      </c>
      <c r="S33" s="160">
        <v>2036</v>
      </c>
      <c r="T33" s="160">
        <v>2037</v>
      </c>
      <c r="U33" s="160">
        <v>2038</v>
      </c>
      <c r="V33" s="160">
        <v>2039</v>
      </c>
      <c r="W33" s="160">
        <v>2040</v>
      </c>
    </row>
    <row r="34" spans="2:23">
      <c r="B34" s="139"/>
    </row>
    <row r="35" spans="2:23" outlineLevel="1">
      <c r="B35" s="140" t="s">
        <v>10</v>
      </c>
      <c r="D35" s="168">
        <v>206</v>
      </c>
      <c r="E35" s="168">
        <v>237</v>
      </c>
      <c r="F35" s="168">
        <v>272</v>
      </c>
      <c r="G35" s="168">
        <v>313</v>
      </c>
      <c r="H35" s="168">
        <v>351</v>
      </c>
      <c r="I35" s="168">
        <v>393</v>
      </c>
      <c r="J35" s="168">
        <v>440</v>
      </c>
      <c r="K35" s="168">
        <v>493</v>
      </c>
      <c r="L35" s="168">
        <v>552</v>
      </c>
      <c r="M35" s="168">
        <v>607</v>
      </c>
      <c r="N35" s="168">
        <v>668</v>
      </c>
      <c r="O35" s="168">
        <v>734</v>
      </c>
      <c r="P35" s="168">
        <v>808</v>
      </c>
      <c r="Q35" s="168">
        <v>889</v>
      </c>
      <c r="R35" s="168">
        <v>977</v>
      </c>
      <c r="S35" s="162">
        <v>1075</v>
      </c>
      <c r="T35" s="162">
        <v>1183</v>
      </c>
      <c r="U35" s="162">
        <v>1301</v>
      </c>
      <c r="V35" s="162">
        <v>1431</v>
      </c>
      <c r="W35" s="162">
        <v>1574</v>
      </c>
    </row>
    <row r="36" spans="2:23" outlineLevel="1">
      <c r="B36" s="140" t="s">
        <v>13</v>
      </c>
      <c r="D36" s="169">
        <v>2.4</v>
      </c>
      <c r="E36" s="169">
        <v>2.4</v>
      </c>
      <c r="F36" s="169">
        <v>2.4</v>
      </c>
      <c r="G36" s="169">
        <v>2.4</v>
      </c>
      <c r="H36" s="169">
        <v>2.5</v>
      </c>
      <c r="I36" s="169">
        <v>2.5</v>
      </c>
      <c r="J36" s="169">
        <v>2.5</v>
      </c>
      <c r="K36" s="169">
        <v>2.5</v>
      </c>
      <c r="L36" s="169">
        <v>2.6</v>
      </c>
      <c r="M36" s="169">
        <v>2.6</v>
      </c>
      <c r="N36" s="169">
        <v>2.6</v>
      </c>
      <c r="O36" s="169">
        <v>2.6</v>
      </c>
      <c r="P36" s="169">
        <v>2.7</v>
      </c>
      <c r="Q36" s="169">
        <v>2.7</v>
      </c>
      <c r="R36" s="169">
        <v>2.7</v>
      </c>
      <c r="S36" s="169">
        <v>2.8</v>
      </c>
      <c r="T36" s="169">
        <v>2.8</v>
      </c>
      <c r="U36" s="169">
        <v>2.8</v>
      </c>
      <c r="V36" s="169">
        <v>2.8</v>
      </c>
      <c r="W36" s="169">
        <v>2.9</v>
      </c>
    </row>
    <row r="37" spans="2:23" outlineLevel="1">
      <c r="B37" s="140" t="s">
        <v>15</v>
      </c>
      <c r="D37" s="168">
        <v>488</v>
      </c>
      <c r="E37" s="168">
        <v>567</v>
      </c>
      <c r="F37" s="168">
        <v>658</v>
      </c>
      <c r="G37" s="168">
        <v>764</v>
      </c>
      <c r="H37" s="168">
        <v>865</v>
      </c>
      <c r="I37" s="168">
        <v>978</v>
      </c>
      <c r="J37" s="162">
        <v>1106</v>
      </c>
      <c r="K37" s="162">
        <v>1252</v>
      </c>
      <c r="L37" s="162">
        <v>1416</v>
      </c>
      <c r="M37" s="162">
        <v>1573</v>
      </c>
      <c r="N37" s="162">
        <v>1748</v>
      </c>
      <c r="O37" s="162">
        <v>1942</v>
      </c>
      <c r="P37" s="162">
        <v>2157</v>
      </c>
      <c r="Q37" s="162">
        <v>2396</v>
      </c>
      <c r="R37" s="162">
        <v>2662</v>
      </c>
      <c r="S37" s="162">
        <v>2958</v>
      </c>
      <c r="T37" s="162">
        <v>3286</v>
      </c>
      <c r="U37" s="162">
        <v>3651</v>
      </c>
      <c r="V37" s="162">
        <v>4056</v>
      </c>
      <c r="W37" s="162">
        <v>4507</v>
      </c>
    </row>
    <row r="38" spans="2:23" outlineLevel="1"/>
    <row r="39" spans="2:23" outlineLevel="1">
      <c r="B39" s="140" t="s">
        <v>11</v>
      </c>
      <c r="D39" s="169">
        <v>2.7</v>
      </c>
      <c r="E39" s="169">
        <v>3.3</v>
      </c>
      <c r="F39" s="169">
        <v>4.2</v>
      </c>
      <c r="G39" s="169">
        <v>5.2</v>
      </c>
      <c r="H39" s="169">
        <v>6</v>
      </c>
      <c r="I39" s="169">
        <v>6.9</v>
      </c>
      <c r="J39" s="169">
        <v>7.9</v>
      </c>
      <c r="K39" s="169">
        <v>9.1</v>
      </c>
      <c r="L39" s="169">
        <v>10.5</v>
      </c>
      <c r="M39" s="169">
        <v>11.8</v>
      </c>
      <c r="N39" s="169">
        <v>13.2</v>
      </c>
      <c r="O39" s="169">
        <v>14.7</v>
      </c>
      <c r="P39" s="169">
        <v>16.5</v>
      </c>
      <c r="Q39" s="169">
        <v>18.5</v>
      </c>
      <c r="R39" s="169">
        <v>20.7</v>
      </c>
      <c r="S39" s="169">
        <v>23.2</v>
      </c>
      <c r="T39" s="169">
        <v>26</v>
      </c>
      <c r="U39" s="169">
        <v>29.1</v>
      </c>
      <c r="V39" s="169">
        <v>32.6</v>
      </c>
      <c r="W39" s="169">
        <v>36.5</v>
      </c>
    </row>
    <row r="40" spans="2:23" outlineLevel="1">
      <c r="B40" s="140" t="s">
        <v>12</v>
      </c>
      <c r="D40" s="168">
        <v>617</v>
      </c>
      <c r="E40" s="168">
        <v>586</v>
      </c>
      <c r="F40" s="168">
        <v>557</v>
      </c>
      <c r="G40" s="168">
        <v>529</v>
      </c>
      <c r="H40" s="168">
        <v>524</v>
      </c>
      <c r="I40" s="168">
        <v>519</v>
      </c>
      <c r="J40" s="168">
        <v>513</v>
      </c>
      <c r="K40" s="168">
        <v>508</v>
      </c>
      <c r="L40" s="168">
        <v>503</v>
      </c>
      <c r="M40" s="168">
        <v>498</v>
      </c>
      <c r="N40" s="168">
        <v>493</v>
      </c>
      <c r="O40" s="168">
        <v>488</v>
      </c>
      <c r="P40" s="168">
        <v>483</v>
      </c>
      <c r="Q40" s="168">
        <v>479</v>
      </c>
      <c r="R40" s="168">
        <v>474</v>
      </c>
      <c r="S40" s="168">
        <v>469</v>
      </c>
      <c r="T40" s="168">
        <v>464</v>
      </c>
      <c r="U40" s="168">
        <v>460</v>
      </c>
      <c r="V40" s="168">
        <v>455</v>
      </c>
      <c r="W40" s="168">
        <v>451</v>
      </c>
    </row>
    <row r="41" spans="2:23" outlineLevel="1">
      <c r="B41" s="140" t="s">
        <v>14</v>
      </c>
      <c r="D41" s="162">
        <v>1650</v>
      </c>
      <c r="E41" s="162">
        <v>1959</v>
      </c>
      <c r="F41" s="162">
        <v>2326</v>
      </c>
      <c r="G41" s="162">
        <v>2762</v>
      </c>
      <c r="H41" s="162">
        <v>3145</v>
      </c>
      <c r="I41" s="162">
        <v>3580</v>
      </c>
      <c r="J41" s="162">
        <v>4076</v>
      </c>
      <c r="K41" s="162">
        <v>4641</v>
      </c>
      <c r="L41" s="162">
        <v>5284</v>
      </c>
      <c r="M41" s="162">
        <v>5858</v>
      </c>
      <c r="N41" s="162">
        <v>6496</v>
      </c>
      <c r="O41" s="162">
        <v>7203</v>
      </c>
      <c r="P41" s="162">
        <v>7986</v>
      </c>
      <c r="Q41" s="162">
        <v>8855</v>
      </c>
      <c r="R41" s="162">
        <v>9818</v>
      </c>
      <c r="S41" s="162">
        <v>10887</v>
      </c>
      <c r="T41" s="162">
        <v>12071</v>
      </c>
      <c r="U41" s="162">
        <v>13385</v>
      </c>
      <c r="V41" s="162">
        <v>14841</v>
      </c>
      <c r="W41" s="162">
        <v>16455</v>
      </c>
    </row>
    <row r="42" spans="2:23" outlineLevel="1"/>
    <row r="43" spans="2:23" outlineLevel="1">
      <c r="B43" s="140" t="s">
        <v>35</v>
      </c>
      <c r="D43" s="162">
        <v>2137</v>
      </c>
      <c r="E43" s="162">
        <v>2525</v>
      </c>
      <c r="F43" s="162">
        <v>2984</v>
      </c>
      <c r="G43" s="162">
        <v>3527</v>
      </c>
      <c r="H43" s="162">
        <v>4009</v>
      </c>
      <c r="I43" s="162">
        <v>4558</v>
      </c>
      <c r="J43" s="162">
        <v>5183</v>
      </c>
      <c r="K43" s="162">
        <v>5892</v>
      </c>
      <c r="L43" s="162">
        <v>6699</v>
      </c>
      <c r="M43" s="162">
        <v>7431</v>
      </c>
      <c r="N43" s="162">
        <v>8243</v>
      </c>
      <c r="O43" s="162">
        <v>9144</v>
      </c>
      <c r="P43" s="162">
        <v>10143</v>
      </c>
      <c r="Q43" s="162">
        <v>11251</v>
      </c>
      <c r="R43" s="162">
        <v>12481</v>
      </c>
      <c r="S43" s="162">
        <v>13845</v>
      </c>
      <c r="T43" s="162">
        <v>15358</v>
      </c>
      <c r="U43" s="162">
        <v>17036</v>
      </c>
      <c r="V43" s="162">
        <v>18897</v>
      </c>
      <c r="W43" s="162">
        <v>20962</v>
      </c>
    </row>
    <row r="44" spans="2:23" outlineLevel="1">
      <c r="B44" s="140" t="s">
        <v>32</v>
      </c>
      <c r="D44" s="168">
        <v>214</v>
      </c>
      <c r="E44" s="168">
        <v>303</v>
      </c>
      <c r="F44" s="168">
        <v>448</v>
      </c>
      <c r="G44" s="168">
        <v>635</v>
      </c>
      <c r="H44" s="168">
        <v>802</v>
      </c>
      <c r="I44" s="168">
        <v>912</v>
      </c>
      <c r="J44" s="162">
        <v>1037</v>
      </c>
      <c r="K44" s="162">
        <v>1178</v>
      </c>
      <c r="L44" s="162">
        <v>1340</v>
      </c>
      <c r="M44" s="162">
        <v>1858</v>
      </c>
      <c r="N44" s="162">
        <v>2061</v>
      </c>
      <c r="O44" s="162">
        <v>2286</v>
      </c>
      <c r="P44" s="162">
        <v>2536</v>
      </c>
      <c r="Q44" s="162">
        <v>2813</v>
      </c>
      <c r="R44" s="162">
        <v>3120</v>
      </c>
      <c r="S44" s="162">
        <v>3461</v>
      </c>
      <c r="T44" s="162">
        <v>3839</v>
      </c>
      <c r="U44" s="162">
        <v>4259</v>
      </c>
      <c r="V44" s="162">
        <v>4724</v>
      </c>
      <c r="W44" s="162">
        <v>5241</v>
      </c>
    </row>
    <row r="45" spans="2:23" outlineLevel="1">
      <c r="B45" s="140" t="s">
        <v>36</v>
      </c>
      <c r="D45" s="170" t="s">
        <v>16</v>
      </c>
      <c r="E45" s="168">
        <v>51</v>
      </c>
      <c r="F45" s="168">
        <v>149</v>
      </c>
      <c r="G45" s="168">
        <v>282</v>
      </c>
      <c r="H45" s="168">
        <v>401</v>
      </c>
      <c r="I45" s="168">
        <v>456</v>
      </c>
      <c r="J45" s="168">
        <v>518</v>
      </c>
      <c r="K45" s="168">
        <v>589</v>
      </c>
      <c r="L45" s="168">
        <v>670</v>
      </c>
      <c r="M45" s="162">
        <v>1189</v>
      </c>
      <c r="N45" s="162">
        <v>1319</v>
      </c>
      <c r="O45" s="162">
        <v>1463</v>
      </c>
      <c r="P45" s="162">
        <v>1623</v>
      </c>
      <c r="Q45" s="162">
        <v>1800</v>
      </c>
      <c r="R45" s="162">
        <v>2122</v>
      </c>
      <c r="S45" s="162">
        <v>2354</v>
      </c>
      <c r="T45" s="162">
        <v>2611</v>
      </c>
      <c r="U45" s="162">
        <v>2896</v>
      </c>
      <c r="V45" s="162">
        <v>3213</v>
      </c>
      <c r="W45" s="162">
        <v>3564</v>
      </c>
    </row>
    <row r="46" spans="2:23">
      <c r="B46" s="209" t="s">
        <v>37</v>
      </c>
      <c r="C46" s="209"/>
      <c r="D46" s="211">
        <v>-21</v>
      </c>
      <c r="E46" s="211">
        <v>13</v>
      </c>
      <c r="F46" s="211">
        <v>82</v>
      </c>
      <c r="G46" s="211">
        <v>176</v>
      </c>
      <c r="H46" s="211">
        <v>261</v>
      </c>
      <c r="I46" s="211">
        <v>296</v>
      </c>
      <c r="J46" s="211">
        <v>337</v>
      </c>
      <c r="K46" s="211">
        <v>383</v>
      </c>
      <c r="L46" s="211">
        <v>435</v>
      </c>
      <c r="M46" s="211">
        <v>817</v>
      </c>
      <c r="N46" s="211">
        <v>907</v>
      </c>
      <c r="O46" s="210">
        <v>1006</v>
      </c>
      <c r="P46" s="162">
        <v>1116</v>
      </c>
      <c r="Q46" s="162">
        <v>1238</v>
      </c>
      <c r="R46" s="162">
        <v>1467</v>
      </c>
      <c r="S46" s="162">
        <v>1627</v>
      </c>
      <c r="T46" s="162">
        <v>1805</v>
      </c>
      <c r="U46" s="162">
        <v>2002</v>
      </c>
      <c r="V46" s="162">
        <v>2220</v>
      </c>
      <c r="W46" s="162">
        <v>2463</v>
      </c>
    </row>
    <row r="47" spans="2:23">
      <c r="B47" s="164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2"/>
      <c r="P47" s="162"/>
      <c r="Q47" s="162"/>
      <c r="R47" s="162"/>
      <c r="S47" s="162"/>
      <c r="T47" s="162"/>
      <c r="U47" s="162"/>
      <c r="V47" s="162"/>
      <c r="W47" s="162"/>
    </row>
    <row r="48" spans="2:23"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2"/>
      <c r="P48" s="162"/>
      <c r="Q48" s="162"/>
      <c r="R48" s="162"/>
      <c r="S48" s="162"/>
      <c r="T48" s="162"/>
      <c r="U48" s="162"/>
      <c r="V48" s="162"/>
      <c r="W48" s="162"/>
    </row>
    <row r="49" spans="2:23">
      <c r="B49" s="171" t="s">
        <v>156</v>
      </c>
      <c r="C49" s="172">
        <v>9.5000000000000001E-2</v>
      </c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2"/>
      <c r="P49" s="162"/>
      <c r="Q49" s="162"/>
      <c r="R49" s="162"/>
      <c r="S49" s="162"/>
      <c r="T49" s="162"/>
      <c r="U49" s="162"/>
      <c r="V49" s="162"/>
      <c r="W49" s="162"/>
    </row>
    <row r="50" spans="2:23">
      <c r="B50" s="171" t="s">
        <v>157</v>
      </c>
      <c r="C50" s="172">
        <v>0.04</v>
      </c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2"/>
      <c r="P50" s="162"/>
      <c r="Q50" s="162"/>
      <c r="R50" s="162"/>
      <c r="S50" s="162"/>
      <c r="T50" s="162"/>
      <c r="U50" s="162"/>
      <c r="V50" s="162"/>
      <c r="W50" s="162"/>
    </row>
    <row r="51" spans="2:23">
      <c r="B51" s="171" t="s">
        <v>158</v>
      </c>
      <c r="C51" s="173">
        <v>5093</v>
      </c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2"/>
      <c r="P51" s="162"/>
      <c r="Q51" s="162"/>
      <c r="R51" s="162"/>
      <c r="S51" s="162"/>
      <c r="T51" s="162"/>
      <c r="U51" s="162"/>
      <c r="V51" s="162"/>
      <c r="W51" s="162"/>
    </row>
    <row r="52" spans="2:23">
      <c r="B52" s="171" t="s">
        <v>136</v>
      </c>
      <c r="C52" s="173">
        <v>44783</v>
      </c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2"/>
      <c r="P52" s="162"/>
      <c r="Q52" s="162"/>
      <c r="R52" s="162"/>
      <c r="S52" s="162"/>
      <c r="T52" s="162"/>
      <c r="U52" s="162"/>
      <c r="V52" s="162"/>
      <c r="W52" s="162"/>
    </row>
    <row r="53" spans="2:23">
      <c r="B53" s="171" t="s">
        <v>159</v>
      </c>
      <c r="C53" s="174">
        <v>16.8</v>
      </c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2"/>
      <c r="P53" s="162"/>
      <c r="Q53" s="162"/>
      <c r="R53" s="162"/>
      <c r="S53" s="162"/>
      <c r="T53" s="162"/>
      <c r="U53" s="162"/>
      <c r="V53" s="162"/>
      <c r="W53" s="162"/>
    </row>
    <row r="54" spans="2:23">
      <c r="B54" s="171" t="s">
        <v>160</v>
      </c>
      <c r="C54" s="173">
        <v>7984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2"/>
      <c r="P54" s="162"/>
      <c r="Q54" s="162"/>
      <c r="R54" s="162"/>
      <c r="S54" s="162"/>
      <c r="T54" s="162"/>
      <c r="U54" s="162"/>
      <c r="V54" s="162"/>
      <c r="W54" s="162"/>
    </row>
    <row r="55" spans="2:23">
      <c r="B55" s="171" t="s">
        <v>161</v>
      </c>
      <c r="C55" s="175">
        <v>13077</v>
      </c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2"/>
      <c r="P55" s="162"/>
      <c r="Q55" s="162"/>
      <c r="R55" s="162"/>
      <c r="S55" s="162"/>
      <c r="T55" s="162"/>
      <c r="U55" s="162"/>
      <c r="V55" s="162"/>
      <c r="W55" s="162"/>
    </row>
    <row r="56" spans="2:23">
      <c r="B56" s="171" t="s">
        <v>162</v>
      </c>
      <c r="C56" s="176">
        <v>11.8</v>
      </c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2"/>
      <c r="P56" s="162"/>
      <c r="Q56" s="162"/>
      <c r="R56" s="162"/>
      <c r="S56" s="162"/>
      <c r="T56" s="162"/>
      <c r="U56" s="162"/>
      <c r="V56" s="162"/>
      <c r="W56" s="162"/>
    </row>
    <row r="58" spans="2:23">
      <c r="B58" s="158" t="s">
        <v>2</v>
      </c>
      <c r="C58" s="159"/>
      <c r="D58" s="160">
        <v>2021</v>
      </c>
      <c r="E58" s="160">
        <v>2022</v>
      </c>
      <c r="F58" s="160">
        <v>2023</v>
      </c>
      <c r="G58" s="160">
        <v>2024</v>
      </c>
      <c r="H58" s="160">
        <v>2025</v>
      </c>
      <c r="I58" s="160">
        <v>2026</v>
      </c>
      <c r="J58" s="160">
        <v>2027</v>
      </c>
      <c r="K58" s="160">
        <v>2028</v>
      </c>
      <c r="L58" s="160">
        <v>2029</v>
      </c>
      <c r="M58" s="160">
        <v>2030</v>
      </c>
      <c r="N58" s="159"/>
      <c r="O58" s="159"/>
      <c r="P58" s="159"/>
      <c r="Q58" s="159"/>
      <c r="R58" s="159"/>
      <c r="S58" s="159"/>
      <c r="T58" s="159"/>
      <c r="U58" s="159"/>
      <c r="V58" s="159"/>
      <c r="W58" s="159"/>
    </row>
    <row r="60" spans="2:23" outlineLevel="1">
      <c r="B60" s="164" t="s">
        <v>38</v>
      </c>
      <c r="D60" s="162">
        <v>1000</v>
      </c>
      <c r="E60" s="162">
        <v>5000</v>
      </c>
      <c r="F60" s="162">
        <v>15000</v>
      </c>
      <c r="G60" s="162">
        <v>30000</v>
      </c>
      <c r="H60" s="162">
        <v>57000</v>
      </c>
      <c r="I60" s="162">
        <v>102600</v>
      </c>
      <c r="J60" s="162">
        <v>174420</v>
      </c>
      <c r="K60" s="162">
        <v>291281</v>
      </c>
      <c r="L60" s="162">
        <v>407794</v>
      </c>
      <c r="M60" s="162">
        <v>501587</v>
      </c>
    </row>
    <row r="61" spans="2:23" outlineLevel="1">
      <c r="B61" s="164" t="s">
        <v>19</v>
      </c>
      <c r="D61" s="162">
        <v>43157</v>
      </c>
      <c r="E61" s="162">
        <v>44452</v>
      </c>
      <c r="F61" s="162">
        <v>46230</v>
      </c>
      <c r="G61" s="162">
        <v>48079</v>
      </c>
      <c r="H61" s="162">
        <v>50483</v>
      </c>
      <c r="I61" s="162">
        <v>53008</v>
      </c>
      <c r="J61" s="162">
        <v>55658</v>
      </c>
      <c r="K61" s="162">
        <v>58441</v>
      </c>
      <c r="L61" s="162">
        <v>61363</v>
      </c>
      <c r="M61" s="162">
        <v>63817</v>
      </c>
    </row>
    <row r="62" spans="2:23" outlineLevel="1">
      <c r="B62" s="164" t="s">
        <v>39</v>
      </c>
      <c r="D62" s="169">
        <v>0</v>
      </c>
      <c r="E62" s="169">
        <v>0.2</v>
      </c>
      <c r="F62" s="169">
        <v>0.7</v>
      </c>
      <c r="G62" s="169">
        <v>1.4</v>
      </c>
      <c r="H62" s="169">
        <v>2.9</v>
      </c>
      <c r="I62" s="169">
        <v>5.4</v>
      </c>
      <c r="J62" s="169">
        <v>9.6999999999999993</v>
      </c>
      <c r="K62" s="169">
        <v>17</v>
      </c>
      <c r="L62" s="169">
        <v>25</v>
      </c>
      <c r="M62" s="169">
        <v>32</v>
      </c>
    </row>
    <row r="63" spans="2:23" outlineLevel="1">
      <c r="B63" s="164" t="s">
        <v>20</v>
      </c>
      <c r="D63" s="177">
        <v>1.98</v>
      </c>
      <c r="E63" s="177">
        <v>1.96</v>
      </c>
      <c r="F63" s="177">
        <v>1.94</v>
      </c>
      <c r="G63" s="177">
        <v>1.92</v>
      </c>
      <c r="H63" s="177">
        <v>1.88</v>
      </c>
      <c r="I63" s="177">
        <v>1.85</v>
      </c>
      <c r="J63" s="177">
        <v>1.81</v>
      </c>
      <c r="K63" s="177">
        <v>1.77</v>
      </c>
      <c r="L63" s="177">
        <v>1.74</v>
      </c>
      <c r="M63" s="177">
        <v>1.7</v>
      </c>
    </row>
    <row r="64" spans="2:23" outlineLevel="1">
      <c r="B64" s="164" t="s">
        <v>21</v>
      </c>
      <c r="D64" s="168">
        <v>85</v>
      </c>
      <c r="E64" s="168">
        <v>436</v>
      </c>
      <c r="F64" s="162">
        <v>1346</v>
      </c>
      <c r="G64" s="162">
        <v>2771</v>
      </c>
      <c r="H64" s="162">
        <v>5418</v>
      </c>
      <c r="I64" s="162">
        <v>10035</v>
      </c>
      <c r="J64" s="162">
        <v>17554</v>
      </c>
      <c r="K64" s="162">
        <v>30165</v>
      </c>
      <c r="L64" s="162">
        <v>43456</v>
      </c>
      <c r="M64" s="162">
        <v>54477</v>
      </c>
    </row>
    <row r="65" spans="2:23" outlineLevel="1">
      <c r="B65" s="164" t="s">
        <v>22</v>
      </c>
      <c r="D65" s="168">
        <v>-9</v>
      </c>
      <c r="E65" s="168">
        <v>-35</v>
      </c>
      <c r="F65" s="168">
        <v>-67</v>
      </c>
      <c r="G65" s="168">
        <v>-83</v>
      </c>
      <c r="H65" s="168">
        <v>0</v>
      </c>
      <c r="I65" s="168">
        <v>301</v>
      </c>
      <c r="J65" s="162">
        <v>1053</v>
      </c>
      <c r="K65" s="162">
        <v>3017</v>
      </c>
      <c r="L65" s="162">
        <v>5215</v>
      </c>
      <c r="M65" s="162">
        <v>8009</v>
      </c>
    </row>
    <row r="66" spans="2:23" outlineLevel="1">
      <c r="B66" s="164" t="s">
        <v>28</v>
      </c>
      <c r="D66" s="178">
        <v>0.3</v>
      </c>
      <c r="E66" s="178">
        <v>0.3</v>
      </c>
      <c r="F66" s="178">
        <v>0.3</v>
      </c>
      <c r="G66" s="178">
        <v>0.3</v>
      </c>
      <c r="H66" s="178">
        <v>0.3</v>
      </c>
      <c r="I66" s="178">
        <v>0.3</v>
      </c>
      <c r="J66" s="178">
        <v>0.3</v>
      </c>
      <c r="K66" s="178">
        <v>0.3</v>
      </c>
      <c r="L66" s="178">
        <v>0.3</v>
      </c>
      <c r="M66" s="178">
        <v>0.3</v>
      </c>
      <c r="N66" s="178">
        <v>0.3</v>
      </c>
    </row>
    <row r="67" spans="2:23" ht="16.5" customHeight="1">
      <c r="B67" s="212" t="s">
        <v>23</v>
      </c>
      <c r="C67" s="209"/>
      <c r="D67" s="211">
        <v>0</v>
      </c>
      <c r="E67" s="211">
        <v>-6</v>
      </c>
      <c r="F67" s="211">
        <v>-24</v>
      </c>
      <c r="G67" s="211">
        <v>-47</v>
      </c>
      <c r="H67" s="211">
        <v>-58</v>
      </c>
      <c r="I67" s="211">
        <v>0</v>
      </c>
      <c r="J67" s="211">
        <v>211</v>
      </c>
      <c r="K67" s="211">
        <v>737</v>
      </c>
      <c r="L67" s="210">
        <v>2112</v>
      </c>
      <c r="M67" s="210">
        <v>3650</v>
      </c>
      <c r="N67" s="210">
        <v>5606</v>
      </c>
    </row>
    <row r="68" spans="2:23" ht="13.5" customHeight="1">
      <c r="B68" s="164"/>
      <c r="D68" s="168"/>
      <c r="E68" s="168"/>
      <c r="F68" s="168"/>
      <c r="G68" s="168"/>
      <c r="H68" s="168"/>
      <c r="I68" s="168"/>
      <c r="J68" s="168"/>
      <c r="K68" s="168"/>
      <c r="L68" s="162"/>
      <c r="M68" s="162"/>
      <c r="N68" s="162"/>
    </row>
    <row r="69" spans="2:23">
      <c r="B69" s="179" t="s">
        <v>164</v>
      </c>
      <c r="C69" s="180">
        <v>0.1</v>
      </c>
      <c r="D69" s="168"/>
      <c r="E69" s="168"/>
      <c r="F69" s="168"/>
      <c r="G69" s="168"/>
      <c r="H69" s="168"/>
      <c r="I69" s="168"/>
      <c r="J69" s="168"/>
      <c r="K69" s="168"/>
      <c r="L69" s="162"/>
      <c r="M69" s="162"/>
      <c r="N69" s="162"/>
    </row>
    <row r="70" spans="2:23">
      <c r="B70" s="179" t="s">
        <v>165</v>
      </c>
      <c r="C70" s="181">
        <v>2020</v>
      </c>
      <c r="D70" s="168"/>
      <c r="E70" s="168"/>
      <c r="F70" s="168"/>
      <c r="G70" s="168"/>
      <c r="H70" s="168"/>
      <c r="I70" s="168"/>
      <c r="J70" s="168"/>
      <c r="K70" s="168"/>
      <c r="L70" s="162"/>
      <c r="M70" s="162"/>
      <c r="N70" s="162"/>
    </row>
    <row r="71" spans="2:23">
      <c r="B71" s="179" t="s">
        <v>166</v>
      </c>
      <c r="C71" s="182">
        <v>4628</v>
      </c>
      <c r="D71" s="168"/>
      <c r="E71" s="168"/>
      <c r="F71" s="168"/>
      <c r="G71" s="168"/>
      <c r="H71" s="168"/>
      <c r="I71" s="168"/>
      <c r="J71" s="168"/>
      <c r="K71" s="168"/>
      <c r="L71" s="162"/>
      <c r="M71" s="162"/>
      <c r="N71" s="162"/>
    </row>
    <row r="72" spans="2:23">
      <c r="B72" s="179" t="s">
        <v>167</v>
      </c>
      <c r="C72" s="180">
        <v>0.04</v>
      </c>
      <c r="D72" s="168"/>
      <c r="E72" s="168"/>
      <c r="F72" s="168"/>
      <c r="G72" s="168"/>
      <c r="H72" s="168"/>
      <c r="I72" s="168"/>
      <c r="J72" s="168"/>
      <c r="K72" s="168"/>
      <c r="L72" s="162"/>
      <c r="M72" s="162"/>
      <c r="N72" s="162"/>
    </row>
    <row r="73" spans="2:23">
      <c r="B73" s="179" t="s">
        <v>168</v>
      </c>
      <c r="C73" s="182">
        <v>97171</v>
      </c>
      <c r="D73" s="168"/>
      <c r="E73" s="168"/>
      <c r="F73" s="168"/>
      <c r="G73" s="168"/>
      <c r="H73" s="168"/>
      <c r="I73" s="168"/>
      <c r="J73" s="168"/>
      <c r="K73" s="168"/>
      <c r="L73" s="162"/>
      <c r="M73" s="162"/>
      <c r="N73" s="162"/>
    </row>
    <row r="74" spans="2:23">
      <c r="B74" s="179" t="s">
        <v>169</v>
      </c>
      <c r="C74" s="183">
        <v>17.3</v>
      </c>
      <c r="D74" s="168"/>
      <c r="E74" s="168"/>
      <c r="F74" s="168"/>
      <c r="G74" s="168"/>
      <c r="H74" s="168"/>
      <c r="I74" s="168"/>
      <c r="J74" s="168"/>
      <c r="K74" s="168"/>
      <c r="L74" s="162"/>
      <c r="M74" s="162"/>
      <c r="N74" s="162"/>
    </row>
    <row r="75" spans="2:23">
      <c r="B75" s="179" t="s">
        <v>170</v>
      </c>
      <c r="C75" s="184">
        <v>42092</v>
      </c>
      <c r="D75" s="168"/>
      <c r="E75" s="168"/>
      <c r="F75" s="168"/>
      <c r="G75" s="168"/>
      <c r="H75" s="168"/>
      <c r="I75" s="168"/>
      <c r="J75" s="168"/>
      <c r="K75" s="168"/>
      <c r="L75" s="162"/>
      <c r="M75" s="162"/>
      <c r="N75" s="162"/>
    </row>
    <row r="76" spans="2:23">
      <c r="B76" s="179" t="s">
        <v>171</v>
      </c>
      <c r="C76" s="194">
        <v>38</v>
      </c>
    </row>
    <row r="78" spans="2:23">
      <c r="B78" s="158" t="s">
        <v>3</v>
      </c>
      <c r="C78" s="159"/>
      <c r="D78" s="160">
        <v>2021</v>
      </c>
      <c r="E78" s="160">
        <v>2022</v>
      </c>
      <c r="F78" s="160">
        <v>2023</v>
      </c>
      <c r="G78" s="160">
        <v>2024</v>
      </c>
      <c r="H78" s="160">
        <v>2025</v>
      </c>
      <c r="I78" s="160">
        <v>2026</v>
      </c>
      <c r="J78" s="160">
        <v>2027</v>
      </c>
      <c r="K78" s="160">
        <v>2028</v>
      </c>
      <c r="L78" s="160">
        <v>2029</v>
      </c>
      <c r="M78" s="160">
        <v>2030</v>
      </c>
      <c r="N78" s="160">
        <v>2031</v>
      </c>
      <c r="O78" s="160">
        <v>2032</v>
      </c>
      <c r="P78" s="160">
        <v>2033</v>
      </c>
      <c r="Q78" s="160">
        <v>2034</v>
      </c>
      <c r="R78" s="160">
        <v>2035</v>
      </c>
      <c r="S78" s="160">
        <v>2036</v>
      </c>
      <c r="T78" s="160">
        <v>2037</v>
      </c>
      <c r="U78" s="160">
        <v>2038</v>
      </c>
      <c r="V78" s="160">
        <v>2039</v>
      </c>
      <c r="W78" s="160">
        <v>2040</v>
      </c>
    </row>
    <row r="79" spans="2:23">
      <c r="B79" s="139"/>
    </row>
    <row r="80" spans="2:23" outlineLevel="1">
      <c r="B80" s="140" t="s">
        <v>41</v>
      </c>
      <c r="D80" s="173">
        <v>2053402</v>
      </c>
      <c r="E80" s="173">
        <v>3044045</v>
      </c>
      <c r="F80" s="173">
        <v>4271352</v>
      </c>
      <c r="G80" s="173">
        <v>5720555</v>
      </c>
      <c r="H80" s="173">
        <v>7424728</v>
      </c>
      <c r="I80" s="173">
        <v>9480042</v>
      </c>
      <c r="J80" s="173">
        <v>11877017</v>
      </c>
      <c r="K80" s="173">
        <v>14393066</v>
      </c>
      <c r="L80" s="173">
        <v>17122244</v>
      </c>
      <c r="M80" s="173">
        <v>20067624</v>
      </c>
      <c r="N80" s="173">
        <v>23169854</v>
      </c>
      <c r="O80" s="173">
        <v>26445421</v>
      </c>
      <c r="P80" s="173">
        <v>29911935</v>
      </c>
      <c r="Q80" s="173">
        <v>33588227</v>
      </c>
      <c r="R80" s="173">
        <v>37494454</v>
      </c>
      <c r="S80" s="173">
        <v>41652221</v>
      </c>
      <c r="T80" s="173">
        <v>46084700</v>
      </c>
      <c r="U80" s="173">
        <v>50816761</v>
      </c>
      <c r="V80" s="173">
        <v>55875123</v>
      </c>
      <c r="W80" s="173">
        <v>61288503</v>
      </c>
    </row>
    <row r="81" spans="2:23" outlineLevel="1">
      <c r="B81" s="171" t="s">
        <v>24</v>
      </c>
    </row>
    <row r="82" spans="2:23" outlineLevel="1">
      <c r="B82" s="139"/>
    </row>
    <row r="83" spans="2:23" outlineLevel="1">
      <c r="B83" s="171" t="s">
        <v>47</v>
      </c>
      <c r="D83" s="185">
        <v>23</v>
      </c>
      <c r="E83" s="185">
        <v>35</v>
      </c>
      <c r="F83" s="185">
        <v>50</v>
      </c>
      <c r="G83" s="185">
        <v>68</v>
      </c>
      <c r="H83" s="185">
        <v>90</v>
      </c>
      <c r="I83" s="185">
        <v>117</v>
      </c>
      <c r="J83" s="185">
        <v>150</v>
      </c>
      <c r="K83" s="185">
        <v>186</v>
      </c>
      <c r="L83" s="185">
        <v>225</v>
      </c>
      <c r="M83" s="185">
        <v>269</v>
      </c>
      <c r="N83" s="185">
        <v>317</v>
      </c>
      <c r="O83" s="185">
        <v>369</v>
      </c>
      <c r="P83" s="185">
        <v>426</v>
      </c>
      <c r="Q83" s="185">
        <v>488</v>
      </c>
      <c r="R83" s="185">
        <v>555</v>
      </c>
      <c r="S83" s="185">
        <v>629</v>
      </c>
      <c r="T83" s="185">
        <v>710</v>
      </c>
      <c r="U83" s="185">
        <v>798</v>
      </c>
      <c r="V83" s="185">
        <v>895</v>
      </c>
      <c r="W83" s="173">
        <v>1002</v>
      </c>
    </row>
    <row r="84" spans="2:23" outlineLevel="1">
      <c r="B84" s="171" t="s">
        <v>46</v>
      </c>
      <c r="D84" s="185">
        <v>9</v>
      </c>
      <c r="E84" s="185">
        <v>16</v>
      </c>
      <c r="F84" s="185">
        <v>25</v>
      </c>
      <c r="G84" s="185">
        <v>37</v>
      </c>
      <c r="H84" s="185">
        <v>54</v>
      </c>
      <c r="I84" s="185">
        <v>70</v>
      </c>
      <c r="J84" s="185">
        <v>90</v>
      </c>
      <c r="K84" s="185">
        <v>111</v>
      </c>
      <c r="L84" s="185">
        <v>135</v>
      </c>
      <c r="M84" s="185">
        <v>161</v>
      </c>
      <c r="N84" s="185">
        <v>192</v>
      </c>
      <c r="O84" s="185">
        <v>225</v>
      </c>
      <c r="P84" s="185">
        <v>264</v>
      </c>
      <c r="Q84" s="185">
        <v>307</v>
      </c>
      <c r="R84" s="185">
        <v>355</v>
      </c>
      <c r="S84" s="185">
        <v>403</v>
      </c>
      <c r="T84" s="185">
        <v>454</v>
      </c>
      <c r="U84" s="185">
        <v>511</v>
      </c>
      <c r="V84" s="185">
        <v>573</v>
      </c>
      <c r="W84" s="185">
        <v>641</v>
      </c>
    </row>
    <row r="85" spans="2:23" outlineLevel="1">
      <c r="B85" s="171" t="s">
        <v>42</v>
      </c>
      <c r="D85" s="185">
        <v>25</v>
      </c>
      <c r="E85" s="185">
        <v>25</v>
      </c>
      <c r="F85" s="185">
        <v>25</v>
      </c>
      <c r="G85" s="185">
        <v>25</v>
      </c>
      <c r="H85" s="185">
        <v>25</v>
      </c>
      <c r="I85" s="185">
        <v>25</v>
      </c>
      <c r="J85" s="185">
        <v>25</v>
      </c>
      <c r="K85" s="185">
        <v>25</v>
      </c>
      <c r="L85" s="185">
        <v>25</v>
      </c>
      <c r="M85" s="185">
        <v>25</v>
      </c>
      <c r="N85" s="185">
        <v>25</v>
      </c>
      <c r="O85" s="185">
        <v>25</v>
      </c>
      <c r="P85" s="185">
        <v>25</v>
      </c>
      <c r="Q85" s="185">
        <v>25</v>
      </c>
      <c r="R85" s="185">
        <v>25</v>
      </c>
      <c r="S85" s="185">
        <v>25</v>
      </c>
      <c r="T85" s="185">
        <v>25</v>
      </c>
      <c r="U85" s="185">
        <v>25</v>
      </c>
      <c r="V85" s="185">
        <v>25</v>
      </c>
      <c r="W85" s="185">
        <v>25</v>
      </c>
    </row>
    <row r="86" spans="2:23" outlineLevel="1">
      <c r="B86" s="171" t="s">
        <v>43</v>
      </c>
      <c r="D86" s="174">
        <v>0.4</v>
      </c>
      <c r="E86" s="174">
        <v>0.6</v>
      </c>
      <c r="F86" s="174">
        <v>1</v>
      </c>
      <c r="G86" s="174">
        <v>1.5</v>
      </c>
      <c r="H86" s="174">
        <v>2.2000000000000002</v>
      </c>
      <c r="I86" s="174">
        <v>2.8</v>
      </c>
      <c r="J86" s="174">
        <v>3.6</v>
      </c>
      <c r="K86" s="174">
        <v>4.5</v>
      </c>
      <c r="L86" s="174">
        <v>5.4</v>
      </c>
      <c r="M86" s="174">
        <v>6.5</v>
      </c>
      <c r="N86" s="174">
        <v>7.7</v>
      </c>
      <c r="O86" s="174">
        <v>9</v>
      </c>
      <c r="P86" s="174">
        <v>10.6</v>
      </c>
      <c r="Q86" s="174">
        <v>12.3</v>
      </c>
      <c r="R86" s="174">
        <v>14.2</v>
      </c>
      <c r="S86" s="174">
        <v>16.100000000000001</v>
      </c>
      <c r="T86" s="174">
        <v>18.2</v>
      </c>
      <c r="U86" s="174">
        <v>20.399999999999999</v>
      </c>
      <c r="V86" s="174">
        <v>22.9</v>
      </c>
      <c r="W86" s="174">
        <v>25.6</v>
      </c>
    </row>
    <row r="87" spans="2:23" outlineLevel="1">
      <c r="B87" s="171" t="s">
        <v>44</v>
      </c>
      <c r="D87" s="186">
        <v>0.1</v>
      </c>
      <c r="E87" s="186">
        <v>0.1</v>
      </c>
      <c r="F87" s="186">
        <v>0.1</v>
      </c>
      <c r="G87" s="186">
        <v>0.09</v>
      </c>
      <c r="H87" s="186">
        <v>0.09</v>
      </c>
      <c r="I87" s="186">
        <v>0.09</v>
      </c>
      <c r="J87" s="186">
        <v>0.09</v>
      </c>
      <c r="K87" s="186">
        <v>0.09</v>
      </c>
      <c r="L87" s="186">
        <v>0.09</v>
      </c>
      <c r="M87" s="186">
        <v>0.09</v>
      </c>
      <c r="N87" s="186">
        <v>0.09</v>
      </c>
      <c r="O87" s="186">
        <v>0.09</v>
      </c>
      <c r="P87" s="186">
        <v>0.1</v>
      </c>
      <c r="Q87" s="186">
        <v>0.1</v>
      </c>
      <c r="R87" s="186">
        <v>0.1</v>
      </c>
      <c r="S87" s="186">
        <v>0.1</v>
      </c>
      <c r="T87" s="186">
        <v>0.11</v>
      </c>
      <c r="U87" s="186">
        <v>0.11</v>
      </c>
      <c r="V87" s="186">
        <v>0.11</v>
      </c>
      <c r="W87" s="186">
        <v>0.11</v>
      </c>
    </row>
    <row r="88" spans="2:23" outlineLevel="1">
      <c r="B88" s="171" t="s">
        <v>45</v>
      </c>
      <c r="D88" s="186">
        <v>2.4300000000000002</v>
      </c>
      <c r="E88" s="186">
        <v>2.41</v>
      </c>
      <c r="F88" s="186">
        <v>2.39</v>
      </c>
      <c r="G88" s="186">
        <v>2.37</v>
      </c>
      <c r="H88" s="186">
        <v>2.35</v>
      </c>
      <c r="I88" s="186">
        <v>2.3199999999999998</v>
      </c>
      <c r="J88" s="186">
        <v>2.2999999999999998</v>
      </c>
      <c r="K88" s="186">
        <v>2.2799999999999998</v>
      </c>
      <c r="L88" s="186">
        <v>2.2599999999999998</v>
      </c>
      <c r="M88" s="186">
        <v>2.2400000000000002</v>
      </c>
      <c r="N88" s="186">
        <v>2.2999999999999998</v>
      </c>
      <c r="O88" s="186">
        <v>2.37</v>
      </c>
      <c r="P88" s="186">
        <v>2.42</v>
      </c>
      <c r="Q88" s="186">
        <v>2.48</v>
      </c>
      <c r="R88" s="186">
        <v>2.5299999999999998</v>
      </c>
      <c r="S88" s="186">
        <v>2.58</v>
      </c>
      <c r="T88" s="186">
        <v>2.63</v>
      </c>
      <c r="U88" s="186">
        <v>2.67</v>
      </c>
      <c r="V88" s="186">
        <v>2.71</v>
      </c>
      <c r="W88" s="186">
        <v>2.75</v>
      </c>
    </row>
    <row r="89" spans="2:23" outlineLevel="1">
      <c r="B89" s="171"/>
    </row>
    <row r="90" spans="2:23" outlineLevel="1">
      <c r="B90" s="171"/>
    </row>
    <row r="91" spans="2:23" outlineLevel="1">
      <c r="B91" s="164" t="s">
        <v>25</v>
      </c>
      <c r="D91" s="162">
        <v>821361</v>
      </c>
      <c r="E91" s="162">
        <v>1369820</v>
      </c>
      <c r="F91" s="162">
        <v>2135676</v>
      </c>
      <c r="G91" s="162">
        <v>3146305</v>
      </c>
      <c r="H91" s="162">
        <v>4454837</v>
      </c>
      <c r="I91" s="162">
        <v>5688025</v>
      </c>
      <c r="J91" s="162">
        <v>7126210</v>
      </c>
      <c r="K91" s="162">
        <v>8635839</v>
      </c>
      <c r="L91" s="162">
        <v>10273346</v>
      </c>
      <c r="M91" s="162">
        <v>12040574</v>
      </c>
      <c r="N91" s="162">
        <v>14017762</v>
      </c>
      <c r="O91" s="162">
        <v>16131707</v>
      </c>
      <c r="P91" s="162">
        <v>18545400</v>
      </c>
      <c r="Q91" s="162">
        <v>21160583</v>
      </c>
      <c r="R91" s="162">
        <v>23996451</v>
      </c>
      <c r="S91" s="162">
        <v>26657422</v>
      </c>
      <c r="T91" s="162">
        <v>29494208</v>
      </c>
      <c r="U91" s="162">
        <v>32522727</v>
      </c>
      <c r="V91" s="162">
        <v>35760079</v>
      </c>
      <c r="W91" s="162">
        <v>39224642</v>
      </c>
    </row>
    <row r="92" spans="2:23" outlineLevel="1">
      <c r="B92" s="164" t="s">
        <v>48</v>
      </c>
      <c r="D92" s="169">
        <v>91</v>
      </c>
      <c r="E92" s="169">
        <v>92</v>
      </c>
      <c r="F92" s="169">
        <v>93</v>
      </c>
      <c r="G92" s="169">
        <v>94</v>
      </c>
      <c r="H92" s="169">
        <v>95</v>
      </c>
      <c r="I92" s="169">
        <v>96</v>
      </c>
      <c r="J92" s="169">
        <v>97</v>
      </c>
      <c r="K92" s="169">
        <v>98</v>
      </c>
      <c r="L92" s="169">
        <v>99</v>
      </c>
      <c r="M92" s="169">
        <v>100</v>
      </c>
      <c r="N92" s="169">
        <v>105</v>
      </c>
      <c r="O92" s="169">
        <v>110</v>
      </c>
      <c r="P92" s="169">
        <v>115</v>
      </c>
      <c r="Q92" s="169">
        <v>120</v>
      </c>
      <c r="R92" s="169">
        <v>125</v>
      </c>
      <c r="S92" s="169">
        <v>130</v>
      </c>
      <c r="T92" s="169">
        <v>135</v>
      </c>
      <c r="U92" s="169">
        <v>140</v>
      </c>
      <c r="V92" s="169">
        <v>145</v>
      </c>
      <c r="W92" s="169">
        <v>150</v>
      </c>
    </row>
    <row r="93" spans="2:23">
      <c r="B93" s="212" t="s">
        <v>49</v>
      </c>
      <c r="C93" s="209"/>
      <c r="D93" s="211">
        <v>897</v>
      </c>
      <c r="E93" s="210">
        <v>1512</v>
      </c>
      <c r="F93" s="210">
        <v>2383</v>
      </c>
      <c r="G93" s="210">
        <v>3549</v>
      </c>
      <c r="H93" s="210">
        <v>5079</v>
      </c>
      <c r="I93" s="210">
        <v>6553</v>
      </c>
      <c r="J93" s="210">
        <v>8295</v>
      </c>
      <c r="K93" s="210">
        <v>10156</v>
      </c>
      <c r="L93" s="210">
        <v>12205</v>
      </c>
      <c r="M93" s="210">
        <v>14449</v>
      </c>
      <c r="N93" s="210">
        <v>17662</v>
      </c>
      <c r="O93" s="210">
        <v>21294</v>
      </c>
      <c r="P93" s="210">
        <v>25593</v>
      </c>
      <c r="Q93" s="210">
        <v>30471</v>
      </c>
      <c r="R93" s="210">
        <v>35995</v>
      </c>
      <c r="S93" s="210">
        <v>41586</v>
      </c>
      <c r="T93" s="210">
        <v>47781</v>
      </c>
      <c r="U93" s="210">
        <v>54638</v>
      </c>
      <c r="V93" s="210">
        <v>62223</v>
      </c>
      <c r="W93" s="210">
        <v>70604</v>
      </c>
    </row>
    <row r="94" spans="2:23">
      <c r="B94" s="164"/>
      <c r="D94" s="168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</row>
    <row r="95" spans="2:23">
      <c r="B95" s="171" t="s">
        <v>156</v>
      </c>
      <c r="C95" s="187">
        <v>0.08</v>
      </c>
      <c r="D95" s="168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</row>
    <row r="96" spans="2:23">
      <c r="B96" s="171" t="s">
        <v>157</v>
      </c>
      <c r="C96" s="187">
        <v>0.04</v>
      </c>
      <c r="D96" s="168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</row>
    <row r="97" spans="2:23">
      <c r="B97" s="171" t="s">
        <v>158</v>
      </c>
      <c r="C97" s="188">
        <v>62142</v>
      </c>
      <c r="D97" s="168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</row>
    <row r="98" spans="2:23">
      <c r="B98" s="171" t="s">
        <v>136</v>
      </c>
      <c r="C98" s="188">
        <v>725901</v>
      </c>
      <c r="D98" s="168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</row>
    <row r="99" spans="2:23">
      <c r="B99" s="171" t="s">
        <v>160</v>
      </c>
      <c r="C99" s="188">
        <v>168200</v>
      </c>
      <c r="D99" s="168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</row>
    <row r="100" spans="2:23">
      <c r="B100" s="171" t="s">
        <v>172</v>
      </c>
      <c r="C100" s="188">
        <v>230342</v>
      </c>
      <c r="D100" s="168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</row>
    <row r="101" spans="2:23">
      <c r="B101" s="171" t="s">
        <v>173</v>
      </c>
      <c r="C101" s="189">
        <v>0.8</v>
      </c>
      <c r="D101" s="168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</row>
    <row r="102" spans="2:23">
      <c r="B102" s="171" t="s">
        <v>174</v>
      </c>
      <c r="C102" s="192">
        <v>184273</v>
      </c>
      <c r="D102" s="168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</row>
    <row r="103" spans="2:23">
      <c r="B103" s="171" t="s">
        <v>175</v>
      </c>
      <c r="C103" s="193">
        <v>167</v>
      </c>
      <c r="D103" s="168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</row>
    <row r="104" spans="2:23">
      <c r="B104" s="171"/>
      <c r="C104" s="190"/>
      <c r="D104" s="168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</row>
    <row r="105" spans="2:23">
      <c r="B105" s="139"/>
      <c r="D105" s="191"/>
    </row>
    <row r="106" spans="2:23">
      <c r="B106" s="159" t="s">
        <v>4</v>
      </c>
      <c r="C106" s="159"/>
      <c r="D106" s="160">
        <v>2021</v>
      </c>
      <c r="E106" s="160">
        <v>2022</v>
      </c>
      <c r="F106" s="160">
        <v>2023</v>
      </c>
      <c r="G106" s="160">
        <v>2024</v>
      </c>
      <c r="H106" s="160">
        <v>2025</v>
      </c>
      <c r="I106" s="160">
        <v>2026</v>
      </c>
      <c r="J106" s="160">
        <v>2027</v>
      </c>
      <c r="K106" s="160">
        <v>2028</v>
      </c>
      <c r="L106" s="160">
        <v>2029</v>
      </c>
      <c r="M106" s="160">
        <v>2030</v>
      </c>
      <c r="N106" s="160">
        <v>2031</v>
      </c>
      <c r="O106" s="160">
        <v>2032</v>
      </c>
      <c r="P106" s="160">
        <v>2033</v>
      </c>
      <c r="Q106" s="160">
        <v>2034</v>
      </c>
      <c r="R106" s="160">
        <v>2035</v>
      </c>
      <c r="S106" s="160">
        <v>2036</v>
      </c>
      <c r="T106" s="160">
        <v>2037</v>
      </c>
      <c r="U106" s="160">
        <v>2038</v>
      </c>
      <c r="V106" s="160">
        <v>2039</v>
      </c>
      <c r="W106" s="160">
        <v>2040</v>
      </c>
    </row>
    <row r="107" spans="2:23">
      <c r="B107" s="139"/>
    </row>
    <row r="108" spans="2:23">
      <c r="B108" s="164" t="s">
        <v>26</v>
      </c>
      <c r="D108" s="169">
        <v>2.1</v>
      </c>
      <c r="E108" s="169">
        <v>3</v>
      </c>
      <c r="F108" s="169">
        <v>4.3</v>
      </c>
      <c r="G108" s="169">
        <v>5.7</v>
      </c>
      <c r="H108" s="169">
        <v>7.4</v>
      </c>
      <c r="I108" s="169">
        <v>9.5</v>
      </c>
      <c r="J108" s="169">
        <v>11.9</v>
      </c>
      <c r="K108" s="169">
        <v>14.4</v>
      </c>
      <c r="L108" s="169">
        <v>17.100000000000001</v>
      </c>
      <c r="M108" s="169">
        <v>20.100000000000001</v>
      </c>
      <c r="N108" s="169">
        <v>23.2</v>
      </c>
      <c r="O108" s="169">
        <v>26.4</v>
      </c>
      <c r="P108" s="169">
        <v>29.9</v>
      </c>
      <c r="Q108" s="169">
        <v>33.6</v>
      </c>
      <c r="R108" s="169">
        <v>37.5</v>
      </c>
      <c r="S108" s="169">
        <v>41.7</v>
      </c>
      <c r="T108" s="169">
        <v>46.1</v>
      </c>
      <c r="U108" s="169">
        <v>50.8</v>
      </c>
      <c r="V108" s="169">
        <v>55.9</v>
      </c>
      <c r="W108" s="169">
        <v>61.3</v>
      </c>
    </row>
    <row r="109" spans="2:23">
      <c r="B109" s="164" t="s">
        <v>27</v>
      </c>
      <c r="D109" s="169">
        <v>0</v>
      </c>
      <c r="E109" s="169">
        <v>0</v>
      </c>
      <c r="F109" s="169">
        <v>0.1</v>
      </c>
      <c r="G109" s="169">
        <v>0.3</v>
      </c>
      <c r="H109" s="169">
        <v>0.5</v>
      </c>
      <c r="I109" s="169">
        <v>0.9</v>
      </c>
      <c r="J109" s="169">
        <v>1.4</v>
      </c>
      <c r="K109" s="169">
        <v>2</v>
      </c>
      <c r="L109" s="169">
        <v>2.7</v>
      </c>
      <c r="M109" s="169">
        <v>3.6</v>
      </c>
      <c r="N109" s="169">
        <v>4.9000000000000004</v>
      </c>
      <c r="O109" s="169">
        <v>6.5</v>
      </c>
      <c r="P109" s="169">
        <v>8.3000000000000007</v>
      </c>
      <c r="Q109" s="169">
        <v>10.3</v>
      </c>
      <c r="R109" s="169">
        <v>12.7</v>
      </c>
      <c r="S109" s="169">
        <v>15.5</v>
      </c>
      <c r="T109" s="169">
        <v>18.600000000000001</v>
      </c>
      <c r="U109" s="169">
        <v>22.2</v>
      </c>
      <c r="V109" s="169">
        <v>26.1</v>
      </c>
      <c r="W109" s="169">
        <v>30.6</v>
      </c>
    </row>
    <row r="112" spans="2:23">
      <c r="B112" s="139" t="s">
        <v>51</v>
      </c>
    </row>
    <row r="115" spans="2:23">
      <c r="B115" s="159" t="s">
        <v>40</v>
      </c>
      <c r="C115" s="159"/>
      <c r="D115" s="160">
        <v>2021</v>
      </c>
      <c r="E115" s="160">
        <v>2022</v>
      </c>
      <c r="F115" s="160">
        <v>2023</v>
      </c>
      <c r="G115" s="160">
        <v>2024</v>
      </c>
      <c r="H115" s="160">
        <v>2025</v>
      </c>
      <c r="I115" s="160">
        <v>2026</v>
      </c>
      <c r="J115" s="160">
        <v>2027</v>
      </c>
      <c r="K115" s="160">
        <v>2028</v>
      </c>
      <c r="L115" s="160">
        <v>2029</v>
      </c>
      <c r="M115" s="160">
        <v>2030</v>
      </c>
      <c r="N115" s="160">
        <v>2031</v>
      </c>
      <c r="O115" s="160">
        <v>2032</v>
      </c>
      <c r="P115" s="160">
        <v>2033</v>
      </c>
      <c r="Q115" s="160">
        <v>2034</v>
      </c>
      <c r="R115" s="160">
        <v>2035</v>
      </c>
      <c r="S115" s="160">
        <v>2036</v>
      </c>
      <c r="T115" s="160">
        <v>2037</v>
      </c>
      <c r="U115" s="160">
        <v>2038</v>
      </c>
      <c r="V115" s="160">
        <v>2039</v>
      </c>
      <c r="W115" s="160">
        <v>2040</v>
      </c>
    </row>
    <row r="118" spans="2:23">
      <c r="B118" s="139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G265"/>
  <sheetViews>
    <sheetView topLeftCell="A79" zoomScale="85" zoomScaleNormal="85" workbookViewId="0">
      <selection activeCell="A50" sqref="A50:XFD50"/>
    </sheetView>
  </sheetViews>
  <sheetFormatPr baseColWidth="10" defaultRowHeight="14.25"/>
  <cols>
    <col min="1" max="1" width="11.42578125" style="11"/>
    <col min="2" max="2" width="85.85546875" style="11" bestFit="1" customWidth="1"/>
    <col min="3" max="3" width="14.140625" style="11" bestFit="1" customWidth="1"/>
    <col min="4" max="4" width="28.140625" style="11" bestFit="1" customWidth="1"/>
    <col min="5" max="5" width="22.28515625" style="11" customWidth="1"/>
    <col min="6" max="6" width="15.28515625" style="11" customWidth="1"/>
    <col min="7" max="7" width="13.5703125" style="11" customWidth="1"/>
    <col min="8" max="16384" width="11.42578125" style="11"/>
  </cols>
  <sheetData>
    <row r="2" spans="2:6" ht="15">
      <c r="B2" s="13" t="s">
        <v>228</v>
      </c>
    </row>
    <row r="4" spans="2:6" ht="15">
      <c r="B4" s="13" t="s">
        <v>229</v>
      </c>
    </row>
    <row r="5" spans="2:6" ht="15">
      <c r="B5" s="13" t="s">
        <v>230</v>
      </c>
    </row>
    <row r="8" spans="2:6" ht="15">
      <c r="B8" s="22" t="s">
        <v>354</v>
      </c>
      <c r="C8" s="14"/>
      <c r="D8" s="14"/>
      <c r="E8" s="14"/>
      <c r="F8" s="14"/>
    </row>
    <row r="9" spans="2:6" ht="15">
      <c r="B9" s="23"/>
      <c r="C9" s="24"/>
      <c r="D9" s="24"/>
      <c r="E9" s="24"/>
      <c r="F9" s="24"/>
    </row>
    <row r="10" spans="2:6">
      <c r="B10" s="36"/>
      <c r="C10" s="36" t="s">
        <v>183</v>
      </c>
      <c r="D10" s="25" t="s">
        <v>184</v>
      </c>
      <c r="E10" s="37" t="s">
        <v>185</v>
      </c>
      <c r="F10" s="36" t="s">
        <v>186</v>
      </c>
    </row>
    <row r="11" spans="2:6" ht="15">
      <c r="B11" s="38" t="s">
        <v>187</v>
      </c>
      <c r="C11" s="39"/>
      <c r="D11" s="39"/>
      <c r="E11" s="39"/>
      <c r="F11" s="39"/>
    </row>
    <row r="12" spans="2:6">
      <c r="B12" s="40" t="s">
        <v>188</v>
      </c>
      <c r="C12" s="41">
        <v>0.2</v>
      </c>
      <c r="D12" s="41">
        <v>0.4</v>
      </c>
      <c r="E12" s="41">
        <v>0.6</v>
      </c>
      <c r="F12" s="41">
        <v>0.8</v>
      </c>
    </row>
    <row r="13" spans="2:6">
      <c r="B13" s="36" t="s">
        <v>189</v>
      </c>
      <c r="C13" s="42">
        <v>4000</v>
      </c>
      <c r="D13" s="42">
        <v>13000</v>
      </c>
      <c r="E13" s="42">
        <v>5000</v>
      </c>
      <c r="F13" s="42">
        <v>17000</v>
      </c>
    </row>
    <row r="14" spans="2:6" ht="18" customHeight="1">
      <c r="B14" s="26" t="s">
        <v>190</v>
      </c>
      <c r="C14" s="43">
        <v>0</v>
      </c>
      <c r="D14" s="43">
        <v>0.2</v>
      </c>
      <c r="E14" s="43">
        <v>0.6</v>
      </c>
      <c r="F14" s="43">
        <v>0.7</v>
      </c>
    </row>
    <row r="15" spans="2:6" ht="22.5" customHeight="1">
      <c r="B15" s="37" t="s">
        <v>191</v>
      </c>
      <c r="C15" s="44">
        <v>0</v>
      </c>
      <c r="D15" s="25"/>
      <c r="E15" s="45">
        <v>0.5</v>
      </c>
      <c r="F15" s="44">
        <v>1</v>
      </c>
    </row>
    <row r="16" spans="2:6">
      <c r="B16" s="36" t="s">
        <v>192</v>
      </c>
      <c r="C16" s="41">
        <v>0.05</v>
      </c>
      <c r="D16" s="41">
        <v>0.4</v>
      </c>
      <c r="E16" s="41">
        <v>0.6</v>
      </c>
      <c r="F16" s="41">
        <v>0.9</v>
      </c>
    </row>
    <row r="17" spans="2:6">
      <c r="B17" s="36"/>
      <c r="C17" s="41"/>
      <c r="D17" s="41"/>
      <c r="E17" s="41"/>
      <c r="F17" s="41"/>
    </row>
    <row r="18" spans="2:6" ht="15">
      <c r="B18" s="46" t="s">
        <v>193</v>
      </c>
      <c r="C18" s="47"/>
      <c r="D18" s="47"/>
      <c r="E18" s="47"/>
      <c r="F18" s="47"/>
    </row>
    <row r="19" spans="2:6">
      <c r="B19" s="48" t="s">
        <v>194</v>
      </c>
      <c r="C19" s="49">
        <v>500000000000</v>
      </c>
      <c r="D19" s="49">
        <v>700000000000</v>
      </c>
      <c r="E19" s="49">
        <v>1000000000000</v>
      </c>
      <c r="F19" s="49">
        <v>2000000000000</v>
      </c>
    </row>
    <row r="20" spans="2:6">
      <c r="B20" s="50" t="s">
        <v>195</v>
      </c>
      <c r="C20" s="51">
        <v>0</v>
      </c>
      <c r="D20" s="51">
        <v>0</v>
      </c>
      <c r="E20" s="51">
        <v>0</v>
      </c>
      <c r="F20" s="51">
        <v>0</v>
      </c>
    </row>
    <row r="21" spans="2:6">
      <c r="B21" s="52" t="s">
        <v>196</v>
      </c>
      <c r="C21" s="49">
        <v>3000000000</v>
      </c>
      <c r="D21" s="49">
        <v>3000000000</v>
      </c>
      <c r="E21" s="49">
        <v>3000000000</v>
      </c>
      <c r="F21" s="49">
        <v>3000000000</v>
      </c>
    </row>
    <row r="22" spans="2:6">
      <c r="B22" s="36" t="s">
        <v>197</v>
      </c>
      <c r="C22" s="41">
        <v>0</v>
      </c>
      <c r="D22" s="41">
        <v>0.4</v>
      </c>
      <c r="E22" s="41">
        <v>0.8</v>
      </c>
      <c r="F22" s="41">
        <v>0.95</v>
      </c>
    </row>
    <row r="23" spans="2:6">
      <c r="B23" s="36"/>
      <c r="C23" s="41"/>
      <c r="D23" s="41"/>
      <c r="E23" s="41"/>
      <c r="F23" s="41"/>
    </row>
    <row r="24" spans="2:6" ht="15">
      <c r="B24" s="53" t="s">
        <v>198</v>
      </c>
      <c r="C24" s="47"/>
      <c r="D24" s="47"/>
      <c r="E24" s="47"/>
      <c r="F24" s="47"/>
    </row>
    <row r="25" spans="2:6">
      <c r="B25" s="36" t="s">
        <v>199</v>
      </c>
      <c r="C25" s="43">
        <v>0.1</v>
      </c>
      <c r="D25" s="43">
        <v>0.13500000000000001</v>
      </c>
      <c r="E25" s="43">
        <v>0.16499999999999998</v>
      </c>
      <c r="F25" s="43">
        <v>0.2</v>
      </c>
    </row>
    <row r="26" spans="2:6">
      <c r="B26" s="36" t="s">
        <v>200</v>
      </c>
      <c r="C26" s="43">
        <v>0.2</v>
      </c>
      <c r="D26" s="43">
        <v>0.5</v>
      </c>
      <c r="E26" s="43">
        <v>1.1000000000000001</v>
      </c>
      <c r="F26" s="43">
        <v>5</v>
      </c>
    </row>
    <row r="27" spans="2:6">
      <c r="B27" s="36" t="s">
        <v>201</v>
      </c>
      <c r="C27" s="43">
        <v>0.7</v>
      </c>
      <c r="D27" s="43">
        <v>0.95</v>
      </c>
      <c r="E27" s="43">
        <v>0.99</v>
      </c>
      <c r="F27" s="41">
        <v>1</v>
      </c>
    </row>
    <row r="28" spans="2:6">
      <c r="B28" s="36" t="s">
        <v>202</v>
      </c>
      <c r="C28" s="43">
        <v>0.1</v>
      </c>
      <c r="D28" s="43">
        <v>0.15</v>
      </c>
      <c r="E28" s="43">
        <v>0.3</v>
      </c>
      <c r="F28" s="43">
        <v>0.7</v>
      </c>
    </row>
    <row r="29" spans="2:6">
      <c r="B29" s="36" t="s">
        <v>203</v>
      </c>
      <c r="C29" s="43">
        <v>0.15</v>
      </c>
      <c r="D29" s="43">
        <v>0.2</v>
      </c>
      <c r="E29" s="43">
        <v>0.2</v>
      </c>
      <c r="F29" s="41">
        <v>0.25</v>
      </c>
    </row>
    <row r="30" spans="2:6">
      <c r="B30" s="36" t="s">
        <v>204</v>
      </c>
      <c r="C30" s="54">
        <v>0.02</v>
      </c>
      <c r="D30" s="54">
        <v>3.5000000000000003E-2</v>
      </c>
      <c r="E30" s="54">
        <v>0.08</v>
      </c>
      <c r="F30" s="54">
        <v>0.08</v>
      </c>
    </row>
    <row r="31" spans="2:6">
      <c r="B31" s="36"/>
      <c r="C31" s="54"/>
      <c r="D31" s="54"/>
      <c r="E31" s="54"/>
      <c r="F31" s="54"/>
    </row>
    <row r="32" spans="2:6" ht="15">
      <c r="B32" s="46" t="s">
        <v>205</v>
      </c>
      <c r="C32" s="27"/>
      <c r="D32" s="27"/>
      <c r="E32" s="27"/>
      <c r="F32" s="27"/>
    </row>
    <row r="33" spans="2:6">
      <c r="B33" s="32" t="s">
        <v>206</v>
      </c>
      <c r="C33" s="41">
        <v>0</v>
      </c>
      <c r="D33" s="41">
        <v>0.2</v>
      </c>
      <c r="E33" s="41">
        <v>0.6</v>
      </c>
      <c r="F33" s="41">
        <v>1</v>
      </c>
    </row>
    <row r="34" spans="2:6">
      <c r="B34" s="32" t="s">
        <v>207</v>
      </c>
      <c r="C34" s="41">
        <v>0.1</v>
      </c>
      <c r="D34" s="41">
        <v>0.12</v>
      </c>
      <c r="E34" s="41">
        <v>0.14000000000000001</v>
      </c>
      <c r="F34" s="41">
        <v>0.15</v>
      </c>
    </row>
    <row r="35" spans="2:6">
      <c r="B35" s="32" t="s">
        <v>208</v>
      </c>
      <c r="C35" s="55">
        <v>0.14000000000000001</v>
      </c>
      <c r="D35" s="55">
        <v>0.17</v>
      </c>
      <c r="E35" s="55">
        <v>0.19</v>
      </c>
      <c r="F35" s="55">
        <v>0.24</v>
      </c>
    </row>
    <row r="36" spans="2:6">
      <c r="B36" s="32" t="s">
        <v>209</v>
      </c>
      <c r="C36" s="56">
        <v>0.1</v>
      </c>
      <c r="D36" s="56">
        <v>0.26</v>
      </c>
      <c r="E36" s="56">
        <v>0.3</v>
      </c>
      <c r="F36" s="56">
        <v>0.4</v>
      </c>
    </row>
    <row r="37" spans="2:6">
      <c r="B37" s="32" t="s">
        <v>210</v>
      </c>
      <c r="C37" s="41">
        <v>0.65</v>
      </c>
      <c r="D37" s="41">
        <v>0.75</v>
      </c>
      <c r="E37" s="41">
        <v>0.7</v>
      </c>
      <c r="F37" s="41">
        <v>0.8</v>
      </c>
    </row>
    <row r="38" spans="2:6">
      <c r="B38" s="32" t="s">
        <v>211</v>
      </c>
      <c r="C38" s="41">
        <v>0</v>
      </c>
      <c r="D38" s="41">
        <v>0.02</v>
      </c>
      <c r="E38" s="41">
        <v>0.1</v>
      </c>
      <c r="F38" s="41">
        <v>0.25</v>
      </c>
    </row>
    <row r="39" spans="2:6">
      <c r="B39" s="32" t="s">
        <v>212</v>
      </c>
      <c r="C39" s="57">
        <v>10000</v>
      </c>
      <c r="D39" s="57">
        <v>11500</v>
      </c>
      <c r="E39" s="57">
        <v>13500</v>
      </c>
      <c r="F39" s="57">
        <v>15000</v>
      </c>
    </row>
    <row r="40" spans="2:6">
      <c r="B40" s="32"/>
      <c r="C40" s="57"/>
      <c r="D40" s="57"/>
      <c r="E40" s="57"/>
      <c r="F40" s="57"/>
    </row>
    <row r="41" spans="2:6" ht="15">
      <c r="B41" s="46" t="s">
        <v>213</v>
      </c>
      <c r="C41" s="27"/>
      <c r="D41" s="27"/>
      <c r="E41" s="27"/>
      <c r="F41" s="27"/>
    </row>
    <row r="42" spans="2:6">
      <c r="B42" s="58" t="s">
        <v>214</v>
      </c>
      <c r="C42" s="42">
        <v>0</v>
      </c>
      <c r="D42" s="42">
        <v>20000</v>
      </c>
      <c r="E42" s="42">
        <v>40000</v>
      </c>
      <c r="F42" s="42">
        <v>60000</v>
      </c>
    </row>
    <row r="43" spans="2:6">
      <c r="B43" s="26" t="s">
        <v>215</v>
      </c>
      <c r="C43" s="43">
        <v>0.2</v>
      </c>
      <c r="D43" s="43">
        <v>0.25</v>
      </c>
      <c r="E43" s="43">
        <v>0.4</v>
      </c>
      <c r="F43" s="43">
        <v>0.5</v>
      </c>
    </row>
    <row r="44" spans="2:6">
      <c r="B44" s="26"/>
      <c r="C44" s="43"/>
      <c r="D44" s="43"/>
      <c r="E44" s="43"/>
      <c r="F44" s="43"/>
    </row>
    <row r="45" spans="2:6" ht="15">
      <c r="B45" s="53" t="s">
        <v>216</v>
      </c>
      <c r="C45" s="47"/>
      <c r="D45" s="47"/>
      <c r="E45" s="47"/>
      <c r="F45" s="47"/>
    </row>
    <row r="46" spans="2:6">
      <c r="B46" s="36" t="s">
        <v>217</v>
      </c>
      <c r="C46" s="42">
        <v>30000</v>
      </c>
      <c r="D46" s="42">
        <v>90000</v>
      </c>
      <c r="E46" s="42">
        <v>130000</v>
      </c>
      <c r="F46" s="42">
        <v>160000</v>
      </c>
    </row>
    <row r="47" spans="2:6">
      <c r="B47" s="36" t="s">
        <v>218</v>
      </c>
      <c r="C47" s="119">
        <v>0.2</v>
      </c>
      <c r="D47" s="119">
        <v>0.4</v>
      </c>
      <c r="E47" s="119">
        <v>0.6</v>
      </c>
      <c r="F47" s="119">
        <v>0.7</v>
      </c>
    </row>
    <row r="48" spans="2:6">
      <c r="B48" s="36" t="s">
        <v>219</v>
      </c>
      <c r="C48" s="119">
        <v>0.05</v>
      </c>
      <c r="D48" s="119">
        <v>0.1</v>
      </c>
      <c r="E48" s="119">
        <v>0.2</v>
      </c>
      <c r="F48" s="119">
        <v>0.35</v>
      </c>
    </row>
    <row r="49" spans="2:7">
      <c r="B49" s="36" t="s">
        <v>220</v>
      </c>
      <c r="C49" s="119">
        <v>0.15</v>
      </c>
      <c r="D49" s="119">
        <v>0.25</v>
      </c>
      <c r="E49" s="119">
        <v>0.3</v>
      </c>
      <c r="F49" s="41">
        <v>0.5</v>
      </c>
    </row>
    <row r="50" spans="2:7">
      <c r="B50" s="36"/>
      <c r="C50" s="119"/>
      <c r="D50" s="119"/>
      <c r="E50" s="119"/>
      <c r="F50" s="41"/>
    </row>
    <row r="51" spans="2:7" ht="15">
      <c r="B51" s="38" t="s">
        <v>221</v>
      </c>
      <c r="C51" s="47"/>
      <c r="D51" s="47"/>
      <c r="E51" s="47"/>
      <c r="F51" s="47"/>
    </row>
    <row r="52" spans="2:7" ht="24" customHeight="1">
      <c r="B52" s="59" t="s">
        <v>222</v>
      </c>
      <c r="C52" s="43">
        <v>0.08</v>
      </c>
      <c r="D52" s="43">
        <v>0.11</v>
      </c>
      <c r="E52" s="43">
        <v>9.0000000000000011E-2</v>
      </c>
      <c r="F52" s="43">
        <v>0.12</v>
      </c>
    </row>
    <row r="53" spans="2:7" ht="18" customHeight="1">
      <c r="B53" s="59" t="s">
        <v>223</v>
      </c>
      <c r="C53" s="41">
        <v>0.03</v>
      </c>
      <c r="D53" s="41">
        <v>0.06</v>
      </c>
      <c r="E53" s="41">
        <v>0.04</v>
      </c>
      <c r="F53" s="41">
        <v>0.09</v>
      </c>
    </row>
    <row r="54" spans="2:7">
      <c r="B54" s="60" t="s">
        <v>224</v>
      </c>
      <c r="C54" s="119">
        <v>0.2</v>
      </c>
      <c r="D54" s="119">
        <v>0.4</v>
      </c>
      <c r="E54" s="119">
        <v>0.6</v>
      </c>
      <c r="F54" s="119">
        <v>0.8</v>
      </c>
    </row>
    <row r="55" spans="2:7">
      <c r="B55" s="60" t="s">
        <v>225</v>
      </c>
      <c r="C55" s="120">
        <v>13</v>
      </c>
      <c r="D55" s="120">
        <v>13</v>
      </c>
      <c r="E55" s="120">
        <v>13</v>
      </c>
      <c r="F55" s="120">
        <v>13</v>
      </c>
    </row>
    <row r="56" spans="2:7">
      <c r="B56" s="60" t="s">
        <v>226</v>
      </c>
      <c r="C56" s="120">
        <v>10</v>
      </c>
      <c r="D56" s="120">
        <v>10</v>
      </c>
      <c r="E56" s="120">
        <v>10</v>
      </c>
      <c r="F56" s="120">
        <v>10</v>
      </c>
    </row>
    <row r="57" spans="2:7">
      <c r="B57" s="60" t="s">
        <v>227</v>
      </c>
      <c r="C57" s="120">
        <v>19</v>
      </c>
      <c r="D57" s="120">
        <v>19</v>
      </c>
      <c r="E57" s="120">
        <v>19</v>
      </c>
      <c r="F57" s="120">
        <v>19</v>
      </c>
    </row>
    <row r="59" spans="2:7" ht="15">
      <c r="B59" s="22" t="s">
        <v>355</v>
      </c>
      <c r="C59" s="14"/>
      <c r="D59" s="14"/>
      <c r="E59" s="14"/>
      <c r="F59" s="14"/>
      <c r="G59" s="28"/>
    </row>
    <row r="61" spans="2:7" ht="15">
      <c r="B61" s="121" t="s">
        <v>231</v>
      </c>
      <c r="C61" s="122"/>
      <c r="D61" s="122"/>
      <c r="E61" s="122"/>
      <c r="F61" s="122"/>
      <c r="G61" s="122"/>
    </row>
    <row r="62" spans="2:7" ht="42" customHeight="1">
      <c r="B62" s="61" t="s">
        <v>232</v>
      </c>
      <c r="C62" s="196" t="s">
        <v>233</v>
      </c>
      <c r="D62" s="204" t="s">
        <v>234</v>
      </c>
      <c r="E62" s="197" t="s">
        <v>235</v>
      </c>
      <c r="F62" s="204" t="s">
        <v>236</v>
      </c>
      <c r="G62" s="204" t="s">
        <v>237</v>
      </c>
    </row>
    <row r="63" spans="2:7">
      <c r="B63" s="62" t="s">
        <v>238</v>
      </c>
      <c r="C63" s="198">
        <v>95000</v>
      </c>
      <c r="D63" s="199">
        <v>540</v>
      </c>
      <c r="E63" s="200">
        <v>54</v>
      </c>
      <c r="F63" s="201">
        <v>54</v>
      </c>
      <c r="G63" s="67">
        <v>95000</v>
      </c>
    </row>
    <row r="64" spans="2:7">
      <c r="B64" s="62" t="s">
        <v>239</v>
      </c>
      <c r="C64" s="198">
        <v>50000</v>
      </c>
      <c r="D64" s="199">
        <v>4400</v>
      </c>
      <c r="E64" s="200">
        <v>440</v>
      </c>
      <c r="F64" s="201">
        <v>494</v>
      </c>
      <c r="G64" s="67">
        <v>54434.306569343069</v>
      </c>
    </row>
    <row r="65" spans="2:7">
      <c r="B65" s="62" t="s">
        <v>240</v>
      </c>
      <c r="C65" s="198">
        <v>53000</v>
      </c>
      <c r="D65" s="199">
        <v>6700</v>
      </c>
      <c r="E65" s="200">
        <v>670</v>
      </c>
      <c r="F65" s="201">
        <v>1164</v>
      </c>
      <c r="G65" s="67">
        <v>53459.11214953271</v>
      </c>
    </row>
    <row r="66" spans="2:7">
      <c r="B66" s="62" t="s">
        <v>241</v>
      </c>
      <c r="C66" s="198">
        <v>55000</v>
      </c>
      <c r="D66" s="199">
        <v>2700</v>
      </c>
      <c r="E66" s="200">
        <v>270</v>
      </c>
      <c r="F66" s="201">
        <v>1434</v>
      </c>
      <c r="G66" s="67">
        <v>54161.474888747616</v>
      </c>
    </row>
    <row r="67" spans="2:7">
      <c r="B67" s="62" t="s">
        <v>242</v>
      </c>
      <c r="C67" s="198">
        <v>27000</v>
      </c>
      <c r="D67" s="202">
        <v>40000</v>
      </c>
      <c r="E67" s="200">
        <v>4000</v>
      </c>
      <c r="F67" s="201">
        <v>5434</v>
      </c>
      <c r="G67" s="67">
        <v>36959.207459207457</v>
      </c>
    </row>
    <row r="68" spans="2:7">
      <c r="B68" s="65" t="s">
        <v>243</v>
      </c>
      <c r="C68" s="203">
        <v>15000</v>
      </c>
      <c r="D68" s="202">
        <v>1000000</v>
      </c>
      <c r="E68" s="200">
        <v>100000</v>
      </c>
      <c r="F68" s="201">
        <v>105434</v>
      </c>
      <c r="G68" s="67">
        <v>16652.516357640288</v>
      </c>
    </row>
    <row r="69" spans="2:7">
      <c r="B69" s="65"/>
      <c r="C69" s="66"/>
      <c r="D69" s="67"/>
      <c r="E69" s="64"/>
      <c r="F69" s="63"/>
      <c r="G69" s="64"/>
    </row>
    <row r="70" spans="2:7">
      <c r="B70" s="29"/>
      <c r="C70" s="29"/>
      <c r="D70" s="29"/>
      <c r="E70" s="29"/>
      <c r="F70" s="29"/>
      <c r="G70" s="29"/>
    </row>
    <row r="71" spans="2:7" ht="15">
      <c r="B71" s="121" t="s">
        <v>244</v>
      </c>
      <c r="C71" s="122"/>
      <c r="D71" s="122"/>
      <c r="E71" s="122"/>
      <c r="F71" s="122"/>
      <c r="G71" s="29"/>
    </row>
    <row r="72" spans="2:7" ht="15">
      <c r="B72" s="205" t="s">
        <v>245</v>
      </c>
      <c r="C72" s="205" t="s">
        <v>246</v>
      </c>
      <c r="D72" s="205" t="s">
        <v>247</v>
      </c>
      <c r="E72" s="205" t="s">
        <v>248</v>
      </c>
      <c r="F72" s="71" t="s">
        <v>249</v>
      </c>
      <c r="G72" s="29"/>
    </row>
    <row r="73" spans="2:7" ht="28.5">
      <c r="B73" s="207">
        <v>4</v>
      </c>
      <c r="C73" s="206">
        <v>1</v>
      </c>
      <c r="D73" s="70">
        <v>1</v>
      </c>
      <c r="E73" s="70">
        <v>4</v>
      </c>
      <c r="F73" s="71" t="s">
        <v>250</v>
      </c>
      <c r="G73" s="29"/>
    </row>
    <row r="74" spans="2:7">
      <c r="B74" s="207">
        <v>3</v>
      </c>
      <c r="C74" s="206">
        <v>10</v>
      </c>
      <c r="D74" s="70">
        <v>11</v>
      </c>
      <c r="E74" s="70">
        <v>3.0833333333333335</v>
      </c>
      <c r="F74" s="71"/>
      <c r="G74" s="29"/>
    </row>
    <row r="75" spans="2:7" ht="28.5">
      <c r="B75" s="207">
        <v>2</v>
      </c>
      <c r="C75" s="206">
        <v>30</v>
      </c>
      <c r="D75" s="70">
        <v>41</v>
      </c>
      <c r="E75" s="70">
        <v>2.2452830188679247</v>
      </c>
      <c r="F75" s="71" t="s">
        <v>251</v>
      </c>
      <c r="G75" s="29"/>
    </row>
    <row r="76" spans="2:7">
      <c r="B76" s="207">
        <v>1</v>
      </c>
      <c r="C76" s="206">
        <v>100</v>
      </c>
      <c r="D76" s="70">
        <v>141</v>
      </c>
      <c r="E76" s="70">
        <v>1.3402061855670102</v>
      </c>
      <c r="F76" s="71"/>
      <c r="G76" s="29"/>
    </row>
    <row r="77" spans="2:7">
      <c r="B77" s="207">
        <v>0.75</v>
      </c>
      <c r="C77" s="206">
        <v>250</v>
      </c>
      <c r="D77" s="70">
        <v>391</v>
      </c>
      <c r="E77" s="70">
        <v>0.9457264957264957</v>
      </c>
      <c r="F77" s="71"/>
      <c r="G77" s="29"/>
    </row>
    <row r="78" spans="2:7">
      <c r="B78" s="207">
        <v>0.5</v>
      </c>
      <c r="C78" s="206">
        <v>1000</v>
      </c>
      <c r="D78" s="70">
        <v>1391</v>
      </c>
      <c r="E78" s="70">
        <v>0.63195850202429149</v>
      </c>
      <c r="F78" s="71"/>
      <c r="G78" s="29"/>
    </row>
    <row r="79" spans="2:7">
      <c r="B79" s="207">
        <v>0.25</v>
      </c>
      <c r="C79" s="206">
        <v>15000</v>
      </c>
      <c r="D79" s="70">
        <v>16391</v>
      </c>
      <c r="E79" s="70">
        <v>0.29109272064027875</v>
      </c>
      <c r="F79" s="71"/>
      <c r="G79" s="29"/>
    </row>
    <row r="80" spans="2:7">
      <c r="B80" s="68"/>
      <c r="C80" s="69"/>
      <c r="D80" s="70"/>
      <c r="E80" s="70"/>
      <c r="F80" s="71"/>
      <c r="G80" s="29"/>
    </row>
    <row r="81" spans="2:7">
      <c r="B81" s="68"/>
      <c r="C81" s="69"/>
      <c r="D81" s="70"/>
      <c r="E81" s="70"/>
      <c r="F81" s="71"/>
      <c r="G81" s="29"/>
    </row>
    <row r="82" spans="2:7">
      <c r="B82" s="72" t="s">
        <v>356</v>
      </c>
      <c r="C82" s="73"/>
      <c r="D82" s="74"/>
      <c r="E82" s="74"/>
      <c r="F82" s="75"/>
      <c r="G82" s="30"/>
    </row>
    <row r="84" spans="2:7" ht="15">
      <c r="B84" s="76"/>
      <c r="C84" s="155">
        <v>2020</v>
      </c>
      <c r="D84" s="155">
        <v>2025</v>
      </c>
    </row>
    <row r="86" spans="2:7" ht="15">
      <c r="B86" s="123" t="s">
        <v>252</v>
      </c>
      <c r="C86" s="124"/>
      <c r="D86" s="124"/>
    </row>
    <row r="87" spans="2:7">
      <c r="B87" s="77" t="s">
        <v>253</v>
      </c>
      <c r="C87" s="78"/>
      <c r="D87" s="78">
        <v>0.50429958534778818</v>
      </c>
    </row>
    <row r="88" spans="2:7">
      <c r="B88" s="31" t="s">
        <v>254</v>
      </c>
      <c r="C88" s="79"/>
      <c r="D88" s="79">
        <v>12764.1960323316</v>
      </c>
    </row>
    <row r="89" spans="2:7">
      <c r="B89" s="77" t="s">
        <v>255</v>
      </c>
      <c r="C89" s="78"/>
      <c r="D89" s="78">
        <v>0.77603776498517418</v>
      </c>
    </row>
    <row r="90" spans="2:7">
      <c r="B90" s="32" t="s">
        <v>190</v>
      </c>
      <c r="C90" s="78"/>
      <c r="D90" s="78">
        <v>0.33803463776245546</v>
      </c>
    </row>
    <row r="91" spans="2:7">
      <c r="B91" s="80" t="s">
        <v>256</v>
      </c>
      <c r="C91" s="78"/>
      <c r="D91" s="78">
        <v>0</v>
      </c>
    </row>
    <row r="92" spans="2:7">
      <c r="B92" s="80" t="s">
        <v>257</v>
      </c>
      <c r="C92" s="81"/>
      <c r="D92" s="81">
        <v>0</v>
      </c>
    </row>
    <row r="93" spans="2:7">
      <c r="B93" s="80"/>
      <c r="C93" s="81"/>
      <c r="D93" s="81"/>
    </row>
    <row r="94" spans="2:7" ht="15">
      <c r="B94" s="123" t="s">
        <v>193</v>
      </c>
      <c r="C94" s="124"/>
      <c r="D94" s="124"/>
    </row>
    <row r="95" spans="2:7">
      <c r="B95" s="82" t="s">
        <v>258</v>
      </c>
      <c r="C95" s="78"/>
      <c r="D95" s="78">
        <v>9.9955879714477947E-2</v>
      </c>
    </row>
    <row r="96" spans="2:7">
      <c r="B96" s="82" t="s">
        <v>259</v>
      </c>
      <c r="C96" s="83"/>
      <c r="D96" s="83">
        <v>503347350869.54968</v>
      </c>
    </row>
    <row r="97" spans="2:4">
      <c r="B97" s="82" t="s">
        <v>195</v>
      </c>
      <c r="C97" s="83"/>
      <c r="D97" s="83">
        <v>0</v>
      </c>
    </row>
    <row r="98" spans="2:4">
      <c r="B98" s="82" t="s">
        <v>196</v>
      </c>
      <c r="C98" s="83"/>
      <c r="D98" s="83">
        <v>3000000000</v>
      </c>
    </row>
    <row r="99" spans="2:4">
      <c r="B99" s="82"/>
      <c r="C99" s="83"/>
      <c r="D99" s="83"/>
    </row>
    <row r="100" spans="2:4" ht="15">
      <c r="B100" s="123" t="s">
        <v>260</v>
      </c>
      <c r="C100" s="125"/>
      <c r="D100" s="125"/>
    </row>
    <row r="101" spans="2:4">
      <c r="B101" s="77" t="s">
        <v>199</v>
      </c>
      <c r="C101" s="78"/>
      <c r="D101" s="78">
        <v>0.14267657758237479</v>
      </c>
    </row>
    <row r="102" spans="2:4">
      <c r="B102" s="77" t="s">
        <v>201</v>
      </c>
      <c r="C102" s="78"/>
      <c r="D102" s="78">
        <v>0.93862104894125409</v>
      </c>
    </row>
    <row r="103" spans="2:4">
      <c r="B103" s="77" t="s">
        <v>202</v>
      </c>
      <c r="C103" s="78"/>
      <c r="D103" s="78">
        <v>0.28024169624188827</v>
      </c>
    </row>
    <row r="104" spans="2:4">
      <c r="B104" s="77" t="s">
        <v>203</v>
      </c>
      <c r="C104" s="78"/>
      <c r="D104" s="78">
        <v>0.2</v>
      </c>
    </row>
    <row r="105" spans="2:4">
      <c r="B105" s="77" t="s">
        <v>204</v>
      </c>
      <c r="C105" s="78"/>
      <c r="D105" s="78">
        <v>4.9725059301614132E-2</v>
      </c>
    </row>
    <row r="106" spans="2:4">
      <c r="B106" s="77"/>
      <c r="C106" s="78"/>
      <c r="D106" s="78"/>
    </row>
    <row r="107" spans="2:4" ht="15">
      <c r="B107" s="123" t="s">
        <v>261</v>
      </c>
      <c r="C107" s="126"/>
      <c r="D107" s="126"/>
    </row>
    <row r="108" spans="2:4">
      <c r="B108" s="77" t="s">
        <v>262</v>
      </c>
      <c r="C108" s="84"/>
      <c r="D108" s="84">
        <v>0.47396357336029576</v>
      </c>
    </row>
    <row r="109" spans="2:4">
      <c r="B109" s="77" t="s">
        <v>207</v>
      </c>
      <c r="C109" s="85"/>
      <c r="D109" s="85">
        <v>0.1199053383816942</v>
      </c>
    </row>
    <row r="110" spans="2:4">
      <c r="B110" s="77" t="s">
        <v>208</v>
      </c>
      <c r="C110" s="85"/>
      <c r="D110" s="85">
        <v>0.19360090575333885</v>
      </c>
    </row>
    <row r="111" spans="2:4">
      <c r="B111" s="77" t="s">
        <v>209</v>
      </c>
      <c r="C111" s="85"/>
      <c r="D111" s="85">
        <v>0.28567088212903918</v>
      </c>
    </row>
    <row r="112" spans="2:4">
      <c r="B112" s="77" t="s">
        <v>210</v>
      </c>
      <c r="C112" s="78"/>
      <c r="D112" s="78">
        <v>0.69872751044207304</v>
      </c>
    </row>
    <row r="113" spans="2:4">
      <c r="B113" s="77" t="s">
        <v>211</v>
      </c>
      <c r="C113" s="78"/>
      <c r="D113" s="78">
        <v>9.0506906848560331E-2</v>
      </c>
    </row>
    <row r="114" spans="2:4">
      <c r="B114" s="77" t="s">
        <v>212</v>
      </c>
      <c r="C114" s="86"/>
      <c r="D114" s="86">
        <v>13183.723769857201</v>
      </c>
    </row>
    <row r="115" spans="2:4">
      <c r="B115" s="77"/>
      <c r="C115" s="86"/>
      <c r="D115" s="86"/>
    </row>
    <row r="116" spans="2:4" ht="15">
      <c r="B116" s="123" t="s">
        <v>213</v>
      </c>
      <c r="C116" s="125"/>
      <c r="D116" s="125"/>
    </row>
    <row r="117" spans="2:4">
      <c r="B117" s="82" t="s">
        <v>214</v>
      </c>
      <c r="C117" s="86"/>
      <c r="D117" s="86">
        <v>25886.946292466855</v>
      </c>
    </row>
    <row r="118" spans="2:4">
      <c r="B118" s="77" t="s">
        <v>215</v>
      </c>
      <c r="C118" s="78"/>
      <c r="D118" s="78">
        <v>0.2</v>
      </c>
    </row>
    <row r="119" spans="2:4">
      <c r="B119" s="77"/>
      <c r="C119" s="78"/>
      <c r="D119" s="78"/>
    </row>
    <row r="120" spans="2:4" ht="15">
      <c r="B120" s="123" t="s">
        <v>263</v>
      </c>
      <c r="C120" s="125"/>
      <c r="D120" s="125"/>
    </row>
    <row r="121" spans="2:4">
      <c r="B121" s="80" t="s">
        <v>217</v>
      </c>
      <c r="C121" s="86"/>
      <c r="D121" s="86">
        <v>101881.66900017952</v>
      </c>
    </row>
    <row r="122" spans="2:4">
      <c r="B122" s="80" t="s">
        <v>264</v>
      </c>
      <c r="C122" s="78"/>
      <c r="D122" s="78">
        <v>0.59266166983742807</v>
      </c>
    </row>
    <row r="123" spans="2:4">
      <c r="B123" s="80" t="s">
        <v>265</v>
      </c>
      <c r="C123" s="78"/>
      <c r="D123" s="78">
        <v>0.19233464486936586</v>
      </c>
    </row>
    <row r="124" spans="2:4">
      <c r="B124" s="80" t="s">
        <v>266</v>
      </c>
      <c r="C124" s="78"/>
      <c r="D124" s="78">
        <v>0.22353726668722124</v>
      </c>
    </row>
    <row r="125" spans="2:4">
      <c r="B125" s="80"/>
      <c r="C125" s="78"/>
      <c r="D125" s="78"/>
    </row>
    <row r="126" spans="2:4" ht="15">
      <c r="B126" s="123" t="s">
        <v>267</v>
      </c>
      <c r="C126" s="125"/>
      <c r="D126" s="125"/>
    </row>
    <row r="127" spans="2:4">
      <c r="B127" s="80" t="s">
        <v>222</v>
      </c>
      <c r="C127" s="78"/>
      <c r="D127" s="78">
        <v>0.1089576723501461</v>
      </c>
    </row>
    <row r="128" spans="2:4">
      <c r="B128" s="80" t="s">
        <v>223</v>
      </c>
      <c r="C128" s="78"/>
      <c r="D128" s="78">
        <v>5.2103937587509051E-2</v>
      </c>
    </row>
    <row r="129" spans="2:4">
      <c r="B129" s="80" t="s">
        <v>224</v>
      </c>
      <c r="C129" s="78"/>
      <c r="D129" s="78">
        <v>0.40057060473543693</v>
      </c>
    </row>
    <row r="130" spans="2:4">
      <c r="B130" s="80" t="s">
        <v>225</v>
      </c>
      <c r="C130" s="86"/>
      <c r="D130" s="86">
        <v>13</v>
      </c>
    </row>
    <row r="131" spans="2:4">
      <c r="B131" s="80" t="s">
        <v>268</v>
      </c>
      <c r="C131" s="86"/>
      <c r="D131" s="86">
        <v>10</v>
      </c>
    </row>
    <row r="132" spans="2:4">
      <c r="B132" s="80" t="s">
        <v>227</v>
      </c>
      <c r="C132" s="86"/>
      <c r="D132" s="86">
        <v>19</v>
      </c>
    </row>
    <row r="133" spans="2:4">
      <c r="B133" s="80"/>
      <c r="C133" s="86"/>
      <c r="D133" s="86"/>
    </row>
    <row r="134" spans="2:4" ht="15">
      <c r="B134" s="123" t="s">
        <v>269</v>
      </c>
      <c r="C134" s="127"/>
      <c r="D134" s="127"/>
    </row>
    <row r="135" spans="2:4">
      <c r="B135" s="77" t="s">
        <v>270</v>
      </c>
      <c r="C135" s="87">
        <v>509737</v>
      </c>
      <c r="D135" s="87">
        <v>4537873.4598025791</v>
      </c>
    </row>
    <row r="136" spans="2:4">
      <c r="B136" s="77" t="s">
        <v>271</v>
      </c>
      <c r="C136" s="87">
        <v>499550</v>
      </c>
      <c r="D136" s="87">
        <v>4259343.5468025748</v>
      </c>
    </row>
    <row r="137" spans="2:4">
      <c r="B137" s="77"/>
      <c r="C137" s="88"/>
      <c r="D137" s="88"/>
    </row>
    <row r="138" spans="2:4">
      <c r="B138" s="77" t="s">
        <v>272</v>
      </c>
      <c r="C138" s="87">
        <v>1299550</v>
      </c>
      <c r="D138" s="87">
        <v>10683268.369676828</v>
      </c>
    </row>
    <row r="139" spans="2:4">
      <c r="B139" s="77"/>
      <c r="C139" s="89"/>
      <c r="D139" s="89"/>
    </row>
    <row r="140" spans="2:4">
      <c r="B140" s="77" t="s">
        <v>273</v>
      </c>
      <c r="C140" s="90">
        <v>50331.83779086078</v>
      </c>
      <c r="D140" s="90">
        <v>51053.754374343509</v>
      </c>
    </row>
    <row r="141" spans="2:4">
      <c r="B141" s="82" t="s">
        <v>274</v>
      </c>
      <c r="C141" s="83">
        <v>25656000000</v>
      </c>
      <c r="D141" s="83">
        <v>217455479234.40375</v>
      </c>
    </row>
    <row r="142" spans="2:4">
      <c r="B142" s="82"/>
      <c r="C142" s="83"/>
      <c r="D142" s="83"/>
    </row>
    <row r="143" spans="2:4">
      <c r="B143" s="82" t="s">
        <v>275</v>
      </c>
      <c r="C143" s="91">
        <v>37411.670503453104</v>
      </c>
      <c r="D143" s="91">
        <v>23432.348838173053</v>
      </c>
    </row>
    <row r="144" spans="2:4">
      <c r="B144" s="82" t="s">
        <v>276</v>
      </c>
      <c r="C144" s="86">
        <v>3142.8285456911221</v>
      </c>
      <c r="D144" s="86">
        <v>1424.4995833139417</v>
      </c>
    </row>
    <row r="145" spans="2:4">
      <c r="B145" s="82" t="s">
        <v>277</v>
      </c>
      <c r="C145" s="92">
        <v>40554.49904914423</v>
      </c>
      <c r="D145" s="92">
        <v>25307.367212914251</v>
      </c>
    </row>
    <row r="146" spans="2:4">
      <c r="B146" s="82" t="s">
        <v>278</v>
      </c>
      <c r="C146" s="93">
        <v>0.2103601496725912</v>
      </c>
      <c r="D146" s="93">
        <v>0.50429958534778818</v>
      </c>
    </row>
    <row r="147" spans="2:4">
      <c r="B147" s="82" t="s">
        <v>7</v>
      </c>
      <c r="C147" s="83">
        <v>6630000000</v>
      </c>
      <c r="D147" s="83">
        <v>109662708009.51437</v>
      </c>
    </row>
    <row r="148" spans="2:4">
      <c r="B148" s="82" t="s">
        <v>279</v>
      </c>
      <c r="C148" s="83">
        <v>3145000000</v>
      </c>
      <c r="D148" s="83">
        <v>23693442857.166161</v>
      </c>
    </row>
    <row r="149" spans="2:4">
      <c r="B149" s="82" t="s">
        <v>280</v>
      </c>
      <c r="C149" s="93">
        <v>9.9727295788939629E-2</v>
      </c>
      <c r="D149" s="93">
        <v>0.1089576723501461</v>
      </c>
    </row>
    <row r="150" spans="2:4">
      <c r="B150" s="82" t="s">
        <v>281</v>
      </c>
      <c r="C150" s="83">
        <v>1491000000</v>
      </c>
      <c r="D150" s="83">
        <v>11330286718.091244</v>
      </c>
    </row>
    <row r="151" spans="2:4">
      <c r="B151" s="82" t="s">
        <v>282</v>
      </c>
      <c r="C151" s="93">
        <v>4.7279299847792999E-2</v>
      </c>
      <c r="D151" s="93">
        <v>5.2103937587509051E-2</v>
      </c>
    </row>
    <row r="152" spans="2:4">
      <c r="B152" s="82"/>
      <c r="C152" s="94"/>
      <c r="D152" s="94"/>
    </row>
    <row r="153" spans="2:4">
      <c r="B153" s="82" t="s">
        <v>283</v>
      </c>
      <c r="C153" s="83">
        <v>1994000000</v>
      </c>
      <c r="D153" s="83">
        <v>74638978434.256958</v>
      </c>
    </row>
    <row r="154" spans="2:4">
      <c r="B154" s="82" t="s">
        <v>284</v>
      </c>
      <c r="C154" s="93">
        <v>6.3229325215626589E-2</v>
      </c>
      <c r="D154" s="93">
        <v>0.34323797541013301</v>
      </c>
    </row>
    <row r="155" spans="2:4">
      <c r="B155" s="82" t="s">
        <v>285</v>
      </c>
      <c r="C155" s="95">
        <v>17864000000</v>
      </c>
      <c r="D155" s="95">
        <v>67415923417.902161</v>
      </c>
    </row>
    <row r="156" spans="2:4">
      <c r="B156" s="82" t="s">
        <v>286</v>
      </c>
      <c r="C156" s="83">
        <v>-5117000000</v>
      </c>
      <c r="D156" s="83">
        <v>-25333527086.294796</v>
      </c>
    </row>
    <row r="157" spans="2:4">
      <c r="B157" s="82" t="s">
        <v>287</v>
      </c>
      <c r="C157" s="83">
        <v>1570000000</v>
      </c>
      <c r="D157" s="83">
        <v>6067433107.6111946</v>
      </c>
    </row>
    <row r="158" spans="2:4">
      <c r="B158" s="96" t="s">
        <v>288</v>
      </c>
      <c r="C158" s="83">
        <v>12747000000</v>
      </c>
      <c r="D158" s="83">
        <v>42082396331.607361</v>
      </c>
    </row>
    <row r="159" spans="2:4">
      <c r="B159" s="96"/>
      <c r="C159" s="83"/>
      <c r="D159" s="83"/>
    </row>
    <row r="160" spans="2:4">
      <c r="B160" s="96" t="s">
        <v>289</v>
      </c>
      <c r="C160" s="78">
        <v>8.7886251679355126E-2</v>
      </c>
      <c r="D160" s="78">
        <v>0.09</v>
      </c>
    </row>
    <row r="161" spans="2:4">
      <c r="B161" s="82" t="s">
        <v>290</v>
      </c>
      <c r="C161" s="97">
        <v>177.39261771125663</v>
      </c>
      <c r="D161" s="97">
        <v>20.929272585006238</v>
      </c>
    </row>
    <row r="162" spans="2:4">
      <c r="B162" s="82" t="s">
        <v>291</v>
      </c>
      <c r="C162" s="98">
        <v>12469000000</v>
      </c>
      <c r="D162" s="98">
        <v>12469000000</v>
      </c>
    </row>
    <row r="163" spans="2:4">
      <c r="B163" s="82" t="s">
        <v>292</v>
      </c>
      <c r="C163" s="98">
        <v>9556000000</v>
      </c>
      <c r="D163" s="98">
        <v>14509006096.780853</v>
      </c>
    </row>
    <row r="164" spans="2:4">
      <c r="B164" s="99" t="s">
        <v>293</v>
      </c>
      <c r="C164" s="100">
        <v>0.06</v>
      </c>
      <c r="D164" s="100">
        <v>4.9725059301614132E-2</v>
      </c>
    </row>
    <row r="165" spans="2:4">
      <c r="B165" s="82" t="s">
        <v>294</v>
      </c>
      <c r="C165" s="98">
        <v>19384000000</v>
      </c>
      <c r="D165" s="98">
        <v>133443691271.18176</v>
      </c>
    </row>
    <row r="166" spans="2:4">
      <c r="B166" s="82" t="s">
        <v>295</v>
      </c>
      <c r="C166" s="83">
        <v>1772071920</v>
      </c>
      <c r="D166" s="83">
        <v>0</v>
      </c>
    </row>
    <row r="167" spans="2:4">
      <c r="B167" s="82" t="s">
        <v>296</v>
      </c>
      <c r="C167" s="83">
        <v>17611928080</v>
      </c>
      <c r="D167" s="83">
        <v>133443691271.18176</v>
      </c>
    </row>
    <row r="168" spans="2:4">
      <c r="B168" s="82"/>
      <c r="C168" s="83"/>
      <c r="D168" s="83"/>
    </row>
    <row r="169" spans="2:4" ht="15">
      <c r="B169" s="123" t="s">
        <v>297</v>
      </c>
      <c r="C169" s="128"/>
      <c r="D169" s="128"/>
    </row>
    <row r="170" spans="2:4">
      <c r="B170" s="82" t="s">
        <v>298</v>
      </c>
      <c r="C170" s="101">
        <v>1.4843138567515991E-2</v>
      </c>
      <c r="D170" s="101">
        <v>0.47396357336029576</v>
      </c>
    </row>
    <row r="171" spans="2:4">
      <c r="B171" s="82" t="s">
        <v>299</v>
      </c>
      <c r="C171" s="87">
        <v>7414.8898714026136</v>
      </c>
      <c r="D171" s="87">
        <v>1336358.255395479</v>
      </c>
    </row>
    <row r="172" spans="2:4">
      <c r="B172" s="82" t="s">
        <v>300</v>
      </c>
      <c r="C172" s="87">
        <v>7414.8898714026136</v>
      </c>
      <c r="D172" s="87">
        <v>2023503.9255859952</v>
      </c>
    </row>
    <row r="173" spans="2:4">
      <c r="B173" s="82" t="s">
        <v>301</v>
      </c>
      <c r="C173" s="87">
        <v>93117560.167996079</v>
      </c>
      <c r="D173" s="87">
        <v>26677316802.147442</v>
      </c>
    </row>
    <row r="174" spans="2:4">
      <c r="B174" s="82" t="s">
        <v>302</v>
      </c>
      <c r="C174" s="87">
        <v>0</v>
      </c>
      <c r="D174" s="87">
        <v>51887588053.050224</v>
      </c>
    </row>
    <row r="175" spans="2:4">
      <c r="B175" s="82" t="s">
        <v>303</v>
      </c>
      <c r="C175" s="102">
        <v>0.18512984786726791</v>
      </c>
      <c r="D175" s="102">
        <v>0.19637775060095516</v>
      </c>
    </row>
    <row r="176" spans="2:4">
      <c r="B176" s="82" t="s">
        <v>304</v>
      </c>
      <c r="C176" s="103">
        <v>0.24021894204462169</v>
      </c>
      <c r="D176" s="103">
        <v>0.25247715584564651</v>
      </c>
    </row>
    <row r="177" spans="2:4">
      <c r="B177" s="82" t="s">
        <v>305</v>
      </c>
      <c r="C177" s="98">
        <v>17238839.747672278</v>
      </c>
      <c r="D177" s="98">
        <v>18339262120.999447</v>
      </c>
    </row>
    <row r="178" spans="2:4">
      <c r="B178" s="82" t="s">
        <v>306</v>
      </c>
      <c r="C178" s="101">
        <v>0.12041195548099945</v>
      </c>
      <c r="D178" s="101">
        <v>1</v>
      </c>
    </row>
    <row r="179" spans="2:4">
      <c r="B179" s="82" t="s">
        <v>307</v>
      </c>
      <c r="C179" s="98">
        <v>2075762.4042407982</v>
      </c>
      <c r="D179" s="98">
        <v>18339262120.999447</v>
      </c>
    </row>
    <row r="180" spans="2:4">
      <c r="B180" s="82" t="s">
        <v>308</v>
      </c>
      <c r="C180" s="103" t="s">
        <v>16</v>
      </c>
      <c r="D180" s="103">
        <v>0.10322819647703761</v>
      </c>
    </row>
    <row r="181" spans="2:4">
      <c r="B181" s="82" t="s">
        <v>309</v>
      </c>
      <c r="C181" s="103" t="s">
        <v>16</v>
      </c>
      <c r="D181" s="103">
        <v>0.13271748642522271</v>
      </c>
    </row>
    <row r="182" spans="2:4">
      <c r="B182" s="82" t="s">
        <v>310</v>
      </c>
      <c r="C182" s="98" t="s">
        <v>16</v>
      </c>
      <c r="D182" s="98">
        <v>9640241563.4004936</v>
      </c>
    </row>
    <row r="183" spans="2:4">
      <c r="B183" s="82" t="s">
        <v>311</v>
      </c>
      <c r="C183" s="101" t="s">
        <v>16</v>
      </c>
      <c r="D183" s="101">
        <v>0.52566136520628581</v>
      </c>
    </row>
    <row r="184" spans="2:4">
      <c r="B184" s="82" t="s">
        <v>312</v>
      </c>
      <c r="C184" s="101" t="s">
        <v>16</v>
      </c>
      <c r="D184" s="101">
        <v>0.47433863479371419</v>
      </c>
    </row>
    <row r="185" spans="2:4">
      <c r="B185" s="82" t="s">
        <v>283</v>
      </c>
      <c r="C185" s="83">
        <v>2075762.4042407982</v>
      </c>
      <c r="D185" s="83">
        <v>8699020557.5989532</v>
      </c>
    </row>
    <row r="186" spans="2:4">
      <c r="B186" s="82"/>
      <c r="C186" s="83"/>
      <c r="D186" s="83"/>
    </row>
    <row r="187" spans="2:4" ht="15">
      <c r="B187" s="129" t="s">
        <v>313</v>
      </c>
      <c r="C187" s="130"/>
      <c r="D187" s="130"/>
    </row>
    <row r="188" spans="2:4" ht="15">
      <c r="B188" s="132"/>
      <c r="C188" s="133"/>
      <c r="D188" s="133"/>
    </row>
    <row r="189" spans="2:4" ht="15">
      <c r="B189" s="156" t="s">
        <v>314</v>
      </c>
      <c r="C189" s="157"/>
      <c r="D189" s="157"/>
    </row>
    <row r="190" spans="2:4">
      <c r="B190" s="82" t="s">
        <v>315</v>
      </c>
      <c r="C190" s="104">
        <v>0</v>
      </c>
      <c r="D190" s="104">
        <v>0.33803463776245546</v>
      </c>
    </row>
    <row r="191" spans="2:4">
      <c r="B191" s="82" t="s">
        <v>316</v>
      </c>
      <c r="C191" s="105"/>
      <c r="D191" s="105">
        <v>0</v>
      </c>
    </row>
    <row r="192" spans="2:4">
      <c r="B192" s="82" t="s">
        <v>317</v>
      </c>
      <c r="C192" s="87">
        <v>0</v>
      </c>
      <c r="D192" s="87">
        <v>1439806</v>
      </c>
    </row>
    <row r="193" spans="2:4">
      <c r="B193" s="82" t="s">
        <v>318</v>
      </c>
      <c r="C193" s="87">
        <v>0</v>
      </c>
      <c r="D193" s="87">
        <v>2004392</v>
      </c>
    </row>
    <row r="194" spans="2:4">
      <c r="B194" s="82" t="s">
        <v>319</v>
      </c>
      <c r="C194" s="87">
        <v>33192.028423618576</v>
      </c>
      <c r="D194" s="87">
        <v>25886.946292466855</v>
      </c>
    </row>
    <row r="195" spans="2:4">
      <c r="B195" s="82" t="s">
        <v>320</v>
      </c>
      <c r="C195" s="87">
        <v>0</v>
      </c>
      <c r="D195" s="87">
        <v>51887588053.050224</v>
      </c>
    </row>
    <row r="196" spans="2:4">
      <c r="B196" s="82" t="s">
        <v>321</v>
      </c>
      <c r="C196" s="105">
        <v>0.2</v>
      </c>
      <c r="D196" s="105">
        <v>0.2</v>
      </c>
    </row>
    <row r="197" spans="2:4">
      <c r="B197" s="82"/>
      <c r="C197" s="105"/>
      <c r="D197" s="105"/>
    </row>
    <row r="198" spans="2:4" ht="15">
      <c r="B198" s="156" t="s">
        <v>149</v>
      </c>
      <c r="C198" s="157"/>
      <c r="D198" s="157"/>
    </row>
    <row r="199" spans="2:4">
      <c r="B199" s="82" t="s">
        <v>322</v>
      </c>
      <c r="C199" s="106">
        <v>1099550</v>
      </c>
      <c r="D199" s="106">
        <v>10483268.369676828</v>
      </c>
    </row>
    <row r="200" spans="2:4">
      <c r="B200" s="82" t="s">
        <v>266</v>
      </c>
      <c r="C200" s="107">
        <v>0.28046315414741529</v>
      </c>
      <c r="D200" s="107">
        <v>0.22353726668722124</v>
      </c>
    </row>
    <row r="201" spans="2:4">
      <c r="B201" s="82" t="s">
        <v>323</v>
      </c>
      <c r="C201" s="107"/>
      <c r="D201" s="107">
        <v>0</v>
      </c>
    </row>
    <row r="202" spans="2:4">
      <c r="B202" s="82" t="s">
        <v>324</v>
      </c>
      <c r="C202" s="106"/>
      <c r="D202" s="106">
        <v>0</v>
      </c>
    </row>
    <row r="203" spans="2:4">
      <c r="B203" s="82" t="s">
        <v>325</v>
      </c>
      <c r="C203" s="108"/>
      <c r="D203" s="108">
        <v>101881.66900017952</v>
      </c>
    </row>
    <row r="204" spans="2:4">
      <c r="B204" s="82" t="s">
        <v>326</v>
      </c>
      <c r="C204" s="109"/>
      <c r="D204" s="109">
        <v>0</v>
      </c>
    </row>
    <row r="205" spans="2:4">
      <c r="B205" s="82" t="s">
        <v>327</v>
      </c>
      <c r="C205" s="107"/>
      <c r="D205" s="107">
        <v>0.59266166983742807</v>
      </c>
    </row>
    <row r="206" spans="2:4">
      <c r="B206" s="82" t="s">
        <v>328</v>
      </c>
      <c r="C206" s="107"/>
      <c r="D206" s="107">
        <v>0.19233464486936586</v>
      </c>
    </row>
    <row r="207" spans="2:4" ht="15">
      <c r="B207" s="156" t="s">
        <v>329</v>
      </c>
      <c r="C207" s="157"/>
      <c r="D207" s="157"/>
    </row>
    <row r="208" spans="2:4">
      <c r="B208" s="77" t="s">
        <v>330</v>
      </c>
      <c r="C208" s="110">
        <v>0</v>
      </c>
      <c r="D208" s="110">
        <v>51887588053.050224</v>
      </c>
    </row>
    <row r="209" spans="2:4">
      <c r="B209" s="82" t="s">
        <v>331</v>
      </c>
      <c r="C209" s="111">
        <v>4</v>
      </c>
      <c r="D209" s="111">
        <v>1.9839849121794655</v>
      </c>
    </row>
    <row r="210" spans="2:4">
      <c r="B210" s="112" t="s">
        <v>332</v>
      </c>
      <c r="C210" s="113">
        <v>0</v>
      </c>
      <c r="D210" s="113">
        <v>102944191826.63513</v>
      </c>
    </row>
    <row r="211" spans="2:4">
      <c r="B211" s="82" t="s">
        <v>333</v>
      </c>
      <c r="C211" s="83">
        <v>0</v>
      </c>
      <c r="D211" s="83">
        <v>20588838365.32703</v>
      </c>
    </row>
    <row r="212" spans="2:4">
      <c r="B212" s="82" t="s">
        <v>334</v>
      </c>
      <c r="C212" s="105">
        <v>0.45114326592197301</v>
      </c>
      <c r="D212" s="105">
        <v>0.40057060473543693</v>
      </c>
    </row>
    <row r="213" spans="2:4">
      <c r="B213" s="82" t="s">
        <v>335</v>
      </c>
      <c r="C213" s="83">
        <v>0</v>
      </c>
      <c r="D213" s="83">
        <v>8247283434.7992134</v>
      </c>
    </row>
    <row r="214" spans="2:4">
      <c r="B214" s="82" t="s">
        <v>336</v>
      </c>
      <c r="C214" s="83">
        <v>0</v>
      </c>
      <c r="D214" s="83">
        <v>6187730089.9667606</v>
      </c>
    </row>
    <row r="215" spans="2:4">
      <c r="B215" s="82"/>
      <c r="C215" s="83"/>
      <c r="D215" s="83"/>
    </row>
    <row r="216" spans="2:4" ht="15">
      <c r="B216" s="129" t="s">
        <v>337</v>
      </c>
      <c r="C216" s="131"/>
      <c r="D216" s="131"/>
    </row>
    <row r="217" spans="2:4">
      <c r="B217" s="114" t="s">
        <v>6</v>
      </c>
      <c r="C217" s="83">
        <v>31536000000</v>
      </c>
      <c r="D217" s="83">
        <v>256383579720.73022</v>
      </c>
    </row>
    <row r="218" spans="2:4">
      <c r="B218" s="114" t="s">
        <v>338</v>
      </c>
      <c r="C218" s="83">
        <v>1994000000</v>
      </c>
      <c r="D218" s="83">
        <v>91585282426.655121</v>
      </c>
    </row>
    <row r="219" spans="2:4">
      <c r="B219" s="114" t="s">
        <v>339</v>
      </c>
      <c r="C219" s="83">
        <v>4316000000</v>
      </c>
      <c r="D219" s="83">
        <v>97652715534.266312</v>
      </c>
    </row>
    <row r="220" spans="2:4">
      <c r="B220" s="114" t="s">
        <v>340</v>
      </c>
      <c r="C220" s="85">
        <v>2.2140871177015757</v>
      </c>
      <c r="D220" s="85">
        <v>0.14857759988957653</v>
      </c>
    </row>
    <row r="221" spans="2:4">
      <c r="B221" s="114" t="s">
        <v>341</v>
      </c>
      <c r="C221" s="83">
        <v>573360000</v>
      </c>
      <c r="D221" s="83">
        <v>721461188.56990886</v>
      </c>
    </row>
    <row r="222" spans="2:4">
      <c r="B222" s="114" t="s">
        <v>342</v>
      </c>
      <c r="C222" s="85">
        <v>0.74966658821683529</v>
      </c>
      <c r="D222" s="85">
        <v>0.34477613828001968</v>
      </c>
    </row>
    <row r="223" spans="2:4">
      <c r="B223" s="114" t="s">
        <v>343</v>
      </c>
      <c r="C223" s="83">
        <v>2706512000</v>
      </c>
      <c r="D223" s="83">
        <v>78758490098.079346</v>
      </c>
    </row>
    <row r="224" spans="2:4">
      <c r="B224" s="114"/>
      <c r="C224" s="83"/>
      <c r="D224" s="83"/>
    </row>
    <row r="225" spans="2:4">
      <c r="B225" s="114" t="s">
        <v>344</v>
      </c>
      <c r="C225" s="93">
        <v>0.2102359208523592</v>
      </c>
      <c r="D225" s="93">
        <v>0.49197292135155135</v>
      </c>
    </row>
    <row r="226" spans="2:4">
      <c r="B226" s="114" t="s">
        <v>345</v>
      </c>
      <c r="C226" s="115">
        <v>0.13685946220192796</v>
      </c>
      <c r="D226" s="115">
        <v>0.38088521753474242</v>
      </c>
    </row>
    <row r="227" spans="2:4">
      <c r="B227" s="114" t="s">
        <v>346</v>
      </c>
      <c r="C227" s="116"/>
      <c r="D227" s="116">
        <v>10</v>
      </c>
    </row>
    <row r="228" spans="2:4">
      <c r="B228" s="82" t="s">
        <v>347</v>
      </c>
      <c r="C228" s="116"/>
      <c r="D228" s="116">
        <v>13</v>
      </c>
    </row>
    <row r="229" spans="2:4">
      <c r="B229" s="82" t="s">
        <v>348</v>
      </c>
      <c r="C229" s="116"/>
      <c r="D229" s="116">
        <v>19</v>
      </c>
    </row>
    <row r="230" spans="2:4">
      <c r="B230" s="82" t="s">
        <v>153</v>
      </c>
      <c r="C230" s="98">
        <v>697887000000</v>
      </c>
      <c r="D230" s="98">
        <v>1292871940881.4604</v>
      </c>
    </row>
    <row r="231" spans="2:4">
      <c r="B231" s="82" t="s">
        <v>349</v>
      </c>
      <c r="C231" s="98">
        <v>700800000000</v>
      </c>
      <c r="D231" s="208">
        <v>1424275626055.8613</v>
      </c>
    </row>
    <row r="232" spans="2:4">
      <c r="B232" s="82" t="s">
        <v>350</v>
      </c>
      <c r="C232" s="83">
        <v>960000000</v>
      </c>
      <c r="D232" s="208">
        <v>965721694.95880866</v>
      </c>
    </row>
    <row r="233" spans="2:4">
      <c r="B233" s="82" t="s">
        <v>351</v>
      </c>
      <c r="C233" s="117">
        <v>730</v>
      </c>
      <c r="D233" s="208">
        <v>1474.8303092814037</v>
      </c>
    </row>
    <row r="234" spans="2:4">
      <c r="B234" s="82" t="s">
        <v>352</v>
      </c>
      <c r="C234" s="118"/>
      <c r="D234" s="118">
        <v>5.5297225240158933E-2</v>
      </c>
    </row>
    <row r="235" spans="2:4">
      <c r="B235" s="82" t="s">
        <v>353</v>
      </c>
      <c r="C235" s="118"/>
      <c r="D235" s="118">
        <v>0.15102256782291201</v>
      </c>
    </row>
    <row r="238" spans="2:4">
      <c r="B238" s="72" t="s">
        <v>374</v>
      </c>
      <c r="C238" s="14"/>
      <c r="D238" s="14"/>
    </row>
    <row r="240" spans="2:4">
      <c r="B240" s="11" t="s">
        <v>357</v>
      </c>
      <c r="D240" s="12">
        <v>9238.8909985458522</v>
      </c>
    </row>
    <row r="241" spans="2:5">
      <c r="D241" s="12"/>
    </row>
    <row r="242" spans="2:5">
      <c r="B242" s="11" t="s">
        <v>358</v>
      </c>
      <c r="D242" s="33">
        <v>9286701.583977269</v>
      </c>
    </row>
    <row r="243" spans="2:5">
      <c r="B243" s="11" t="s">
        <v>359</v>
      </c>
      <c r="D243" s="11">
        <v>39304.722895583465</v>
      </c>
    </row>
    <row r="244" spans="2:5">
      <c r="B244" s="11" t="s">
        <v>364</v>
      </c>
      <c r="D244" s="12">
        <v>316660.01804086496</v>
      </c>
      <c r="E244" s="34"/>
    </row>
    <row r="245" spans="2:5">
      <c r="B245" s="11" t="s">
        <v>360</v>
      </c>
      <c r="D245" s="35">
        <v>0.3957047080184668</v>
      </c>
    </row>
    <row r="246" spans="2:5">
      <c r="B246" s="11" t="s">
        <v>365</v>
      </c>
      <c r="D246" s="12">
        <v>88234.776188573203</v>
      </c>
      <c r="E246" s="34"/>
    </row>
    <row r="247" spans="2:5">
      <c r="B247" s="11" t="s">
        <v>366</v>
      </c>
      <c r="D247" s="12">
        <v>13192.357436650291</v>
      </c>
      <c r="E247" s="34"/>
    </row>
    <row r="248" spans="2:5">
      <c r="B248" s="11" t="s">
        <v>361</v>
      </c>
      <c r="D248" s="12">
        <v>20191510.492983669</v>
      </c>
    </row>
    <row r="249" spans="2:5">
      <c r="B249" s="11" t="s">
        <v>367</v>
      </c>
      <c r="D249" s="12">
        <v>16850.226839590327</v>
      </c>
      <c r="E249" s="34"/>
    </row>
    <row r="250" spans="2:5">
      <c r="B250" s="11" t="s">
        <v>368</v>
      </c>
      <c r="D250" s="12">
        <v>150362.84100361099</v>
      </c>
      <c r="E250" s="34"/>
    </row>
    <row r="251" spans="2:5">
      <c r="B251" s="11" t="s">
        <v>369</v>
      </c>
      <c r="D251" s="12">
        <v>497065.44332071365</v>
      </c>
      <c r="E251" s="34"/>
    </row>
    <row r="252" spans="2:5">
      <c r="D252" s="12"/>
      <c r="E252" s="34"/>
    </row>
    <row r="253" spans="2:5">
      <c r="B253" s="11" t="s">
        <v>370</v>
      </c>
      <c r="D253" s="12">
        <v>171861.3906164369</v>
      </c>
      <c r="E253" s="34"/>
    </row>
    <row r="254" spans="2:5">
      <c r="B254" s="11" t="s">
        <v>371</v>
      </c>
      <c r="D254" s="11">
        <v>0.34217438267675299</v>
      </c>
    </row>
    <row r="255" spans="2:5">
      <c r="B255" s="11" t="s">
        <v>362</v>
      </c>
      <c r="D255" s="11">
        <v>15.751591510028499</v>
      </c>
    </row>
    <row r="257" spans="2:5" ht="15">
      <c r="B257" s="13" t="s">
        <v>372</v>
      </c>
      <c r="D257" s="15">
        <v>2932131.9186398443</v>
      </c>
      <c r="E257" s="34"/>
    </row>
    <row r="258" spans="2:5">
      <c r="B258" s="11" t="s">
        <v>373</v>
      </c>
      <c r="D258" s="208">
        <v>3043.1950064153234</v>
      </c>
    </row>
    <row r="259" spans="2:5">
      <c r="B259" s="11" t="s">
        <v>363</v>
      </c>
      <c r="D259" s="35">
        <v>4.8106977254520754E-2</v>
      </c>
    </row>
    <row r="265" spans="2:5">
      <c r="D265" s="35"/>
    </row>
  </sheetData>
  <mergeCells count="2">
    <mergeCell ref="B61:G61"/>
    <mergeCell ref="B71:F7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D7" sqref="D7"/>
    </sheetView>
  </sheetViews>
  <sheetFormatPr baseColWidth="10" defaultRowHeight="15"/>
  <cols>
    <col min="1" max="16384" width="11.42578125" style="16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B17" sqref="B17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APILA Capital</vt:lpstr>
      <vt:lpstr>Morgan Stanley</vt:lpstr>
      <vt:lpstr>ARK Invest</vt:lpstr>
      <vt:lpstr>Rob Maurer</vt:lpstr>
      <vt:lpstr>Muddy Waters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  1</dc:creator>
  <cp:lastModifiedBy>maquina  1</cp:lastModifiedBy>
  <dcterms:created xsi:type="dcterms:W3CDTF">2021-03-30T13:15:38Z</dcterms:created>
  <dcterms:modified xsi:type="dcterms:W3CDTF">2021-04-05T20:15:54Z</dcterms:modified>
</cp:coreProperties>
</file>