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ersonal\Desktop\"/>
    </mc:Choice>
  </mc:AlternateContent>
  <bookViews>
    <workbookView xWindow="0" yWindow="0" windowWidth="15375" windowHeight="7530" activeTab="2"/>
  </bookViews>
  <sheets>
    <sheet name="Intro" sheetId="6" r:id="rId1"/>
    <sheet name="APILA Capital" sheetId="1" r:id="rId2"/>
    <sheet name="Morgan Stanley" sheetId="2" r:id="rId3"/>
    <sheet name="ARK Invest" sheetId="3" r:id="rId4"/>
    <sheet name="Rob Maurer" sheetId="4" r:id="rId5"/>
    <sheet name="Muddy Waters" sheetId="5" r:id="rId6"/>
  </sheets>
  <definedNames>
    <definedName name="tabla" localSheetId="2">'Morgan Stanley'!$B$130:$AB$143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78" i="1" l="1"/>
  <c r="E49" i="1"/>
  <c r="F49" i="1"/>
  <c r="G49" i="1"/>
  <c r="H49" i="1"/>
  <c r="I49" i="1"/>
  <c r="J49" i="1"/>
  <c r="K49" i="1"/>
  <c r="D49" i="1"/>
  <c r="E50" i="1"/>
  <c r="F50" i="1"/>
  <c r="G50" i="1"/>
  <c r="H50" i="1"/>
  <c r="I50" i="1"/>
  <c r="J50" i="1"/>
  <c r="K50" i="1"/>
  <c r="D50" i="1"/>
  <c r="D48" i="1" s="1"/>
  <c r="L42" i="1"/>
  <c r="L50" i="1" s="1"/>
  <c r="L41" i="1"/>
  <c r="L49" i="1" s="1"/>
  <c r="E206" i="1"/>
  <c r="F206" i="1"/>
  <c r="G206" i="1"/>
  <c r="H206" i="1"/>
  <c r="I206" i="1"/>
  <c r="J206" i="1"/>
  <c r="K206" i="1"/>
  <c r="L206" i="1"/>
  <c r="M206" i="1"/>
  <c r="D206" i="1"/>
  <c r="M159" i="1"/>
  <c r="E159" i="1"/>
  <c r="F159" i="1"/>
  <c r="G159" i="1"/>
  <c r="H159" i="1"/>
  <c r="I159" i="1"/>
  <c r="J159" i="1"/>
  <c r="K159" i="1"/>
  <c r="L159" i="1"/>
  <c r="D159" i="1"/>
  <c r="D117" i="1"/>
  <c r="D145" i="1" s="1"/>
  <c r="D111" i="1"/>
  <c r="D140" i="1" s="1"/>
  <c r="E91" i="1"/>
  <c r="F91" i="1"/>
  <c r="G91" i="1"/>
  <c r="H91" i="1"/>
  <c r="I91" i="1"/>
  <c r="J91" i="1"/>
  <c r="K91" i="1"/>
  <c r="L91" i="1"/>
  <c r="M91" i="1"/>
  <c r="D91" i="1"/>
  <c r="G78" i="1"/>
  <c r="G81" i="1" s="1"/>
  <c r="G117" i="1" s="1"/>
  <c r="H78" i="1"/>
  <c r="H81" i="1" s="1"/>
  <c r="H117" i="1" s="1"/>
  <c r="I78" i="1"/>
  <c r="I81" i="1" s="1"/>
  <c r="I117" i="1" s="1"/>
  <c r="J78" i="1"/>
  <c r="J81" i="1" s="1"/>
  <c r="J117" i="1" s="1"/>
  <c r="K78" i="1"/>
  <c r="K81" i="1" s="1"/>
  <c r="K117" i="1" s="1"/>
  <c r="L78" i="1"/>
  <c r="L81" i="1" s="1"/>
  <c r="L117" i="1" s="1"/>
  <c r="M78" i="1"/>
  <c r="M81" i="1" s="1"/>
  <c r="M117" i="1" s="1"/>
  <c r="F78" i="1"/>
  <c r="F81" i="1" s="1"/>
  <c r="F117" i="1" s="1"/>
  <c r="E78" i="1"/>
  <c r="E81" i="1" s="1"/>
  <c r="E117" i="1" s="1"/>
  <c r="F76" i="1"/>
  <c r="G76" i="1" s="1"/>
  <c r="H76" i="1" s="1"/>
  <c r="I76" i="1" s="1"/>
  <c r="J76" i="1" s="1"/>
  <c r="K76" i="1" s="1"/>
  <c r="L76" i="1" s="1"/>
  <c r="M76" i="1" s="1"/>
  <c r="F66" i="1"/>
  <c r="G66" i="1"/>
  <c r="H66" i="1"/>
  <c r="I66" i="1"/>
  <c r="J66" i="1"/>
  <c r="K66" i="1"/>
  <c r="L66" i="1"/>
  <c r="M66" i="1"/>
  <c r="E66" i="1"/>
  <c r="E68" i="1" s="1"/>
  <c r="M68" i="1"/>
  <c r="F68" i="1"/>
  <c r="G68" i="1"/>
  <c r="H68" i="1"/>
  <c r="I68" i="1"/>
  <c r="J68" i="1"/>
  <c r="K68" i="1"/>
  <c r="L68" i="1"/>
  <c r="E69" i="1"/>
  <c r="F69" i="1"/>
  <c r="G69" i="1"/>
  <c r="H69" i="1"/>
  <c r="I69" i="1"/>
  <c r="J69" i="1"/>
  <c r="K69" i="1"/>
  <c r="L69" i="1"/>
  <c r="M69" i="1"/>
  <c r="L48" i="1" l="1"/>
  <c r="I48" i="1"/>
  <c r="G48" i="1"/>
  <c r="E48" i="1"/>
  <c r="M42" i="1"/>
  <c r="M50" i="1" s="1"/>
  <c r="H48" i="1"/>
  <c r="F48" i="1"/>
  <c r="M41" i="1"/>
  <c r="M49" i="1" s="1"/>
  <c r="J48" i="1"/>
  <c r="K48" i="1"/>
  <c r="L145" i="1"/>
  <c r="J145" i="1"/>
  <c r="H145" i="1"/>
  <c r="F145" i="1"/>
  <c r="M145" i="1"/>
  <c r="K145" i="1"/>
  <c r="I145" i="1"/>
  <c r="G145" i="1"/>
  <c r="E145" i="1"/>
  <c r="L72" i="1"/>
  <c r="J72" i="1"/>
  <c r="H72" i="1"/>
  <c r="F72" i="1"/>
  <c r="E72" i="1"/>
  <c r="K72" i="1"/>
  <c r="I72" i="1"/>
  <c r="G72" i="1"/>
  <c r="M72" i="1"/>
  <c r="M48" i="1" l="1"/>
  <c r="G111" i="1"/>
  <c r="G140" i="1" s="1"/>
  <c r="K111" i="1"/>
  <c r="K140" i="1" s="1"/>
  <c r="F111" i="1"/>
  <c r="F140" i="1" s="1"/>
  <c r="J111" i="1"/>
  <c r="J140" i="1" s="1"/>
  <c r="M111" i="1"/>
  <c r="M140" i="1" s="1"/>
  <c r="I111" i="1"/>
  <c r="I140" i="1" s="1"/>
  <c r="E111" i="1"/>
  <c r="E140" i="1" s="1"/>
  <c r="H111" i="1"/>
  <c r="H140" i="1" s="1"/>
  <c r="L111" i="1"/>
  <c r="L140" i="1" s="1"/>
  <c r="D60" i="1" l="1"/>
  <c r="E57" i="1"/>
  <c r="E60" i="1" s="1"/>
  <c r="E105" i="1" l="1"/>
  <c r="E136" i="1" s="1"/>
  <c r="E291" i="1" s="1"/>
  <c r="D105" i="1"/>
  <c r="D136" i="1" s="1"/>
  <c r="D291" i="1" s="1"/>
  <c r="F57" i="1"/>
  <c r="E18" i="1"/>
  <c r="E20" i="1" s="1"/>
  <c r="F18" i="1"/>
  <c r="F20" i="1" s="1"/>
  <c r="G18" i="1"/>
  <c r="G20" i="1" s="1"/>
  <c r="H18" i="1"/>
  <c r="H20" i="1" s="1"/>
  <c r="I18" i="1"/>
  <c r="I20" i="1" s="1"/>
  <c r="J18" i="1"/>
  <c r="K18" i="1"/>
  <c r="K20" i="1" s="1"/>
  <c r="L18" i="1"/>
  <c r="L20" i="1" s="1"/>
  <c r="M18" i="1"/>
  <c r="M20" i="1" s="1"/>
  <c r="D18" i="1"/>
  <c r="D20" i="1" s="1"/>
  <c r="E40" i="1"/>
  <c r="F40" i="1"/>
  <c r="G40" i="1"/>
  <c r="H40" i="1"/>
  <c r="I40" i="1"/>
  <c r="J40" i="1"/>
  <c r="K40" i="1"/>
  <c r="L40" i="1"/>
  <c r="M40" i="1"/>
  <c r="D40" i="1"/>
  <c r="F36" i="1"/>
  <c r="G36" i="1"/>
  <c r="H36" i="1"/>
  <c r="I36" i="1"/>
  <c r="J36" i="1"/>
  <c r="K36" i="1"/>
  <c r="L36" i="1"/>
  <c r="M36" i="1"/>
  <c r="E36" i="1"/>
  <c r="D36" i="1"/>
  <c r="E35" i="1"/>
  <c r="F35" i="1"/>
  <c r="G35" i="1"/>
  <c r="H35" i="1"/>
  <c r="I35" i="1"/>
  <c r="J35" i="1"/>
  <c r="K35" i="1"/>
  <c r="L35" i="1"/>
  <c r="M35" i="1"/>
  <c r="D35" i="1"/>
  <c r="E26" i="1"/>
  <c r="F26" i="1"/>
  <c r="G26" i="1"/>
  <c r="H26" i="1"/>
  <c r="I26" i="1"/>
  <c r="J26" i="1"/>
  <c r="K26" i="1"/>
  <c r="L26" i="1"/>
  <c r="M26" i="1"/>
  <c r="D26" i="1"/>
  <c r="E34" i="1"/>
  <c r="J20" i="1"/>
  <c r="E298" i="1"/>
  <c r="F298" i="1"/>
  <c r="G298" i="1"/>
  <c r="H298" i="1"/>
  <c r="I298" i="1"/>
  <c r="J298" i="1"/>
  <c r="K298" i="1"/>
  <c r="L298" i="1"/>
  <c r="M298" i="1"/>
  <c r="D298" i="1"/>
  <c r="G278" i="1"/>
  <c r="E278" i="1"/>
  <c r="F278" i="1"/>
  <c r="H278" i="1"/>
  <c r="I278" i="1"/>
  <c r="J278" i="1"/>
  <c r="K278" i="1"/>
  <c r="L278" i="1"/>
  <c r="D278" i="1"/>
  <c r="D332" i="1"/>
  <c r="D311" i="1"/>
  <c r="E311" i="1"/>
  <c r="E332" i="1"/>
  <c r="D341" i="1"/>
  <c r="F318" i="1"/>
  <c r="E318" i="1"/>
  <c r="G318" i="1"/>
  <c r="H318" i="1"/>
  <c r="I318" i="1"/>
  <c r="J318" i="1"/>
  <c r="K318" i="1"/>
  <c r="L318" i="1"/>
  <c r="M318" i="1"/>
  <c r="D318" i="1"/>
  <c r="F311" i="1"/>
  <c r="G311" i="1"/>
  <c r="H311" i="1"/>
  <c r="I311" i="1"/>
  <c r="J311" i="1"/>
  <c r="K311" i="1"/>
  <c r="L311" i="1"/>
  <c r="M311" i="1"/>
  <c r="F332" i="1"/>
  <c r="G332" i="1"/>
  <c r="H332" i="1"/>
  <c r="I332" i="1"/>
  <c r="J332" i="1"/>
  <c r="K332" i="1"/>
  <c r="L332" i="1"/>
  <c r="M332" i="1"/>
  <c r="C239" i="1"/>
  <c r="D245" i="1" s="1"/>
  <c r="E258" i="1"/>
  <c r="F258" i="1"/>
  <c r="G258" i="1"/>
  <c r="H258" i="1"/>
  <c r="I258" i="1"/>
  <c r="J258" i="1"/>
  <c r="K258" i="1"/>
  <c r="L258" i="1"/>
  <c r="M258" i="1"/>
  <c r="D258" i="1"/>
  <c r="L93" i="1" l="1"/>
  <c r="L125" i="1" s="1"/>
  <c r="M93" i="1"/>
  <c r="M125" i="1" s="1"/>
  <c r="K93" i="1"/>
  <c r="K125" i="1" s="1"/>
  <c r="I93" i="1"/>
  <c r="I125" i="1" s="1"/>
  <c r="G93" i="1"/>
  <c r="G125" i="1" s="1"/>
  <c r="E93" i="1"/>
  <c r="E125" i="1" s="1"/>
  <c r="J93" i="1"/>
  <c r="J125" i="1" s="1"/>
  <c r="D93" i="1"/>
  <c r="D125" i="1" s="1"/>
  <c r="H93" i="1"/>
  <c r="H125" i="1" s="1"/>
  <c r="F93" i="1"/>
  <c r="F125" i="1" s="1"/>
  <c r="L34" i="1"/>
  <c r="L53" i="1" s="1"/>
  <c r="K34" i="1"/>
  <c r="J34" i="1"/>
  <c r="J53" i="1" s="1"/>
  <c r="F34" i="1"/>
  <c r="F53" i="1" s="1"/>
  <c r="E53" i="1"/>
  <c r="K53" i="1"/>
  <c r="G57" i="1"/>
  <c r="F60" i="1"/>
  <c r="F105" i="1" s="1"/>
  <c r="H34" i="1"/>
  <c r="H53" i="1" s="1"/>
  <c r="M34" i="1"/>
  <c r="M53" i="1" s="1"/>
  <c r="I34" i="1"/>
  <c r="I53" i="1" s="1"/>
  <c r="G34" i="1"/>
  <c r="G53" i="1" s="1"/>
  <c r="D34" i="1"/>
  <c r="D53" i="1" s="1"/>
  <c r="D243" i="1"/>
  <c r="D244" i="1"/>
  <c r="D246" i="1"/>
  <c r="D342" i="1" l="1"/>
  <c r="D321" i="1"/>
  <c r="F85" i="1"/>
  <c r="F136" i="1"/>
  <c r="F291" i="1" s="1"/>
  <c r="H251" i="1"/>
  <c r="J251" i="1"/>
  <c r="G251" i="1"/>
  <c r="K251" i="1"/>
  <c r="L251" i="1"/>
  <c r="F251" i="1"/>
  <c r="D251" i="1"/>
  <c r="E251" i="1"/>
  <c r="I251" i="1"/>
  <c r="M251" i="1"/>
  <c r="G107" i="1"/>
  <c r="G99" i="1"/>
  <c r="M107" i="1"/>
  <c r="M99" i="1"/>
  <c r="K107" i="1"/>
  <c r="K99" i="1"/>
  <c r="F107" i="1"/>
  <c r="F99" i="1"/>
  <c r="F119" i="1" s="1"/>
  <c r="D85" i="1"/>
  <c r="D99" i="1"/>
  <c r="D119" i="1" s="1"/>
  <c r="I107" i="1"/>
  <c r="I99" i="1"/>
  <c r="H107" i="1"/>
  <c r="H99" i="1"/>
  <c r="E85" i="1"/>
  <c r="E99" i="1"/>
  <c r="E119" i="1" s="1"/>
  <c r="J107" i="1"/>
  <c r="J99" i="1"/>
  <c r="L107" i="1"/>
  <c r="L99" i="1"/>
  <c r="E107" i="1"/>
  <c r="H57" i="1"/>
  <c r="G60" i="1"/>
  <c r="G105" i="1" s="1"/>
  <c r="G119" i="1" l="1"/>
  <c r="L131" i="1"/>
  <c r="L271" i="1" s="1"/>
  <c r="E131" i="1"/>
  <c r="D131" i="1"/>
  <c r="D271" i="1" s="1"/>
  <c r="K131" i="1"/>
  <c r="K271" i="1" s="1"/>
  <c r="G131" i="1"/>
  <c r="G271" i="1" s="1"/>
  <c r="G85" i="1"/>
  <c r="G136" i="1"/>
  <c r="J131" i="1"/>
  <c r="J271" i="1" s="1"/>
  <c r="H131" i="1"/>
  <c r="H271" i="1" s="1"/>
  <c r="F131" i="1"/>
  <c r="M131" i="1"/>
  <c r="M271" i="1" s="1"/>
  <c r="I131" i="1"/>
  <c r="I271" i="1" s="1"/>
  <c r="I57" i="1"/>
  <c r="H60" i="1"/>
  <c r="H105" i="1" s="1"/>
  <c r="H119" i="1" s="1"/>
  <c r="F148" i="1" l="1"/>
  <c r="F220" i="1" s="1"/>
  <c r="F312" i="1" s="1"/>
  <c r="F313" i="1" s="1"/>
  <c r="F271" i="1"/>
  <c r="E148" i="1"/>
  <c r="E162" i="1" s="1"/>
  <c r="E181" i="1" s="1"/>
  <c r="E208" i="1" s="1"/>
  <c r="E271" i="1"/>
  <c r="F221" i="1"/>
  <c r="F333" i="1" s="1"/>
  <c r="F334" i="1" s="1"/>
  <c r="D148" i="1"/>
  <c r="D220" i="1" s="1"/>
  <c r="F217" i="1"/>
  <c r="H85" i="1"/>
  <c r="H136" i="1"/>
  <c r="G291" i="1"/>
  <c r="G148" i="1"/>
  <c r="J57" i="1"/>
  <c r="I60" i="1"/>
  <c r="I105" i="1" s="1"/>
  <c r="I119" i="1" s="1"/>
  <c r="E218" i="1" l="1"/>
  <c r="F219" i="1"/>
  <c r="F292" i="1" s="1"/>
  <c r="F293" i="1" s="1"/>
  <c r="F218" i="1"/>
  <c r="F162" i="1"/>
  <c r="E275" i="1"/>
  <c r="F181" i="1"/>
  <c r="F336" i="1" s="1"/>
  <c r="F337" i="1" s="1"/>
  <c r="F341" i="1" s="1"/>
  <c r="F342" i="1" s="1"/>
  <c r="G219" i="1"/>
  <c r="G292" i="1" s="1"/>
  <c r="G293" i="1" s="1"/>
  <c r="G162" i="1"/>
  <c r="D221" i="1"/>
  <c r="D162" i="1"/>
  <c r="D312" i="1"/>
  <c r="D313" i="1" s="1"/>
  <c r="D218" i="1"/>
  <c r="D219" i="1"/>
  <c r="D292" i="1" s="1"/>
  <c r="D293" i="1" s="1"/>
  <c r="D217" i="1"/>
  <c r="G218" i="1"/>
  <c r="F252" i="1"/>
  <c r="F253" i="1" s="1"/>
  <c r="E272" i="1"/>
  <c r="E273" i="1" s="1"/>
  <c r="I85" i="1"/>
  <c r="I136" i="1"/>
  <c r="H291" i="1"/>
  <c r="H148" i="1"/>
  <c r="G221" i="1"/>
  <c r="G333" i="1" s="1"/>
  <c r="G334" i="1" s="1"/>
  <c r="G217" i="1"/>
  <c r="G220" i="1"/>
  <c r="E220" i="1"/>
  <c r="E219" i="1"/>
  <c r="E292" i="1" s="1"/>
  <c r="E293" i="1" s="1"/>
  <c r="E217" i="1"/>
  <c r="E221" i="1"/>
  <c r="E333" i="1" s="1"/>
  <c r="E334" i="1" s="1"/>
  <c r="K57" i="1"/>
  <c r="J60" i="1"/>
  <c r="J105" i="1" s="1"/>
  <c r="J119" i="1" s="1"/>
  <c r="F255" i="1" l="1"/>
  <c r="F256" i="1" s="1"/>
  <c r="F260" i="1" s="1"/>
  <c r="F261" i="1" s="1"/>
  <c r="F272" i="1"/>
  <c r="F273" i="1" s="1"/>
  <c r="G272" i="1"/>
  <c r="G273" i="1" s="1"/>
  <c r="F295" i="1"/>
  <c r="F296" i="1" s="1"/>
  <c r="F300" i="1" s="1"/>
  <c r="F301" i="1" s="1"/>
  <c r="D181" i="1"/>
  <c r="D275" i="1" s="1"/>
  <c r="G181" i="1"/>
  <c r="G208" i="1" s="1"/>
  <c r="E295" i="1"/>
  <c r="E296" i="1" s="1"/>
  <c r="E300" i="1" s="1"/>
  <c r="E301" i="1" s="1"/>
  <c r="F275" i="1"/>
  <c r="F276" i="1" s="1"/>
  <c r="F280" i="1" s="1"/>
  <c r="F281" i="1" s="1"/>
  <c r="E336" i="1"/>
  <c r="E337" i="1" s="1"/>
  <c r="E341" i="1" s="1"/>
  <c r="E342" i="1" s="1"/>
  <c r="H219" i="1"/>
  <c r="H292" i="1" s="1"/>
  <c r="H293" i="1" s="1"/>
  <c r="H162" i="1"/>
  <c r="F208" i="1"/>
  <c r="F316" i="1"/>
  <c r="F320" i="1" s="1"/>
  <c r="F321" i="1" s="1"/>
  <c r="D333" i="1"/>
  <c r="D334" i="1" s="1"/>
  <c r="F315" i="1"/>
  <c r="D272" i="1"/>
  <c r="D273" i="1" s="1"/>
  <c r="D252" i="1"/>
  <c r="D253" i="1" s="1"/>
  <c r="E252" i="1"/>
  <c r="E253" i="1" s="1"/>
  <c r="E255" i="1"/>
  <c r="J85" i="1"/>
  <c r="J136" i="1"/>
  <c r="G312" i="1"/>
  <c r="G313" i="1" s="1"/>
  <c r="H221" i="1"/>
  <c r="H333" i="1" s="1"/>
  <c r="H334" i="1" s="1"/>
  <c r="H217" i="1"/>
  <c r="H218" i="1"/>
  <c r="H220" i="1"/>
  <c r="I291" i="1"/>
  <c r="I148" i="1"/>
  <c r="I162" i="1" s="1"/>
  <c r="E276" i="1"/>
  <c r="E280" i="1" s="1"/>
  <c r="E281" i="1" s="1"/>
  <c r="E315" i="1"/>
  <c r="E316" i="1"/>
  <c r="E320" i="1" s="1"/>
  <c r="E321" i="1" s="1"/>
  <c r="E312" i="1"/>
  <c r="E313" i="1" s="1"/>
  <c r="G252" i="1"/>
  <c r="G253" i="1" s="1"/>
  <c r="L57" i="1"/>
  <c r="K60" i="1"/>
  <c r="K105" i="1" s="1"/>
  <c r="K119" i="1" s="1"/>
  <c r="D315" i="1" l="1"/>
  <c r="G255" i="1"/>
  <c r="G316" i="1"/>
  <c r="G320" i="1" s="1"/>
  <c r="G321" i="1" s="1"/>
  <c r="D208" i="1"/>
  <c r="G295" i="1"/>
  <c r="G296" i="1" s="1"/>
  <c r="G300" i="1" s="1"/>
  <c r="G301" i="1" s="1"/>
  <c r="G315" i="1"/>
  <c r="D255" i="1"/>
  <c r="D316" i="1"/>
  <c r="G275" i="1"/>
  <c r="G276" i="1" s="1"/>
  <c r="G280" i="1" s="1"/>
  <c r="G281" i="1" s="1"/>
  <c r="G336" i="1"/>
  <c r="G337" i="1" s="1"/>
  <c r="G341" i="1" s="1"/>
  <c r="G342" i="1" s="1"/>
  <c r="D295" i="1"/>
  <c r="D296" i="1" s="1"/>
  <c r="D300" i="1" s="1"/>
  <c r="D301" i="1" s="1"/>
  <c r="I181" i="1"/>
  <c r="I208" i="1" s="1"/>
  <c r="H181" i="1"/>
  <c r="H208" i="1" s="1"/>
  <c r="D276" i="1"/>
  <c r="D280" i="1" s="1"/>
  <c r="D281" i="1" s="1"/>
  <c r="D256" i="1"/>
  <c r="D260" i="1" s="1"/>
  <c r="D261" i="1" s="1"/>
  <c r="G256" i="1"/>
  <c r="G260" i="1" s="1"/>
  <c r="G261" i="1" s="1"/>
  <c r="E256" i="1"/>
  <c r="E260" i="1" s="1"/>
  <c r="E261" i="1" s="1"/>
  <c r="I220" i="1"/>
  <c r="I221" i="1"/>
  <c r="I333" i="1" s="1"/>
  <c r="I334" i="1" s="1"/>
  <c r="I217" i="1"/>
  <c r="I218" i="1"/>
  <c r="K85" i="1"/>
  <c r="K136" i="1"/>
  <c r="I219" i="1"/>
  <c r="I292" i="1" s="1"/>
  <c r="I293" i="1" s="1"/>
  <c r="H272" i="1"/>
  <c r="H273" i="1" s="1"/>
  <c r="J291" i="1"/>
  <c r="J148" i="1"/>
  <c r="H312" i="1"/>
  <c r="H313" i="1" s="1"/>
  <c r="H252" i="1"/>
  <c r="H253" i="1" s="1"/>
  <c r="M57" i="1"/>
  <c r="M60" i="1" s="1"/>
  <c r="M105" i="1" s="1"/>
  <c r="M119" i="1" s="1"/>
  <c r="L60" i="1"/>
  <c r="L105" i="1" s="1"/>
  <c r="L119" i="1" s="1"/>
  <c r="I275" i="1" l="1"/>
  <c r="H316" i="1"/>
  <c r="H320" i="1" s="1"/>
  <c r="H321" i="1" s="1"/>
  <c r="H255" i="1"/>
  <c r="H315" i="1"/>
  <c r="H295" i="1"/>
  <c r="H296" i="1" s="1"/>
  <c r="H300" i="1" s="1"/>
  <c r="H301" i="1" s="1"/>
  <c r="H275" i="1"/>
  <c r="H336" i="1"/>
  <c r="H337" i="1" s="1"/>
  <c r="H341" i="1" s="1"/>
  <c r="H342" i="1" s="1"/>
  <c r="I295" i="1"/>
  <c r="I296" i="1" s="1"/>
  <c r="I300" i="1" s="1"/>
  <c r="I301" i="1" s="1"/>
  <c r="I336" i="1"/>
  <c r="I337" i="1" s="1"/>
  <c r="I341" i="1" s="1"/>
  <c r="I342" i="1" s="1"/>
  <c r="J219" i="1"/>
  <c r="J292" i="1" s="1"/>
  <c r="J293" i="1" s="1"/>
  <c r="J162" i="1"/>
  <c r="H276" i="1"/>
  <c r="H280" i="1" s="1"/>
  <c r="H281" i="1" s="1"/>
  <c r="L85" i="1"/>
  <c r="L136" i="1"/>
  <c r="M85" i="1"/>
  <c r="M136" i="1"/>
  <c r="H256" i="1"/>
  <c r="H260" i="1" s="1"/>
  <c r="H261" i="1" s="1"/>
  <c r="K291" i="1"/>
  <c r="K148" i="1"/>
  <c r="I272" i="1"/>
  <c r="I273" i="1" s="1"/>
  <c r="J221" i="1"/>
  <c r="J333" i="1" s="1"/>
  <c r="J334" i="1" s="1"/>
  <c r="J217" i="1"/>
  <c r="J218" i="1"/>
  <c r="J220" i="1"/>
  <c r="I255" i="1"/>
  <c r="I252" i="1"/>
  <c r="I253" i="1" s="1"/>
  <c r="I316" i="1"/>
  <c r="I320" i="1" s="1"/>
  <c r="I321" i="1" s="1"/>
  <c r="I315" i="1"/>
  <c r="I312" i="1"/>
  <c r="I313" i="1" s="1"/>
  <c r="J181" i="1" l="1"/>
  <c r="J208" i="1" s="1"/>
  <c r="K219" i="1"/>
  <c r="K292" i="1" s="1"/>
  <c r="K293" i="1" s="1"/>
  <c r="K162" i="1"/>
  <c r="I256" i="1"/>
  <c r="I260" i="1" s="1"/>
  <c r="I261" i="1" s="1"/>
  <c r="J312" i="1"/>
  <c r="J313" i="1" s="1"/>
  <c r="J252" i="1"/>
  <c r="J253" i="1" s="1"/>
  <c r="J255" i="1"/>
  <c r="I276" i="1"/>
  <c r="I280" i="1" s="1"/>
  <c r="I281" i="1" s="1"/>
  <c r="M291" i="1"/>
  <c r="M148" i="1"/>
  <c r="L291" i="1"/>
  <c r="L148" i="1"/>
  <c r="J272" i="1"/>
  <c r="J273" i="1" s="1"/>
  <c r="K221" i="1"/>
  <c r="K333" i="1" s="1"/>
  <c r="K334" i="1" s="1"/>
  <c r="K217" i="1"/>
  <c r="K220" i="1"/>
  <c r="K218" i="1"/>
  <c r="J316" i="1" l="1"/>
  <c r="J320" i="1" s="1"/>
  <c r="J321" i="1" s="1"/>
  <c r="J295" i="1"/>
  <c r="J296" i="1" s="1"/>
  <c r="J300" i="1" s="1"/>
  <c r="J301" i="1" s="1"/>
  <c r="J315" i="1"/>
  <c r="K181" i="1"/>
  <c r="K208" i="1" s="1"/>
  <c r="J275" i="1"/>
  <c r="J276" i="1" s="1"/>
  <c r="J280" i="1" s="1"/>
  <c r="J281" i="1" s="1"/>
  <c r="J336" i="1"/>
  <c r="J337" i="1" s="1"/>
  <c r="J341" i="1" s="1"/>
  <c r="J342" i="1" s="1"/>
  <c r="L219" i="1"/>
  <c r="L292" i="1" s="1"/>
  <c r="L293" i="1" s="1"/>
  <c r="L162" i="1"/>
  <c r="M219" i="1"/>
  <c r="M292" i="1" s="1"/>
  <c r="M293" i="1" s="1"/>
  <c r="M162" i="1"/>
  <c r="J256" i="1"/>
  <c r="J260" i="1" s="1"/>
  <c r="J261" i="1" s="1"/>
  <c r="K272" i="1"/>
  <c r="K273" i="1" s="1"/>
  <c r="K312" i="1"/>
  <c r="K313" i="1" s="1"/>
  <c r="L221" i="1"/>
  <c r="L333" i="1" s="1"/>
  <c r="L334" i="1" s="1"/>
  <c r="L217" i="1"/>
  <c r="L218" i="1"/>
  <c r="L220" i="1"/>
  <c r="K252" i="1"/>
  <c r="K253" i="1" s="1"/>
  <c r="M220" i="1"/>
  <c r="M217" i="1"/>
  <c r="M221" i="1"/>
  <c r="M333" i="1" s="1"/>
  <c r="M334" i="1" s="1"/>
  <c r="M218" i="1"/>
  <c r="K315" i="1" l="1"/>
  <c r="K316" i="1"/>
  <c r="K320" i="1" s="1"/>
  <c r="K321" i="1" s="1"/>
  <c r="K255" i="1"/>
  <c r="K256" i="1" s="1"/>
  <c r="K260" i="1" s="1"/>
  <c r="K261" i="1" s="1"/>
  <c r="K295" i="1"/>
  <c r="K296" i="1" s="1"/>
  <c r="K300" i="1" s="1"/>
  <c r="K301" i="1" s="1"/>
  <c r="K275" i="1"/>
  <c r="K276" i="1" s="1"/>
  <c r="K280" i="1" s="1"/>
  <c r="K281" i="1" s="1"/>
  <c r="K336" i="1"/>
  <c r="K337" i="1" s="1"/>
  <c r="K341" i="1" s="1"/>
  <c r="K342" i="1" s="1"/>
  <c r="L181" i="1"/>
  <c r="L208" i="1" s="1"/>
  <c r="M272" i="1"/>
  <c r="M273" i="1" s="1"/>
  <c r="M181" i="1"/>
  <c r="M208" i="1" s="1"/>
  <c r="L272" i="1"/>
  <c r="L273" i="1" s="1"/>
  <c r="M252" i="1"/>
  <c r="M253" i="1" s="1"/>
  <c r="L312" i="1"/>
  <c r="L313" i="1" s="1"/>
  <c r="L252" i="1"/>
  <c r="L253" i="1" s="1"/>
  <c r="M312" i="1"/>
  <c r="M313" i="1" s="1"/>
  <c r="L255" i="1" l="1"/>
  <c r="L256" i="1" s="1"/>
  <c r="L260" i="1" s="1"/>
  <c r="L261" i="1" s="1"/>
  <c r="L315" i="1"/>
  <c r="L316" i="1"/>
  <c r="L320" i="1" s="1"/>
  <c r="L321" i="1" s="1"/>
  <c r="M316" i="1"/>
  <c r="M320" i="1" s="1"/>
  <c r="M321" i="1" s="1"/>
  <c r="M315" i="1"/>
  <c r="L295" i="1"/>
  <c r="L296" i="1" s="1"/>
  <c r="L300" i="1" s="1"/>
  <c r="L301" i="1" s="1"/>
  <c r="M295" i="1"/>
  <c r="M296" i="1" s="1"/>
  <c r="M300" i="1" s="1"/>
  <c r="C324" i="1"/>
  <c r="C325" i="1" s="1"/>
  <c r="L275" i="1"/>
  <c r="L276" i="1" s="1"/>
  <c r="L280" i="1" s="1"/>
  <c r="L281" i="1" s="1"/>
  <c r="L336" i="1"/>
  <c r="L337" i="1" s="1"/>
  <c r="L341" i="1" s="1"/>
  <c r="L342" i="1" s="1"/>
  <c r="M275" i="1"/>
  <c r="M276" i="1" s="1"/>
  <c r="M336" i="1"/>
  <c r="M337" i="1" s="1"/>
  <c r="M341" i="1" s="1"/>
  <c r="M255" i="1"/>
  <c r="M256" i="1" s="1"/>
  <c r="M260" i="1" s="1"/>
  <c r="C322" i="1" l="1"/>
  <c r="C327" i="1" s="1"/>
  <c r="M342" i="1"/>
  <c r="C343" i="1" s="1"/>
  <c r="C345" i="1"/>
  <c r="C346" i="1" s="1"/>
  <c r="C303" i="1"/>
  <c r="C304" i="1" s="1"/>
  <c r="M301" i="1"/>
  <c r="C302" i="1" s="1"/>
  <c r="M280" i="1"/>
  <c r="C263" i="1"/>
  <c r="C264" i="1" s="1"/>
  <c r="M261" i="1"/>
  <c r="C262" i="1" s="1"/>
  <c r="C306" i="1" l="1"/>
  <c r="C283" i="1"/>
  <c r="C284" i="1" s="1"/>
  <c r="M281" i="1"/>
  <c r="C282" i="1" s="1"/>
  <c r="C348" i="1"/>
  <c r="C266" i="1"/>
  <c r="C286" i="1" l="1"/>
  <c r="C350" i="1" s="1"/>
  <c r="C352" i="1" s="1"/>
</calcChain>
</file>

<file path=xl/connections.xml><?xml version="1.0" encoding="utf-8"?>
<connections xmlns="http://schemas.openxmlformats.org/spreadsheetml/2006/main">
  <connection id="1" name="tabla" type="6" refreshedVersion="5" background="1" saveData="1">
    <textPr codePage="850" sourceFile="C:\Users\Personal\Desktop\tabla.csv" decimal="," thousands="." space="1" consecutive="1">
      <textFields count="2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<sst xmlns="http://schemas.openxmlformats.org/spreadsheetml/2006/main" count="712" uniqueCount="527">
  <si>
    <t>Core Auto</t>
  </si>
  <si>
    <t>Energy</t>
  </si>
  <si>
    <t>Mobility</t>
  </si>
  <si>
    <t>Network Services</t>
  </si>
  <si>
    <t>Insurance</t>
  </si>
  <si>
    <t>Total Revenue</t>
  </si>
  <si>
    <t>Gross Profit</t>
  </si>
  <si>
    <t>Net Income</t>
  </si>
  <si>
    <t>Free Cash Flow</t>
  </si>
  <si>
    <t>Solar Deployed (MW)</t>
  </si>
  <si>
    <t>Storage Deployed (GWh)</t>
  </si>
  <si>
    <t>Storage Revenue per KW (USD)</t>
  </si>
  <si>
    <t>Revenue per Watt (USD)</t>
  </si>
  <si>
    <t>Storage Revenue (MM USD)</t>
  </si>
  <si>
    <t>Solar Revenue (MM USD)</t>
  </si>
  <si>
    <t>-</t>
  </si>
  <si>
    <t>Capital Expenditures</t>
  </si>
  <si>
    <t>Total NPV of Core Auto</t>
  </si>
  <si>
    <t>Miles/Car</t>
  </si>
  <si>
    <t>Rev/Mile ($)</t>
  </si>
  <si>
    <t>Total Revenue ($mm)</t>
  </si>
  <si>
    <t>Operating Profit ($mm)</t>
  </si>
  <si>
    <t>NOPAT</t>
  </si>
  <si>
    <t>Miles per Car</t>
  </si>
  <si>
    <t>MAUs (Connected Fleet)</t>
  </si>
  <si>
    <t>Tesla Vehicles in Service (mm units)</t>
  </si>
  <si>
    <t>Net Written Premium per Policy ($)</t>
  </si>
  <si>
    <t>Tax Rate (%)</t>
  </si>
  <si>
    <t>Unit Sales (Units)</t>
  </si>
  <si>
    <t>Average Price (USD)</t>
  </si>
  <si>
    <t>Total Revenue (MM USD)</t>
  </si>
  <si>
    <t>Gross Profit (MM USD)</t>
  </si>
  <si>
    <t>Ebitda (MM USD)</t>
  </si>
  <si>
    <t>Net Income (MM USD)</t>
  </si>
  <si>
    <t>Total Energy and Storage Revenue (MM USD)</t>
  </si>
  <si>
    <t>Operating Profit (MM USD)</t>
  </si>
  <si>
    <t>Adjusted Cash Flow (MM USD)</t>
  </si>
  <si>
    <t>Tesla Mobility Fleet (Units)</t>
  </si>
  <si>
    <t>Total Miles (Billions)</t>
  </si>
  <si>
    <t>3rd Party (Not Details Available)</t>
  </si>
  <si>
    <t>Tesla Global Fleet (end of year)</t>
  </si>
  <si>
    <t>Average Vehicle Speed (mph)</t>
  </si>
  <si>
    <t>Revenue Generating Vehicle Hours (bn)</t>
  </si>
  <si>
    <t>Implied Revenue/M ile ($)</t>
  </si>
  <si>
    <t>Implied Revenue/H our ($)</t>
  </si>
  <si>
    <t>Revenue Generating Miles (Billions)</t>
  </si>
  <si>
    <t>Total Miles Traveled (Billions)</t>
  </si>
  <si>
    <t>Monthly Revenue per User (USD)</t>
  </si>
  <si>
    <t>Annual Total Revenue (MM USD)</t>
  </si>
  <si>
    <t>Total NPV of 3rd Party</t>
  </si>
  <si>
    <t>Total NPV of Insurance</t>
  </si>
  <si>
    <t>1) Revenues</t>
  </si>
  <si>
    <t>Leasing</t>
  </si>
  <si>
    <t>Energy Generation and Storage</t>
  </si>
  <si>
    <t xml:space="preserve">Generation </t>
  </si>
  <si>
    <t xml:space="preserve">Solar Panels </t>
  </si>
  <si>
    <t>Solar Roof</t>
  </si>
  <si>
    <t>Average Price (USD/Mwh)</t>
  </si>
  <si>
    <t>Storage</t>
  </si>
  <si>
    <t>Total Sales Sales (Mwh)</t>
  </si>
  <si>
    <t>Powerwall</t>
  </si>
  <si>
    <t>Powerwall - Megapack</t>
  </si>
  <si>
    <t>Average Revenues by Cumulative Cars Sold (USD)</t>
  </si>
  <si>
    <t xml:space="preserve">Ridehailing </t>
  </si>
  <si>
    <t>Total Revenues</t>
  </si>
  <si>
    <t>2) Cost of Revenues</t>
  </si>
  <si>
    <t xml:space="preserve">2.1) Automotive </t>
  </si>
  <si>
    <t>2.2) Energy Generation and Storage</t>
  </si>
  <si>
    <t>2.3) Services and Others</t>
  </si>
  <si>
    <t xml:space="preserve">2.4) Ridehailing </t>
  </si>
  <si>
    <t>Total Cost of Revenues</t>
  </si>
  <si>
    <t xml:space="preserve">3) Gross Profit </t>
  </si>
  <si>
    <t>Total Gross Profit</t>
  </si>
  <si>
    <t>4) Operating Expenses</t>
  </si>
  <si>
    <t>4.1) Research and Development</t>
  </si>
  <si>
    <t>4.2) Selling, General and Administrative</t>
  </si>
  <si>
    <t>Total Operating Expenses</t>
  </si>
  <si>
    <t>Net Operative Income</t>
  </si>
  <si>
    <t>5) Interest, Taxation and Others</t>
  </si>
  <si>
    <t>5.1) Net Interest Expenses</t>
  </si>
  <si>
    <t>Effective Interest Rate</t>
  </si>
  <si>
    <t>5.2) Other incomes (Expenses)</t>
  </si>
  <si>
    <t>Income Before Taxes</t>
  </si>
  <si>
    <t>5.4) Taxation</t>
  </si>
  <si>
    <t xml:space="preserve">7) Working Capital </t>
  </si>
  <si>
    <t>Current Assets</t>
  </si>
  <si>
    <t>Net Working Capital</t>
  </si>
  <si>
    <t>Change of Net Working Capital</t>
  </si>
  <si>
    <t>% Of Total Revenues</t>
  </si>
  <si>
    <t>% Of Growth</t>
  </si>
  <si>
    <t>6) Capital Expenditures</t>
  </si>
  <si>
    <t>6.1) Purchases of Property and Equipment excluding Finance Leases, Net of Sales</t>
  </si>
  <si>
    <t>6.2) Purchases of Solar Energy Systems</t>
  </si>
  <si>
    <t>6.3) Net Others Investment Flows</t>
  </si>
  <si>
    <t>Total</t>
  </si>
  <si>
    <t>Valuation</t>
  </si>
  <si>
    <t>Relative Importance (Based on Gross Profit)</t>
  </si>
  <si>
    <t>Services and Others</t>
  </si>
  <si>
    <t xml:space="preserve">Capex Distribution </t>
  </si>
  <si>
    <t>Valuation Inputs</t>
  </si>
  <si>
    <t>Current Risk Free Rate (2019)</t>
  </si>
  <si>
    <t xml:space="preserve">Equity Premiun </t>
  </si>
  <si>
    <t>Historic Risk Free Rate (2009 - 2018)</t>
  </si>
  <si>
    <t>Historic Equity Return (2009 - 2018)</t>
  </si>
  <si>
    <t>Historic Equity Risk Premiun (2009 - 2018)</t>
  </si>
  <si>
    <t>Sectorial Discount Rates</t>
  </si>
  <si>
    <t>Discount Rate</t>
  </si>
  <si>
    <t>1) Auto &amp; Truck</t>
  </si>
  <si>
    <t>2) Electronics (General)</t>
  </si>
  <si>
    <t>3) Retail (Automotive)</t>
  </si>
  <si>
    <t>4) Trucking</t>
  </si>
  <si>
    <t xml:space="preserve"> Automotive</t>
  </si>
  <si>
    <t>OPEX</t>
  </si>
  <si>
    <t>Operative Income</t>
  </si>
  <si>
    <t>Interest, Taxation and Others</t>
  </si>
  <si>
    <t>Net income</t>
  </si>
  <si>
    <t>Capex</t>
  </si>
  <si>
    <t xml:space="preserve">Change in Net Working Capital </t>
  </si>
  <si>
    <t>FCE</t>
  </si>
  <si>
    <t>Discounted FCE</t>
  </si>
  <si>
    <t>PV FCE</t>
  </si>
  <si>
    <t>Terminal Value</t>
  </si>
  <si>
    <t>PV Terminal Value</t>
  </si>
  <si>
    <t xml:space="preserve">Automotive Enterprise Value </t>
  </si>
  <si>
    <t xml:space="preserve">Energy Generation and Storage Enterprise Value </t>
  </si>
  <si>
    <t xml:space="preserve">Services and Others Enterprise Value </t>
  </si>
  <si>
    <t>Ridehailing</t>
  </si>
  <si>
    <t xml:space="preserve">Ridehailing Enterprise Value </t>
  </si>
  <si>
    <t>Tesla Present Enterprise Value</t>
  </si>
  <si>
    <t>Total Sales (Units)</t>
  </si>
  <si>
    <t>Generation Revenue (MM USD)</t>
  </si>
  <si>
    <t>Financial Model</t>
  </si>
  <si>
    <t>Autonomous</t>
  </si>
  <si>
    <t>PV of 1st Year Cash Flow</t>
  </si>
  <si>
    <t>PV of Cash Flows 2 thru 11</t>
  </si>
  <si>
    <t>PV of Terminal Value</t>
  </si>
  <si>
    <t>Enterprise Value</t>
  </si>
  <si>
    <t>% Value in Terminal</t>
  </si>
  <si>
    <t>% Value in Cash Flows</t>
  </si>
  <si>
    <t>WACC (%)</t>
  </si>
  <si>
    <t>Terminal Growth Rate (%)</t>
  </si>
  <si>
    <t>NPV of Cash Flows</t>
  </si>
  <si>
    <t>Implied Terminal PE (x)</t>
  </si>
  <si>
    <t>NPV of Terminal Value</t>
  </si>
  <si>
    <t>Total NPV of Tesla Energy</t>
  </si>
  <si>
    <t>NPV per Tesla Share</t>
  </si>
  <si>
    <t>Equity Value Per Share</t>
  </si>
  <si>
    <t>Discount rate</t>
  </si>
  <si>
    <t>Year of NPV</t>
  </si>
  <si>
    <t>NPV 2020 to 2030 ($mm)</t>
  </si>
  <si>
    <t>Terminal Value PPG (%)</t>
  </si>
  <si>
    <t>Terminal Value ($mm)</t>
  </si>
  <si>
    <t>Implied Terminal Value PE</t>
  </si>
  <si>
    <t>Total NPV ($mm)</t>
  </si>
  <si>
    <t>Value per TSLA share ($)</t>
  </si>
  <si>
    <t>Total NPV of Tesla Network Services</t>
  </si>
  <si>
    <t>Probability Weighting (%)</t>
  </si>
  <si>
    <t>Adj. NPV of Tesla Network Services</t>
  </si>
  <si>
    <t>Probability Adj. Valuation per Tesla Share</t>
  </si>
  <si>
    <t>Head of Research: Armando Gagliardi</t>
  </si>
  <si>
    <t>CEO: Adolfo Pecchio</t>
  </si>
  <si>
    <t>Company: APILA Capital</t>
  </si>
  <si>
    <t>Date: December 2020</t>
  </si>
  <si>
    <t>Sell Side Analisys</t>
  </si>
  <si>
    <t>Company: Morgan Stanley</t>
  </si>
  <si>
    <t>Head of Research: Adam Jonas</t>
  </si>
  <si>
    <t>Minimum</t>
  </si>
  <si>
    <t>Bear Case</t>
  </si>
  <si>
    <t>Bull Case</t>
  </si>
  <si>
    <t>Maximum</t>
  </si>
  <si>
    <t>Key Drivers</t>
  </si>
  <si>
    <t>Max gross margin</t>
  </si>
  <si>
    <t>Capital efficiency (gross capex per unit of annual production capacity) (not in millions)</t>
  </si>
  <si>
    <t>% of cars sold into human driven ride-hail network in 2025</t>
  </si>
  <si>
    <t>Probability that robotaxis launch</t>
  </si>
  <si>
    <t>In the event that robotaxis launch, percent of capable Teslas in autonomous fleet in 2025</t>
  </si>
  <si>
    <t>Balance sheet assumptions</t>
  </si>
  <si>
    <t>Weighted average market capitalization at which equity is raised</t>
  </si>
  <si>
    <t>Equity raise for capex</t>
  </si>
  <si>
    <t>Equity raise for incentive compensation</t>
  </si>
  <si>
    <t>Percent of factory-build that will be debt funded</t>
  </si>
  <si>
    <t>Margin Assumptions</t>
  </si>
  <si>
    <t>Wright's Law learning rate</t>
  </si>
  <si>
    <t>Max annual production increase (given management bandwidth constraints)</t>
  </si>
  <si>
    <t>Factory utilization factor</t>
  </si>
  <si>
    <t>Percent of each model/price segment that Tesla penetrates</t>
  </si>
  <si>
    <t>Tax rate</t>
  </si>
  <si>
    <t>Interest rate</t>
  </si>
  <si>
    <t>Insurance assumptions</t>
  </si>
  <si>
    <t>% of cars sold with Tesla insurance</t>
  </si>
  <si>
    <t>Tesla commission as an insurance agent</t>
  </si>
  <si>
    <t>Premium/mile for personally owned Tesla car (not in millions)</t>
  </si>
  <si>
    <t>Ride-hail insurance premium addition</t>
  </si>
  <si>
    <t>Beginning loss ratio (when Tesla first begins underwriting its own policies)</t>
  </si>
  <si>
    <t>Annual safety increase of Tesla cars (% safer)</t>
  </si>
  <si>
    <t>Miles per personal car per year</t>
  </si>
  <si>
    <t>Ride-hail assumptions</t>
  </si>
  <si>
    <t>Miles per year per car (not in millions)</t>
  </si>
  <si>
    <t>Platform fee at scale</t>
  </si>
  <si>
    <t>Autonomous Assumptions</t>
  </si>
  <si>
    <t>Miles traveled per robotaxi (not in millions)</t>
  </si>
  <si>
    <t>Tesla platform cut</t>
  </si>
  <si>
    <t>Tesla platform cut in China</t>
  </si>
  <si>
    <t>Percent of fleet in China</t>
  </si>
  <si>
    <t>Valuation Assumptions</t>
  </si>
  <si>
    <t>SG&amp;A as % of electric vehicle sales</t>
  </si>
  <si>
    <t>R&amp;D as % of electric vehicle sales</t>
  </si>
  <si>
    <t>Autonomous EBITDA margin</t>
  </si>
  <si>
    <t>EV/EBITDA electric vehicle business</t>
  </si>
  <si>
    <t>EV/EBITDA insurance business</t>
  </si>
  <si>
    <t>EV/EBITDA autonomous robotaxi business</t>
  </si>
  <si>
    <t>Buy Side Analisys</t>
  </si>
  <si>
    <t>Company: ARK Invest</t>
  </si>
  <si>
    <t>CEO: Cathie Woods</t>
  </si>
  <si>
    <t>Electric Vehicle ASP Table</t>
  </si>
  <si>
    <t>Model</t>
  </si>
  <si>
    <t>ASP</t>
  </si>
  <si>
    <t>TAM units in segment (000s)</t>
  </si>
  <si>
    <t>Max units Tesla (000s)</t>
  </si>
  <si>
    <t>Cumulative units (000s)</t>
  </si>
  <si>
    <t>ASP at breakpoints</t>
  </si>
  <si>
    <t>S/X</t>
  </si>
  <si>
    <t>Model 3</t>
  </si>
  <si>
    <t>Model Y</t>
  </si>
  <si>
    <t>Cybertruck</t>
  </si>
  <si>
    <t>Model A (sedan/hatchback/robotaxi)</t>
  </si>
  <si>
    <t>Neighborhood EV</t>
  </si>
  <si>
    <t>Ride-hail ASP Table</t>
  </si>
  <si>
    <t>Price</t>
  </si>
  <si>
    <t>Total Possible Tesla Miles (billions)</t>
  </si>
  <si>
    <t>Cumulative Miles (billions)</t>
  </si>
  <si>
    <t>ASP At Breakpoints</t>
  </si>
  <si>
    <t>Notes</t>
  </si>
  <si>
    <t>Premium to Uber</t>
  </si>
  <si>
    <t>~Uber total miles</t>
  </si>
  <si>
    <t>Key drivers</t>
  </si>
  <si>
    <t>Despite Wright's Law gross margin never exceeds…</t>
  </si>
  <si>
    <t>Capital efficiency (gross capex per unit production, not in millions)</t>
  </si>
  <si>
    <t>Max annual production increase</t>
  </si>
  <si>
    <t>Percent of all Teslas in autonomous fleet in 2025</t>
  </si>
  <si>
    <t>Robotaxi works</t>
  </si>
  <si>
    <t>Percent of factory-build debt-funded</t>
  </si>
  <si>
    <t>Weighted average market cap at which equity raised</t>
  </si>
  <si>
    <t>Margin assumptions</t>
  </si>
  <si>
    <t>Insurance Assumptions</t>
  </si>
  <si>
    <t>% of cars sold with Tesla insurance in 2025</t>
  </si>
  <si>
    <t>Autonomous assumptions</t>
  </si>
  <si>
    <t>Tesla platform fee</t>
  </si>
  <si>
    <t>Tesla platform fee China</t>
  </si>
  <si>
    <t>% of fleet in China</t>
  </si>
  <si>
    <t>Valuation assumptions</t>
  </si>
  <si>
    <t>EV/EBITDA insurance busines</t>
  </si>
  <si>
    <t>Electric Vehicle Business</t>
  </si>
  <si>
    <t>Cars Produceable (units, not in millions)</t>
  </si>
  <si>
    <t>Cars sold (not in millions)</t>
  </si>
  <si>
    <t>Cumulative cars sold (not in millions)</t>
  </si>
  <si>
    <t>ASP (not in millions)</t>
  </si>
  <si>
    <t>Revenue (EV Business Only)</t>
  </si>
  <si>
    <t>Part and labor and other cost per vehicle (not in millions)</t>
  </si>
  <si>
    <t>Capital consumed per vehicle (not in millions)</t>
  </si>
  <si>
    <t>Total COGs per vehicle (not in millions)</t>
  </si>
  <si>
    <t>Gross Margin (ex-credits)</t>
  </si>
  <si>
    <t>SG&amp;A</t>
  </si>
  <si>
    <t>SG&amp;A/Sales</t>
  </si>
  <si>
    <t>R&amp;D</t>
  </si>
  <si>
    <t>R&amp;D/Sales</t>
  </si>
  <si>
    <t>EBIT</t>
  </si>
  <si>
    <t>EBIT margin</t>
  </si>
  <si>
    <t>Gross property, plant and equipment</t>
  </si>
  <si>
    <t>Accumulated depreciation</t>
  </si>
  <si>
    <t>Annual depreciation</t>
  </si>
  <si>
    <t>Net property, plant and equipment</t>
  </si>
  <si>
    <t>Depreciation/Gross PP&amp;E</t>
  </si>
  <si>
    <t>Working capital days (not in millions)</t>
  </si>
  <si>
    <t>Working capital</t>
  </si>
  <si>
    <t>Total long term debt</t>
  </si>
  <si>
    <t>Average interest paid (%)</t>
  </si>
  <si>
    <t>Year end cash for investment (includes anticipated equity raise)</t>
  </si>
  <si>
    <t>Max cash deployable given scaling constraint</t>
  </si>
  <si>
    <t>Spillover cash not deployed</t>
  </si>
  <si>
    <t>Tesla Insurance</t>
  </si>
  <si>
    <t>Percent of cars sold with insurance (non ride-hail cars)</t>
  </si>
  <si>
    <t>Cars Insured (non ride-hail cars, not in millions)</t>
  </si>
  <si>
    <t>Cumulative non ride-hail cars insured (not in millions)</t>
  </si>
  <si>
    <t>Personal Car Insurance miles</t>
  </si>
  <si>
    <t>Human Driven Ride-hail insurance miles</t>
  </si>
  <si>
    <t>Premium/mile (not in millions)</t>
  </si>
  <si>
    <t>Ride-hail premium/mile (not in millions)</t>
  </si>
  <si>
    <t>Gross premiums</t>
  </si>
  <si>
    <t>Tesla commission</t>
  </si>
  <si>
    <t>Tesla Insurance revenue</t>
  </si>
  <si>
    <t>Benefit cost per mile human driven personal car</t>
  </si>
  <si>
    <t>Benefit cost per mile human driven ride-hail</t>
  </si>
  <si>
    <t>Total Benefit cost</t>
  </si>
  <si>
    <t>Benefits cost/sales</t>
  </si>
  <si>
    <t>EBIT/sales</t>
  </si>
  <si>
    <t>Tesla Ride-hail Business</t>
  </si>
  <si>
    <t>Human Driven</t>
  </si>
  <si>
    <t>% of cars sold into human driven ride-hail network</t>
  </si>
  <si>
    <t>% of ride-hail cars fed into autonomous network</t>
  </si>
  <si>
    <t>Human ride-hail cars added annually (not in millions)</t>
  </si>
  <si>
    <t>Cumulative human ride-hail cars (not in millions)</t>
  </si>
  <si>
    <t>Miles per year per human-driven car (not in millions)</t>
  </si>
  <si>
    <t>Total human-driven miles (not in millions)</t>
  </si>
  <si>
    <t>Human Ridehail Platform cut</t>
  </si>
  <si>
    <t>Fully Autonomous Capable Fleet (not in millions)</t>
  </si>
  <si>
    <t>% of Teslas on robotaxi platform</t>
  </si>
  <si>
    <t>Tesla robotaxis cumulative (not in millions)</t>
  </si>
  <si>
    <t>Potential miles per Taxi (not in millions)</t>
  </si>
  <si>
    <t>Total robotaxi miles (not in millions)</t>
  </si>
  <si>
    <t>Autonomous Platform cut ex China</t>
  </si>
  <si>
    <t>Autonomous Platform cut in China</t>
  </si>
  <si>
    <t>Combined Ride-hail</t>
  </si>
  <si>
    <t>Total ride-hail miles (not in millions)</t>
  </si>
  <si>
    <t>Price per mile</t>
  </si>
  <si>
    <t>Gross Ride-hail Billings</t>
  </si>
  <si>
    <t>Net Ride-hail Revenue</t>
  </si>
  <si>
    <t>EBITDA Margin</t>
  </si>
  <si>
    <t>EBITDA</t>
  </si>
  <si>
    <t>Cash from Ridehail</t>
  </si>
  <si>
    <t>Tesla Consolidated</t>
  </si>
  <si>
    <t>Total EBIT</t>
  </si>
  <si>
    <t>Total EBITDA</t>
  </si>
  <si>
    <t>Debt to EBITDA</t>
  </si>
  <si>
    <t>Interest paid</t>
  </si>
  <si>
    <t>Debt to net PP&amp;E</t>
  </si>
  <si>
    <t>Cash generation</t>
  </si>
  <si>
    <t>Total Gross Margin</t>
  </si>
  <si>
    <t>Total EBITDA Margin</t>
  </si>
  <si>
    <t>EV/EBIT for Insurance</t>
  </si>
  <si>
    <t>EV/EBITDA for EV</t>
  </si>
  <si>
    <t>EV/EBITDA for MaaS</t>
  </si>
  <si>
    <t>Market Cap</t>
  </si>
  <si>
    <t>Shares Outstanding</t>
  </si>
  <si>
    <t>Stock Price</t>
  </si>
  <si>
    <t>Cash flow yield</t>
  </si>
  <si>
    <t xml:space="preserve">CAGR </t>
  </si>
  <si>
    <t>1) Inputs of the Montecarlo Model</t>
  </si>
  <si>
    <t>2) Pricing Model</t>
  </si>
  <si>
    <t>3) Output del modelo (Iteración al azar)</t>
  </si>
  <si>
    <t>Capital efficiency (gross capex per unit production)</t>
  </si>
  <si>
    <t>2025 Cars sold</t>
  </si>
  <si>
    <t>2025 ASP</t>
  </si>
  <si>
    <t>2025 Electric Vehicle Gross Margin</t>
  </si>
  <si>
    <t>Fully Autonomous Capable Fleet (not in millions, note this is different from # cars on network) in 2025</t>
  </si>
  <si>
    <t>EV/EBITDA</t>
  </si>
  <si>
    <t>2025 Cash flow yield</t>
  </si>
  <si>
    <t>2025 Electric Vehicle revenue (MM USD)</t>
  </si>
  <si>
    <t>2025 Electric Vehicle EBITDA  (MM USD)</t>
  </si>
  <si>
    <t>2025 Insurance Revenue  (MM USD)</t>
  </si>
  <si>
    <t>2025 Human-Driven Ride-hail Revenue  (MM USD)</t>
  </si>
  <si>
    <t>2025 Autonomous Ride-hail Revenue  (MM USD)</t>
  </si>
  <si>
    <t>2025 Total Revenue  (MM USD)</t>
  </si>
  <si>
    <t>2025 Total EBITDA  (MM USD)</t>
  </si>
  <si>
    <t xml:space="preserve">2025 Total EBITDA margin </t>
  </si>
  <si>
    <t>2025 Market cap  (MM USD)</t>
  </si>
  <si>
    <t>2025 Share price (USD)</t>
  </si>
  <si>
    <t>4) Resultado de las 5.000 iteraciones</t>
  </si>
  <si>
    <t>Beta</t>
  </si>
  <si>
    <t xml:space="preserve">3.1) Automotive </t>
  </si>
  <si>
    <t>3.2) Energy Generation and Storage</t>
  </si>
  <si>
    <t xml:space="preserve">1.1) Automotive </t>
  </si>
  <si>
    <t>1.2) Energy Generation and Storage</t>
  </si>
  <si>
    <t xml:space="preserve">1.3) Services and Others </t>
  </si>
  <si>
    <t xml:space="preserve">1.4) Ridehailing </t>
  </si>
  <si>
    <t xml:space="preserve"> Free cash flow</t>
  </si>
  <si>
    <t>Total Sales Revenue (MM USD)</t>
  </si>
  <si>
    <t>Cumulative Cars Sold</t>
  </si>
  <si>
    <t>Sell-Side Models</t>
  </si>
  <si>
    <t>Buy-side Models</t>
  </si>
  <si>
    <t>Indepent Analyst Models</t>
  </si>
  <si>
    <t>Short-side Models</t>
  </si>
  <si>
    <t xml:space="preserve">Guidance principles: </t>
  </si>
  <si>
    <t>Total Revenue Tesla Network (MM USD)</t>
  </si>
  <si>
    <t>USD per Mile</t>
  </si>
  <si>
    <t>Tesla Network Cost</t>
  </si>
  <si>
    <t>Ridehailing Fleet (Units)</t>
  </si>
  <si>
    <t>Miles per Car Billed (USD)</t>
  </si>
  <si>
    <t>Total Miles Billed (MM Miles)</t>
  </si>
  <si>
    <t>1.5) Autonomy Services</t>
  </si>
  <si>
    <t>Gross Margin</t>
  </si>
  <si>
    <t>3.3) Services and Others</t>
  </si>
  <si>
    <t xml:space="preserve">3.4) Ridehailing </t>
  </si>
  <si>
    <t>2.5) Autonomous Services</t>
  </si>
  <si>
    <t>Perpetual Growth Rate</t>
  </si>
  <si>
    <t>3.5) Autonomous Services</t>
  </si>
  <si>
    <t>Autonomous Services</t>
  </si>
  <si>
    <t xml:space="preserve">Autonomous Services Enterprise Value </t>
  </si>
  <si>
    <t>Propietary model from CA</t>
  </si>
  <si>
    <t xml:space="preserve">If a participant wants to show its model in greater detail, it's free to post it as a separate xlsx file in the repository. </t>
  </si>
  <si>
    <t>Total Debt and Financial Leases</t>
  </si>
  <si>
    <t xml:space="preserve">Current Portion of Debt and Finance Leases </t>
  </si>
  <si>
    <t xml:space="preserve">Debt and Finance Leases, Net of Current Portion </t>
  </si>
  <si>
    <t>(-) Unrestricted Cash</t>
  </si>
  <si>
    <t>(-) Current Liabilities</t>
  </si>
  <si>
    <t>(+) Current Short Term Debt</t>
  </si>
  <si>
    <t>Total FSD Able Cars</t>
  </si>
  <si>
    <t>Licensed Conceded</t>
  </si>
  <si>
    <t>Revenue by Autopilot Revenue (MM USD)</t>
  </si>
  <si>
    <t>Total Gross Revenue</t>
  </si>
  <si>
    <t>Total Sales (Mw)</t>
  </si>
  <si>
    <t xml:space="preserve">Automotive </t>
  </si>
  <si>
    <t>Outstanding Shares</t>
  </si>
  <si>
    <t>Every user is encouraged to include their model and assumptions in this file. Depending on the type of analyst the tabs have to be colored according to the following pattern:</t>
  </si>
  <si>
    <t xml:space="preserve">Every participant is allowed to occupy only one tab per model.   </t>
  </si>
  <si>
    <t xml:space="preserve">The model has to be expressed in the simplest and cleanest possible way. </t>
  </si>
  <si>
    <t xml:space="preserve">Any valuation tenchnique is allowed, so far is based on professional principles.  </t>
  </si>
  <si>
    <t>Transparency about how every number is obtained is well appreciated.</t>
  </si>
  <si>
    <t xml:space="preserve">It is expected for the participants to specify assumptions about basic variables such as revenue growth, gross margins, tax rates, and discount rates. </t>
  </si>
  <si>
    <t>Tesla</t>
  </si>
  <si>
    <t>Vehicles</t>
  </si>
  <si>
    <t>in</t>
  </si>
  <si>
    <t>Service</t>
  </si>
  <si>
    <t>(mm</t>
  </si>
  <si>
    <t>units)</t>
  </si>
  <si>
    <t>1.3</t>
  </si>
  <si>
    <t>2.1</t>
  </si>
  <si>
    <t>3.0</t>
  </si>
  <si>
    <t>4.3</t>
  </si>
  <si>
    <t>5.7</t>
  </si>
  <si>
    <t>7.4</t>
  </si>
  <si>
    <t>9.5</t>
  </si>
  <si>
    <t>11.9</t>
  </si>
  <si>
    <t>14.4</t>
  </si>
  <si>
    <t>17.1</t>
  </si>
  <si>
    <t>20.1</t>
  </si>
  <si>
    <t>23.2</t>
  </si>
  <si>
    <t>26.4</t>
  </si>
  <si>
    <t>29.9</t>
  </si>
  <si>
    <t>33.6</t>
  </si>
  <si>
    <t>37.5</t>
  </si>
  <si>
    <t>41.7</t>
  </si>
  <si>
    <t>46.1</t>
  </si>
  <si>
    <t>50.8</t>
  </si>
  <si>
    <t>55.9</t>
  </si>
  <si>
    <t>61.3</t>
  </si>
  <si>
    <t>Market</t>
  </si>
  <si>
    <t>Share</t>
  </si>
  <si>
    <t>(%)</t>
  </si>
  <si>
    <t>0.0%</t>
  </si>
  <si>
    <t>0.5%</t>
  </si>
  <si>
    <t>1.0%</t>
  </si>
  <si>
    <t>3.1%</t>
  </si>
  <si>
    <t>5.3%</t>
  </si>
  <si>
    <t>7.4%</t>
  </si>
  <si>
    <t>9.5%</t>
  </si>
  <si>
    <t>11.6%</t>
  </si>
  <si>
    <t>13.8%</t>
  </si>
  <si>
    <t>15.9%</t>
  </si>
  <si>
    <t>18.0%</t>
  </si>
  <si>
    <t>21.2%</t>
  </si>
  <si>
    <t>24.4%</t>
  </si>
  <si>
    <t>27.6%</t>
  </si>
  <si>
    <t>30.8%</t>
  </si>
  <si>
    <t>34.0%</t>
  </si>
  <si>
    <t>37.2%</t>
  </si>
  <si>
    <t>40.4%</t>
  </si>
  <si>
    <t>43.6%</t>
  </si>
  <si>
    <t>46.8%</t>
  </si>
  <si>
    <t>50.0%</t>
  </si>
  <si>
    <t>Policy</t>
  </si>
  <si>
    <t>Holders</t>
  </si>
  <si>
    <t>(mm)</t>
  </si>
  <si>
    <t>0.0</t>
  </si>
  <si>
    <t>0.1</t>
  </si>
  <si>
    <t>0.3</t>
  </si>
  <si>
    <t>0.5</t>
  </si>
  <si>
    <t>0.9</t>
  </si>
  <si>
    <t>1.4</t>
  </si>
  <si>
    <t>2.0</t>
  </si>
  <si>
    <t>2.7</t>
  </si>
  <si>
    <t>3.6</t>
  </si>
  <si>
    <t>4.9</t>
  </si>
  <si>
    <t>6.5</t>
  </si>
  <si>
    <t>8.3</t>
  </si>
  <si>
    <t>10.3</t>
  </si>
  <si>
    <t>12.7</t>
  </si>
  <si>
    <t>15.5</t>
  </si>
  <si>
    <t>18.6</t>
  </si>
  <si>
    <t>22.2</t>
  </si>
  <si>
    <t>26.1</t>
  </si>
  <si>
    <t>30.6</t>
  </si>
  <si>
    <t>Net</t>
  </si>
  <si>
    <t>Written</t>
  </si>
  <si>
    <t>Premium</t>
  </si>
  <si>
    <t>per</t>
  </si>
  <si>
    <t>($)</t>
  </si>
  <si>
    <t>%</t>
  </si>
  <si>
    <t>Growth</t>
  </si>
  <si>
    <t>Incurred</t>
  </si>
  <si>
    <t>Losses</t>
  </si>
  <si>
    <t>(paid</t>
  </si>
  <si>
    <t>and</t>
  </si>
  <si>
    <t>reserved)</t>
  </si>
  <si>
    <t>Loss</t>
  </si>
  <si>
    <t>Ratio</t>
  </si>
  <si>
    <t>Expenses</t>
  </si>
  <si>
    <t>(commissions</t>
  </si>
  <si>
    <t>+</t>
  </si>
  <si>
    <t>opex)</t>
  </si>
  <si>
    <t>Expense</t>
  </si>
  <si>
    <t>Pretax</t>
  </si>
  <si>
    <t>Underwriting</t>
  </si>
  <si>
    <t>Results</t>
  </si>
  <si>
    <t>Margin</t>
  </si>
  <si>
    <t>5.9%</t>
  </si>
  <si>
    <t>6.8%</t>
  </si>
  <si>
    <t>7.7%</t>
  </si>
  <si>
    <t>8.6%</t>
  </si>
  <si>
    <t>10.4%</t>
  </si>
  <si>
    <t>11.3%</t>
  </si>
  <si>
    <t>12.2%</t>
  </si>
  <si>
    <t>13.1%</t>
  </si>
  <si>
    <t>14.0%</t>
  </si>
  <si>
    <t>14.3%</t>
  </si>
  <si>
    <t>14.6%</t>
  </si>
  <si>
    <t>14.9%</t>
  </si>
  <si>
    <t>15.2%</t>
  </si>
  <si>
    <t>15.5%</t>
  </si>
  <si>
    <t>15.8%</t>
  </si>
  <si>
    <t>16.1%</t>
  </si>
  <si>
    <t>16.4%</t>
  </si>
  <si>
    <t>16.7%</t>
  </si>
  <si>
    <t>17.0%</t>
  </si>
  <si>
    <t>Tax</t>
  </si>
  <si>
    <t>Rate</t>
  </si>
  <si>
    <t>25.0%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</si>
</sst>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3">
    <numFmt numFmtId="43" formatCode="_ * #,##0.00_ ;_ * \-#,##0.00_ ;_ * &quot;-&quot;??_ ;_ @_ "/>
    <numFmt numFmtId="164" formatCode="0.0"/>
    <numFmt numFmtId="165" formatCode="[$$-809]#,##0.00"/>
    <numFmt numFmtId="166" formatCode="[$$-86B]\ #,##0.00"/>
    <numFmt numFmtId="167" formatCode="_(* #,##0.00_);_(* \(#,##0.00\);_(* &quot;-&quot;??_);_(@_)"/>
    <numFmt numFmtId="168" formatCode="0.0%"/>
    <numFmt numFmtId="169" formatCode="[$$-409]#,##0"/>
    <numFmt numFmtId="170" formatCode="_-* #,##0.00_-;\-* #,##0.00_-;_-* &quot;-&quot;??_-;_-@_-"/>
    <numFmt numFmtId="171" formatCode="_(* #,##0_);_(* \(#,##0\);_(* &quot;-&quot;??_);_(@_)"/>
    <numFmt numFmtId="172" formatCode="[$$-409]#,##0.00"/>
    <numFmt numFmtId="173" formatCode="_ * #,##0_ ;_ * \-#,##0_ ;_ * &quot;-&quot;??_ ;_ @_ "/>
    <numFmt numFmtId="174" formatCode="0_ ;\-0\ "/>
    <numFmt numFmtId="175" formatCode="#,##0.0"/>
    <numFmt numFmtId="176" formatCode="_-* #,##0_-;\-* #,##0_-;_-* &quot;-&quot;??_-;_-@_-"/>
    <numFmt numFmtId="177" formatCode="_(&quot;$&quot;* #,##0.00_);_(&quot;$&quot;* \(#,##0.00\);_(&quot;$&quot;* &quot;-&quot;??_);_(@_)"/>
    <numFmt numFmtId="178" formatCode="#,##0,,;\-#,##0,,"/>
    <numFmt numFmtId="179" formatCode="_-&quot;$&quot;* #,##0.00_-;\-&quot;$&quot;* #,##0.00_-;_-&quot;$&quot;* &quot;-&quot;??_-;_-@_-"/>
    <numFmt numFmtId="180" formatCode="_-&quot;$&quot;* #,##0_-;\-&quot;$&quot;* #,##0_-;_-&quot;$&quot;* &quot;-&quot;??_-;_-@_-"/>
    <numFmt numFmtId="181" formatCode="_([$$-409]* #,##0_);_([$$-409]* \(#,##0\);_([$$-409]* &quot;-&quot;??_);_(@_)"/>
    <numFmt numFmtId="182" formatCode="_(&quot;$&quot;* #,##0_);_(&quot;$&quot;* \(#,##0\);_(&quot;$&quot;* &quot;-&quot;??_);_(@_)"/>
    <numFmt numFmtId="183" formatCode="_-* #,##0.0_-;\-* #,##0.0_-;_-* &quot;-&quot;??_-;_-@_-"/>
    <numFmt numFmtId="184" formatCode="#,##0_ ;\-#,##0\ "/>
    <numFmt numFmtId="189" formatCode="[$$-45C]#,##0"/>
  </numFmts>
  <fonts count="3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Helvetica "/>
    </font>
    <font>
      <sz val="11"/>
      <color theme="1"/>
      <name val="Helvetica "/>
    </font>
    <font>
      <b/>
      <sz val="11"/>
      <color theme="1"/>
      <name val="Helvetica"/>
    </font>
    <font>
      <sz val="11"/>
      <color theme="1"/>
      <name val="Helvetica"/>
    </font>
    <font>
      <sz val="10"/>
      <name val="Arial"/>
      <family val="2"/>
    </font>
    <font>
      <sz val="14"/>
      <color theme="0"/>
      <name val="Helvetica"/>
      <family val="2"/>
    </font>
    <font>
      <sz val="14"/>
      <name val="Helvetica"/>
      <family val="2"/>
    </font>
    <font>
      <sz val="14"/>
      <color theme="1"/>
      <name val="Helvetica"/>
      <family val="2"/>
    </font>
    <font>
      <sz val="12"/>
      <color theme="1"/>
      <name val="Calibri"/>
      <family val="2"/>
      <scheme val="minor"/>
    </font>
    <font>
      <sz val="11"/>
      <color theme="0"/>
      <name val="Helvetica"/>
    </font>
    <font>
      <b/>
      <sz val="11"/>
      <color theme="0"/>
      <name val="Helvetica"/>
    </font>
    <font>
      <sz val="12"/>
      <color indexed="8"/>
      <name val="Verdana"/>
      <family val="2"/>
    </font>
    <font>
      <sz val="12"/>
      <color theme="1"/>
      <name val="Calibri"/>
      <family val="2"/>
      <charset val="134"/>
      <scheme val="minor"/>
    </font>
    <font>
      <b/>
      <sz val="14"/>
      <name val="Helvetica"/>
      <family val="2"/>
    </font>
    <font>
      <sz val="11"/>
      <color indexed="8"/>
      <name val="Helvetica"/>
    </font>
    <font>
      <b/>
      <sz val="11"/>
      <color indexed="8"/>
      <name val="Helvetica"/>
    </font>
    <font>
      <sz val="11"/>
      <color rgb="FF000000"/>
      <name val="Helvetica"/>
    </font>
    <font>
      <sz val="11"/>
      <color rgb="FF0070C0"/>
      <name val="Helvetica"/>
    </font>
    <font>
      <sz val="11"/>
      <color rgb="FF3698F2"/>
      <name val="Helvetica"/>
    </font>
    <font>
      <sz val="11"/>
      <color rgb="FF5B9BD5"/>
      <name val="Helvetica"/>
    </font>
    <font>
      <sz val="11"/>
      <color theme="3" tint="0.39997558519241921"/>
      <name val="Helvetica"/>
    </font>
    <font>
      <sz val="14"/>
      <name val="Helvetica"/>
    </font>
    <font>
      <sz val="14"/>
      <color theme="1"/>
      <name val="Helvetica"/>
    </font>
    <font>
      <b/>
      <sz val="14"/>
      <color theme="1"/>
      <name val="Helvetica "/>
    </font>
    <font>
      <sz val="14"/>
      <color theme="1"/>
      <name val="Helvetica "/>
    </font>
    <font>
      <b/>
      <sz val="14"/>
      <color theme="1"/>
      <name val="Helvetica"/>
    </font>
    <font>
      <sz val="14"/>
      <color theme="0"/>
      <name val="Helvetica"/>
    </font>
    <font>
      <b/>
      <sz val="14"/>
      <color theme="0"/>
      <name val="Helvetica"/>
    </font>
    <font>
      <b/>
      <sz val="14"/>
      <color theme="0"/>
      <name val="Helvetica "/>
    </font>
    <font>
      <sz val="14"/>
      <color theme="0"/>
      <name val="Helvetica "/>
    </font>
    <font>
      <i/>
      <sz val="14"/>
      <color theme="1"/>
      <name val="Helvetica "/>
    </font>
    <font>
      <sz val="14"/>
      <name val="Helvetica "/>
    </font>
    <font>
      <sz val="11"/>
      <color theme="1"/>
      <name val="Helvetica"/>
      <family val="3"/>
    </font>
    <font>
      <b/>
      <sz val="14"/>
      <color theme="1"/>
      <name val="Helvetica"/>
      <family val="2"/>
    </font>
    <font>
      <b/>
      <sz val="14"/>
      <color theme="1"/>
      <name val="Helvetica"/>
      <family val="3"/>
    </font>
    <font>
      <sz val="14"/>
      <color theme="0"/>
      <name val="Helvetica"/>
      <family val="3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465926084170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1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7" fillId="0" borderId="0"/>
    <xf numFmtId="167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1" fillId="0" borderId="0"/>
    <xf numFmtId="0" fontId="14" fillId="0" borderId="0" applyNumberFormat="0" applyFill="0" applyBorder="0" applyProtection="0">
      <alignment vertical="top" wrapText="1"/>
    </xf>
    <xf numFmtId="9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0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79" fontId="14" fillId="0" borderId="0" applyFont="0" applyFill="0" applyBorder="0" applyAlignment="0" applyProtection="0"/>
    <xf numFmtId="167" fontId="15" fillId="0" borderId="0" applyFont="0" applyFill="0" applyBorder="0" applyAlignment="0" applyProtection="0"/>
    <xf numFmtId="9" fontId="15" fillId="0" borderId="0" applyFont="0" applyFill="0" applyBorder="0" applyAlignment="0" applyProtection="0"/>
  </cellStyleXfs>
  <cellXfs count="243">
    <xf numFmtId="0" fontId="0" fillId="0" borderId="0" xfId="0"/>
    <xf numFmtId="1" fontId="8" fillId="3" borderId="0" xfId="3" applyNumberFormat="1" applyFont="1" applyFill="1" applyAlignment="1">
      <alignment horizontal="center"/>
    </xf>
    <xf numFmtId="3" fontId="10" fillId="2" borderId="0" xfId="3" applyNumberFormat="1" applyFont="1" applyFill="1" applyAlignment="1">
      <alignment horizontal="center"/>
    </xf>
    <xf numFmtId="9" fontId="10" fillId="2" borderId="0" xfId="5" applyFont="1" applyFill="1" applyAlignment="1">
      <alignment horizontal="center"/>
    </xf>
    <xf numFmtId="169" fontId="9" fillId="2" borderId="0" xfId="3" applyNumberFormat="1" applyFont="1" applyFill="1" applyAlignment="1">
      <alignment horizontal="center"/>
    </xf>
    <xf numFmtId="0" fontId="8" fillId="5" borderId="0" xfId="3" applyFont="1" applyFill="1"/>
    <xf numFmtId="0" fontId="8" fillId="5" borderId="0" xfId="3" applyFont="1" applyFill="1" applyAlignment="1">
      <alignment horizontal="center"/>
    </xf>
    <xf numFmtId="0" fontId="8" fillId="2" borderId="0" xfId="3" applyFont="1" applyFill="1"/>
    <xf numFmtId="0" fontId="8" fillId="2" borderId="0" xfId="3" applyFont="1" applyFill="1" applyAlignment="1">
      <alignment horizontal="center"/>
    </xf>
    <xf numFmtId="169" fontId="9" fillId="2" borderId="0" xfId="5" applyNumberFormat="1" applyFont="1" applyFill="1" applyAlignment="1">
      <alignment horizontal="center"/>
    </xf>
    <xf numFmtId="172" fontId="9" fillId="2" borderId="0" xfId="3" applyNumberFormat="1" applyFont="1" applyFill="1" applyAlignment="1">
      <alignment horizontal="center"/>
    </xf>
    <xf numFmtId="0" fontId="6" fillId="2" borderId="0" xfId="0" applyFont="1" applyFill="1"/>
    <xf numFmtId="173" fontId="6" fillId="2" borderId="0" xfId="1" applyNumberFormat="1" applyFont="1" applyFill="1"/>
    <xf numFmtId="0" fontId="5" fillId="2" borderId="0" xfId="0" applyFont="1" applyFill="1"/>
    <xf numFmtId="0" fontId="12" fillId="3" borderId="0" xfId="0" applyFont="1" applyFill="1"/>
    <xf numFmtId="3" fontId="3" fillId="7" borderId="0" xfId="0" applyNumberFormat="1" applyFont="1" applyFill="1"/>
    <xf numFmtId="0" fontId="2" fillId="2" borderId="0" xfId="0" applyFont="1" applyFill="1"/>
    <xf numFmtId="9" fontId="10" fillId="2" borderId="0" xfId="5" applyNumberFormat="1" applyFont="1" applyFill="1" applyAlignment="1">
      <alignment horizontal="center"/>
    </xf>
    <xf numFmtId="168" fontId="9" fillId="2" borderId="0" xfId="5" applyNumberFormat="1" applyFont="1" applyFill="1" applyAlignment="1">
      <alignment horizontal="center"/>
    </xf>
    <xf numFmtId="0" fontId="9" fillId="2" borderId="0" xfId="3" applyFont="1" applyFill="1" applyAlignment="1">
      <alignment horizontal="center"/>
    </xf>
    <xf numFmtId="0" fontId="16" fillId="2" borderId="0" xfId="3" applyFont="1" applyFill="1" applyAlignment="1">
      <alignment horizontal="center"/>
    </xf>
    <xf numFmtId="9" fontId="9" fillId="2" borderId="0" xfId="2" applyFont="1" applyFill="1" applyAlignment="1">
      <alignment horizontal="center"/>
    </xf>
    <xf numFmtId="0" fontId="13" fillId="3" borderId="0" xfId="0" applyFont="1" applyFill="1"/>
    <xf numFmtId="0" fontId="13" fillId="2" borderId="0" xfId="0" applyFont="1" applyFill="1"/>
    <xf numFmtId="0" fontId="12" fillId="2" borderId="0" xfId="0" applyFont="1" applyFill="1"/>
    <xf numFmtId="0" fontId="6" fillId="2" borderId="0" xfId="0" applyFont="1" applyFill="1" applyProtection="1"/>
    <xf numFmtId="0" fontId="6" fillId="2" borderId="0" xfId="7" applyFont="1" applyFill="1" applyAlignment="1" applyProtection="1">
      <alignment vertical="center"/>
    </xf>
    <xf numFmtId="178" fontId="6" fillId="4" borderId="0" xfId="10" applyNumberFormat="1" applyFont="1" applyFill="1" applyAlignment="1" applyProtection="1">
      <alignment horizontal="right" vertical="center"/>
    </xf>
    <xf numFmtId="0" fontId="6" fillId="3" borderId="0" xfId="0" applyFont="1" applyFill="1"/>
    <xf numFmtId="0" fontId="6" fillId="8" borderId="0" xfId="0" applyFont="1" applyFill="1" applyProtection="1"/>
    <xf numFmtId="0" fontId="12" fillId="3" borderId="0" xfId="0" applyFont="1" applyFill="1" applyProtection="1"/>
    <xf numFmtId="0" fontId="6" fillId="8" borderId="0" xfId="7" applyFont="1" applyFill="1" applyBorder="1" applyAlignment="1">
      <alignment vertical="center"/>
    </xf>
    <xf numFmtId="0" fontId="6" fillId="2" borderId="0" xfId="7" applyFont="1" applyFill="1" applyBorder="1" applyAlignment="1" applyProtection="1">
      <alignment vertical="center"/>
    </xf>
    <xf numFmtId="43" fontId="6" fillId="2" borderId="0" xfId="1" applyFont="1" applyFill="1"/>
    <xf numFmtId="43" fontId="6" fillId="2" borderId="0" xfId="0" applyNumberFormat="1" applyFont="1" applyFill="1"/>
    <xf numFmtId="9" fontId="6" fillId="2" borderId="0" xfId="2" applyFont="1" applyFill="1"/>
    <xf numFmtId="0" fontId="17" fillId="2" borderId="0" xfId="7" applyFont="1" applyFill="1" applyAlignment="1" applyProtection="1">
      <alignment vertical="center"/>
    </xf>
    <xf numFmtId="0" fontId="17" fillId="2" borderId="0" xfId="7" applyFont="1" applyFill="1" applyAlignment="1" applyProtection="1">
      <alignment vertical="center" wrapText="1"/>
    </xf>
    <xf numFmtId="0" fontId="18" fillId="4" borderId="0" xfId="7" applyFont="1" applyFill="1" applyAlignment="1" applyProtection="1">
      <alignment vertical="center" wrapText="1"/>
    </xf>
    <xf numFmtId="0" fontId="17" fillId="4" borderId="0" xfId="7" applyFont="1" applyFill="1" applyAlignment="1" applyProtection="1">
      <alignment vertical="center" wrapText="1"/>
    </xf>
    <xf numFmtId="0" fontId="6" fillId="8" borderId="0" xfId="7" applyFont="1" applyFill="1" applyBorder="1" applyAlignment="1" applyProtection="1">
      <alignment vertical="center"/>
    </xf>
    <xf numFmtId="9" fontId="6" fillId="2" borderId="0" xfId="8" applyFont="1" applyFill="1" applyAlignment="1" applyProtection="1">
      <alignment horizontal="right" vertical="center" wrapText="1"/>
      <protection locked="0"/>
    </xf>
    <xf numFmtId="176" fontId="6" fillId="2" borderId="0" xfId="1" applyNumberFormat="1" applyFont="1" applyFill="1" applyAlignment="1" applyProtection="1">
      <alignment horizontal="right" vertical="center" wrapText="1"/>
      <protection locked="0"/>
    </xf>
    <xf numFmtId="9" fontId="6" fillId="2" borderId="0" xfId="7" applyNumberFormat="1" applyFont="1" applyFill="1" applyAlignment="1" applyProtection="1">
      <alignment horizontal="right" vertical="center"/>
      <protection locked="0"/>
    </xf>
    <xf numFmtId="9" fontId="6" fillId="2" borderId="0" xfId="8" applyFont="1" applyFill="1" applyAlignment="1" applyProtection="1">
      <alignment horizontal="right" vertical="center" wrapText="1"/>
    </xf>
    <xf numFmtId="9" fontId="6" fillId="2" borderId="0" xfId="7" applyNumberFormat="1" applyFont="1" applyFill="1" applyAlignment="1" applyProtection="1">
      <alignment horizontal="right" vertical="center" wrapText="1"/>
      <protection locked="0"/>
    </xf>
    <xf numFmtId="0" fontId="5" fillId="4" borderId="1" xfId="7" applyFont="1" applyFill="1" applyBorder="1" applyAlignment="1" applyProtection="1">
      <alignment vertical="center"/>
    </xf>
    <xf numFmtId="0" fontId="17" fillId="4" borderId="0" xfId="7" applyFont="1" applyFill="1" applyAlignment="1" applyProtection="1">
      <alignment horizontal="right" vertical="center"/>
    </xf>
    <xf numFmtId="0" fontId="19" fillId="8" borderId="0" xfId="7" applyFont="1" applyFill="1" applyAlignment="1" applyProtection="1">
      <alignment vertical="center"/>
    </xf>
    <xf numFmtId="178" fontId="6" fillId="2" borderId="0" xfId="9" applyNumberFormat="1" applyFont="1" applyFill="1" applyBorder="1" applyAlignment="1" applyProtection="1">
      <alignment horizontal="right" vertical="center"/>
      <protection locked="0"/>
    </xf>
    <xf numFmtId="0" fontId="17" fillId="0" borderId="0" xfId="7" applyFont="1" applyFill="1" applyAlignment="1" applyProtection="1">
      <alignment vertical="center"/>
    </xf>
    <xf numFmtId="178" fontId="6" fillId="2" borderId="0" xfId="9" applyNumberFormat="1" applyFont="1" applyFill="1" applyAlignment="1" applyProtection="1">
      <alignment horizontal="right" vertical="center"/>
      <protection locked="0"/>
    </xf>
    <xf numFmtId="0" fontId="17" fillId="8" borderId="0" xfId="7" applyFont="1" applyFill="1" applyAlignment="1" applyProtection="1">
      <alignment vertical="center"/>
    </xf>
    <xf numFmtId="0" fontId="18" fillId="4" borderId="0" xfId="7" applyFont="1" applyFill="1" applyAlignment="1" applyProtection="1">
      <alignment vertical="center"/>
    </xf>
    <xf numFmtId="9" fontId="6" fillId="8" borderId="0" xfId="8" applyFont="1" applyFill="1" applyAlignment="1" applyProtection="1">
      <alignment horizontal="right" vertical="center" wrapText="1"/>
      <protection locked="0"/>
    </xf>
    <xf numFmtId="167" fontId="6" fillId="2" borderId="0" xfId="8" applyNumberFormat="1" applyFont="1" applyFill="1" applyAlignment="1" applyProtection="1">
      <alignment horizontal="right" vertical="center" wrapText="1"/>
      <protection locked="0"/>
    </xf>
    <xf numFmtId="9" fontId="6" fillId="2" borderId="0" xfId="8" applyNumberFormat="1" applyFont="1" applyFill="1" applyAlignment="1" applyProtection="1">
      <alignment horizontal="right" vertical="center" wrapText="1"/>
      <protection locked="0"/>
    </xf>
    <xf numFmtId="171" fontId="6" fillId="2" borderId="0" xfId="8" applyNumberFormat="1" applyFont="1" applyFill="1" applyAlignment="1" applyProtection="1">
      <alignment horizontal="right" vertical="center" wrapText="1"/>
      <protection locked="0"/>
    </xf>
    <xf numFmtId="0" fontId="17" fillId="2" borderId="1" xfId="7" applyFont="1" applyFill="1" applyBorder="1" applyAlignment="1" applyProtection="1">
      <alignment vertical="center"/>
    </xf>
    <xf numFmtId="10" fontId="17" fillId="2" borderId="0" xfId="11" applyNumberFormat="1" applyFont="1" applyFill="1" applyAlignment="1" applyProtection="1">
      <alignment vertical="center" wrapText="1"/>
    </xf>
    <xf numFmtId="10" fontId="17" fillId="2" borderId="0" xfId="11" applyNumberFormat="1" applyFont="1" applyFill="1" applyAlignment="1" applyProtection="1">
      <alignment vertical="center"/>
    </xf>
    <xf numFmtId="0" fontId="5" fillId="8" borderId="0" xfId="7" applyFont="1" applyFill="1" applyAlignment="1" applyProtection="1">
      <alignment vertical="center"/>
    </xf>
    <xf numFmtId="0" fontId="6" fillId="8" borderId="0" xfId="7" applyFont="1" applyFill="1" applyAlignment="1" applyProtection="1">
      <alignment vertical="center"/>
    </xf>
    <xf numFmtId="176" fontId="6" fillId="8" borderId="0" xfId="1" applyNumberFormat="1" applyFont="1" applyFill="1" applyAlignment="1" applyProtection="1">
      <alignment vertical="center" wrapText="1"/>
    </xf>
    <xf numFmtId="171" fontId="17" fillId="8" borderId="0" xfId="13" applyNumberFormat="1" applyFont="1" applyFill="1" applyAlignment="1" applyProtection="1">
      <alignment vertical="center" wrapText="1"/>
    </xf>
    <xf numFmtId="9" fontId="17" fillId="8" borderId="0" xfId="11" applyFont="1" applyFill="1" applyAlignment="1" applyProtection="1">
      <alignment vertical="center" wrapText="1"/>
    </xf>
    <xf numFmtId="181" fontId="22" fillId="8" borderId="0" xfId="13" applyNumberFormat="1" applyFont="1" applyFill="1" applyAlignment="1" applyProtection="1">
      <alignment vertical="center" wrapText="1"/>
    </xf>
    <xf numFmtId="171" fontId="17" fillId="8" borderId="0" xfId="13" applyNumberFormat="1" applyFont="1" applyFill="1" applyAlignment="1" applyProtection="1">
      <alignment horizontal="center" vertical="center" wrapText="1"/>
    </xf>
    <xf numFmtId="179" fontId="21" fillId="8" borderId="0" xfId="12" applyNumberFormat="1" applyFont="1" applyFill="1" applyBorder="1" applyAlignment="1" applyProtection="1">
      <alignment vertical="center"/>
      <protection locked="0"/>
    </xf>
    <xf numFmtId="179" fontId="21" fillId="8" borderId="0" xfId="12" applyFont="1" applyFill="1" applyBorder="1" applyAlignment="1" applyProtection="1">
      <alignment vertical="center"/>
      <protection locked="0"/>
    </xf>
    <xf numFmtId="179" fontId="6" fillId="8" borderId="0" xfId="12" applyFont="1" applyFill="1" applyBorder="1" applyAlignment="1" applyProtection="1">
      <alignment vertical="center"/>
    </xf>
    <xf numFmtId="0" fontId="6" fillId="8" borderId="0" xfId="7" applyFont="1" applyFill="1" applyBorder="1" applyAlignment="1" applyProtection="1">
      <alignment vertical="center" wrapText="1"/>
    </xf>
    <xf numFmtId="179" fontId="12" fillId="3" borderId="0" xfId="12" applyNumberFormat="1" applyFont="1" applyFill="1" applyBorder="1" applyAlignment="1" applyProtection="1">
      <alignment vertical="center"/>
      <protection locked="0"/>
    </xf>
    <xf numFmtId="179" fontId="12" fillId="3" borderId="0" xfId="12" applyFont="1" applyFill="1" applyBorder="1" applyAlignment="1" applyProtection="1">
      <alignment vertical="center"/>
      <protection locked="0"/>
    </xf>
    <xf numFmtId="179" fontId="12" fillId="3" borderId="0" xfId="12" applyFont="1" applyFill="1" applyBorder="1" applyAlignment="1" applyProtection="1">
      <alignment vertical="center"/>
    </xf>
    <xf numFmtId="0" fontId="12" fillId="3" borderId="0" xfId="7" applyFont="1" applyFill="1" applyBorder="1" applyAlignment="1" applyProtection="1">
      <alignment vertical="center" wrapText="1"/>
    </xf>
    <xf numFmtId="0" fontId="13" fillId="6" borderId="0" xfId="7" applyFont="1" applyFill="1" applyBorder="1" applyAlignment="1">
      <alignment horizontal="right" vertical="center"/>
    </xf>
    <xf numFmtId="0" fontId="6" fillId="2" borderId="0" xfId="7" applyFont="1" applyFill="1" applyBorder="1" applyAlignment="1">
      <alignment vertical="center"/>
    </xf>
    <xf numFmtId="9" fontId="6" fillId="2" borderId="0" xfId="8" applyFont="1" applyFill="1" applyBorder="1" applyAlignment="1">
      <alignment horizontal="right" vertical="center"/>
    </xf>
    <xf numFmtId="182" fontId="6" fillId="2" borderId="0" xfId="9" applyNumberFormat="1" applyFont="1" applyFill="1" applyBorder="1" applyAlignment="1">
      <alignment horizontal="right" vertical="center"/>
    </xf>
    <xf numFmtId="10" fontId="17" fillId="2" borderId="0" xfId="11" applyNumberFormat="1" applyFont="1" applyFill="1" applyBorder="1" applyAlignment="1">
      <alignment vertical="center" wrapText="1"/>
    </xf>
    <xf numFmtId="9" fontId="6" fillId="2" borderId="0" xfId="8" applyFont="1" applyFill="1" applyBorder="1" applyAlignment="1">
      <alignment horizontal="right" vertical="center" wrapText="1"/>
    </xf>
    <xf numFmtId="0" fontId="17" fillId="2" borderId="0" xfId="7" applyFont="1" applyFill="1" applyBorder="1" applyAlignment="1">
      <alignment vertical="center"/>
    </xf>
    <xf numFmtId="178" fontId="6" fillId="2" borderId="0" xfId="10" applyNumberFormat="1" applyFont="1" applyFill="1" applyBorder="1" applyAlignment="1">
      <alignment horizontal="right" vertical="center"/>
    </xf>
    <xf numFmtId="9" fontId="6" fillId="2" borderId="0" xfId="2" applyFont="1" applyFill="1" applyBorder="1" applyAlignment="1">
      <alignment horizontal="right" vertical="center"/>
    </xf>
    <xf numFmtId="43" fontId="6" fillId="2" borderId="0" xfId="1" applyFont="1" applyFill="1" applyBorder="1" applyAlignment="1">
      <alignment horizontal="right" vertical="center"/>
    </xf>
    <xf numFmtId="176" fontId="6" fillId="2" borderId="0" xfId="1" applyNumberFormat="1" applyFont="1" applyFill="1" applyBorder="1" applyAlignment="1">
      <alignment horizontal="right" vertical="center"/>
    </xf>
    <xf numFmtId="37" fontId="17" fillId="2" borderId="0" xfId="13" applyNumberFormat="1" applyFont="1" applyFill="1" applyBorder="1" applyAlignment="1">
      <alignment horizontal="right" vertical="center" wrapText="1"/>
    </xf>
    <xf numFmtId="37" fontId="20" fillId="2" borderId="0" xfId="7" applyNumberFormat="1" applyFont="1" applyFill="1" applyBorder="1" applyAlignment="1">
      <alignment horizontal="right" vertical="center" wrapText="1"/>
    </xf>
    <xf numFmtId="37" fontId="19" fillId="2" borderId="0" xfId="7" applyNumberFormat="1" applyFont="1" applyFill="1" applyBorder="1" applyAlignment="1">
      <alignment horizontal="right" vertical="center" wrapText="1"/>
    </xf>
    <xf numFmtId="37" fontId="6" fillId="2" borderId="0" xfId="7" applyNumberFormat="1" applyFont="1" applyFill="1" applyBorder="1" applyAlignment="1">
      <alignment horizontal="right" vertical="center" wrapText="1"/>
    </xf>
    <xf numFmtId="176" fontId="6" fillId="2" borderId="0" xfId="10" applyNumberFormat="1" applyFont="1" applyFill="1" applyBorder="1" applyAlignment="1">
      <alignment horizontal="right" vertical="center"/>
    </xf>
    <xf numFmtId="176" fontId="17" fillId="2" borderId="0" xfId="7" applyNumberFormat="1" applyFont="1" applyFill="1" applyBorder="1" applyAlignment="1">
      <alignment horizontal="right" vertical="center" wrapText="1"/>
    </xf>
    <xf numFmtId="9" fontId="6" fillId="2" borderId="0" xfId="11" applyFont="1" applyFill="1" applyBorder="1" applyAlignment="1">
      <alignment horizontal="right" vertical="center"/>
    </xf>
    <xf numFmtId="9" fontId="23" fillId="2" borderId="0" xfId="11" applyFont="1" applyFill="1" applyBorder="1" applyAlignment="1">
      <alignment horizontal="right" vertical="center"/>
    </xf>
    <xf numFmtId="178" fontId="6" fillId="0" borderId="0" xfId="10" applyNumberFormat="1" applyFont="1" applyFill="1" applyBorder="1" applyAlignment="1">
      <alignment horizontal="right" vertical="center"/>
    </xf>
    <xf numFmtId="0" fontId="17" fillId="2" borderId="0" xfId="7" applyFont="1" applyFill="1" applyBorder="1" applyAlignment="1"/>
    <xf numFmtId="171" fontId="19" fillId="8" borderId="0" xfId="13" applyNumberFormat="1" applyFont="1" applyFill="1" applyBorder="1" applyAlignment="1">
      <alignment horizontal="right" vertical="center"/>
    </xf>
    <xf numFmtId="178" fontId="6" fillId="8" borderId="0" xfId="10" applyNumberFormat="1" applyFont="1" applyFill="1" applyBorder="1" applyAlignment="1">
      <alignment horizontal="right" vertical="center"/>
    </xf>
    <xf numFmtId="0" fontId="17" fillId="8" borderId="0" xfId="7" applyFont="1" applyFill="1" applyBorder="1" applyAlignment="1">
      <alignment vertical="center"/>
    </xf>
    <xf numFmtId="168" fontId="6" fillId="8" borderId="0" xfId="14" applyNumberFormat="1" applyFont="1" applyFill="1" applyBorder="1" applyAlignment="1">
      <alignment horizontal="right" vertical="center"/>
    </xf>
    <xf numFmtId="9" fontId="6" fillId="2" borderId="0" xfId="10" applyNumberFormat="1" applyFont="1" applyFill="1" applyBorder="1" applyAlignment="1">
      <alignment horizontal="right" vertical="center"/>
    </xf>
    <xf numFmtId="167" fontId="17" fillId="2" borderId="0" xfId="13" applyNumberFormat="1" applyFont="1" applyFill="1" applyBorder="1" applyAlignment="1">
      <alignment horizontal="right" vertical="center" wrapText="1"/>
    </xf>
    <xf numFmtId="39" fontId="17" fillId="2" borderId="0" xfId="13" applyNumberFormat="1" applyFont="1" applyFill="1" applyBorder="1" applyAlignment="1">
      <alignment horizontal="right" vertical="center" wrapText="1"/>
    </xf>
    <xf numFmtId="9" fontId="6" fillId="2" borderId="0" xfId="2" applyFont="1" applyFill="1" applyBorder="1" applyAlignment="1">
      <alignment horizontal="right" vertical="center" wrapText="1"/>
    </xf>
    <xf numFmtId="9" fontId="17" fillId="2" borderId="0" xfId="2" applyFont="1" applyFill="1" applyBorder="1" applyAlignment="1">
      <alignment horizontal="right" vertical="center" wrapText="1"/>
    </xf>
    <xf numFmtId="3" fontId="19" fillId="2" borderId="0" xfId="10" applyNumberFormat="1" applyFont="1" applyFill="1" applyBorder="1" applyAlignment="1">
      <alignment horizontal="right" vertical="center"/>
    </xf>
    <xf numFmtId="9" fontId="19" fillId="2" borderId="0" xfId="11" applyFont="1" applyFill="1" applyBorder="1" applyAlignment="1">
      <alignment horizontal="right" vertical="center"/>
    </xf>
    <xf numFmtId="3" fontId="19" fillId="2" borderId="0" xfId="7" applyNumberFormat="1" applyFont="1" applyFill="1" applyBorder="1" applyAlignment="1">
      <alignment horizontal="right" vertical="center"/>
    </xf>
    <xf numFmtId="176" fontId="19" fillId="2" borderId="0" xfId="1" applyNumberFormat="1" applyFont="1" applyFill="1" applyBorder="1" applyAlignment="1">
      <alignment horizontal="right" vertical="center"/>
    </xf>
    <xf numFmtId="176" fontId="6" fillId="2" borderId="0" xfId="7" applyNumberFormat="1" applyFont="1" applyFill="1" applyBorder="1" applyAlignment="1">
      <alignment horizontal="right" vertical="center"/>
    </xf>
    <xf numFmtId="183" fontId="17" fillId="2" borderId="0" xfId="1" applyNumberFormat="1" applyFont="1" applyFill="1" applyBorder="1" applyAlignment="1">
      <alignment horizontal="right" vertical="center" wrapText="1"/>
    </xf>
    <xf numFmtId="0" fontId="17" fillId="2" borderId="0" xfId="7" applyFont="1" applyFill="1" applyBorder="1">
      <alignment vertical="top" wrapText="1"/>
    </xf>
    <xf numFmtId="178" fontId="19" fillId="2" borderId="0" xfId="10" applyNumberFormat="1" applyFont="1" applyFill="1" applyBorder="1" applyAlignment="1">
      <alignment horizontal="right" vertical="center"/>
    </xf>
    <xf numFmtId="0" fontId="17" fillId="2" borderId="0" xfId="7" applyFont="1" applyFill="1" applyBorder="1" applyAlignment="1">
      <alignment vertical="center" wrapText="1"/>
    </xf>
    <xf numFmtId="9" fontId="6" fillId="2" borderId="0" xfId="11" applyFont="1" applyFill="1" applyBorder="1" applyAlignment="1">
      <alignment horizontal="right" vertical="center" wrapText="1"/>
    </xf>
    <xf numFmtId="171" fontId="19" fillId="8" borderId="0" xfId="7" applyNumberFormat="1" applyFont="1" applyFill="1" applyBorder="1" applyAlignment="1">
      <alignment horizontal="right" vertical="center"/>
    </xf>
    <xf numFmtId="3" fontId="17" fillId="2" borderId="0" xfId="7" applyNumberFormat="1" applyFont="1" applyFill="1" applyBorder="1" applyAlignment="1">
      <alignment horizontal="right" vertical="center" wrapText="1"/>
    </xf>
    <xf numFmtId="168" fontId="17" fillId="2" borderId="0" xfId="8" applyNumberFormat="1" applyFont="1" applyFill="1" applyBorder="1" applyAlignment="1">
      <alignment horizontal="right" vertical="center" wrapText="1"/>
    </xf>
    <xf numFmtId="9" fontId="6" fillId="2" borderId="0" xfId="11" applyFont="1" applyFill="1" applyAlignment="1" applyProtection="1">
      <alignment horizontal="right" vertical="center" wrapText="1"/>
      <protection locked="0"/>
    </xf>
    <xf numFmtId="171" fontId="6" fillId="2" borderId="0" xfId="11" applyNumberFormat="1" applyFont="1" applyFill="1" applyAlignment="1" applyProtection="1">
      <alignment horizontal="right" vertical="center" wrapText="1"/>
      <protection locked="0"/>
    </xf>
    <xf numFmtId="0" fontId="5" fillId="4" borderId="0" xfId="7" applyFont="1" applyFill="1" applyBorder="1" applyAlignment="1">
      <alignment vertical="center"/>
    </xf>
    <xf numFmtId="0" fontId="5" fillId="4" borderId="0" xfId="7" applyFont="1" applyFill="1" applyBorder="1" applyAlignment="1">
      <alignment horizontal="right" vertical="center"/>
    </xf>
    <xf numFmtId="178" fontId="6" fillId="4" borderId="0" xfId="10" applyNumberFormat="1" applyFont="1" applyFill="1" applyBorder="1" applyAlignment="1">
      <alignment horizontal="right" vertical="center"/>
    </xf>
    <xf numFmtId="178" fontId="20" fillId="4" borderId="0" xfId="10" applyNumberFormat="1" applyFont="1" applyFill="1" applyBorder="1" applyAlignment="1">
      <alignment horizontal="right" vertical="center"/>
    </xf>
    <xf numFmtId="0" fontId="17" fillId="4" borderId="0" xfId="7" applyFont="1" applyFill="1" applyBorder="1" applyAlignment="1">
      <alignment horizontal="right" vertical="center" wrapText="1"/>
    </xf>
    <xf numFmtId="178" fontId="5" fillId="4" borderId="0" xfId="10" applyNumberFormat="1" applyFont="1" applyFill="1" applyBorder="1" applyAlignment="1">
      <alignment horizontal="right" vertical="center"/>
    </xf>
    <xf numFmtId="0" fontId="18" fillId="4" borderId="0" xfId="7" applyFont="1" applyFill="1" applyBorder="1" applyAlignment="1">
      <alignment vertical="center"/>
    </xf>
    <xf numFmtId="178" fontId="18" fillId="4" borderId="0" xfId="10" applyNumberFormat="1" applyFont="1" applyFill="1" applyBorder="1" applyAlignment="1">
      <alignment horizontal="right" vertical="center"/>
    </xf>
    <xf numFmtId="0" fontId="17" fillId="4" borderId="0" xfId="7" applyFont="1" applyFill="1" applyBorder="1" applyAlignment="1">
      <alignment horizontal="right" vertical="center"/>
    </xf>
    <xf numFmtId="0" fontId="18" fillId="2" borderId="0" xfId="7" applyFont="1" applyFill="1" applyBorder="1" applyAlignment="1">
      <alignment vertical="center"/>
    </xf>
    <xf numFmtId="178" fontId="18" fillId="2" borderId="0" xfId="10" applyNumberFormat="1" applyFont="1" applyFill="1" applyBorder="1" applyAlignment="1">
      <alignment horizontal="right" vertical="center"/>
    </xf>
    <xf numFmtId="0" fontId="10" fillId="2" borderId="0" xfId="0" applyFont="1" applyFill="1"/>
    <xf numFmtId="169" fontId="24" fillId="2" borderId="0" xfId="5" applyNumberFormat="1" applyFont="1" applyFill="1" applyAlignment="1">
      <alignment horizontal="center"/>
    </xf>
    <xf numFmtId="0" fontId="25" fillId="2" borderId="0" xfId="0" applyFont="1" applyFill="1"/>
    <xf numFmtId="9" fontId="24" fillId="2" borderId="0" xfId="5" applyFont="1" applyFill="1" applyAlignment="1">
      <alignment horizontal="center"/>
    </xf>
    <xf numFmtId="0" fontId="24" fillId="2" borderId="0" xfId="3" applyFont="1" applyFill="1"/>
    <xf numFmtId="0" fontId="26" fillId="2" borderId="0" xfId="0" applyFont="1" applyFill="1"/>
    <xf numFmtId="0" fontId="27" fillId="2" borderId="0" xfId="0" applyFont="1" applyFill="1"/>
    <xf numFmtId="0" fontId="28" fillId="2" borderId="0" xfId="0" applyFont="1" applyFill="1"/>
    <xf numFmtId="0" fontId="29" fillId="3" borderId="0" xfId="0" applyFont="1" applyFill="1"/>
    <xf numFmtId="174" fontId="30" fillId="3" borderId="0" xfId="1" applyNumberFormat="1" applyFont="1" applyFill="1"/>
    <xf numFmtId="173" fontId="25" fillId="2" borderId="0" xfId="1" applyNumberFormat="1" applyFont="1" applyFill="1"/>
    <xf numFmtId="0" fontId="25" fillId="2" borderId="0" xfId="0" applyFont="1" applyFill="1" applyAlignment="1">
      <alignment horizontal="left"/>
    </xf>
    <xf numFmtId="0" fontId="25" fillId="4" borderId="0" xfId="0" applyFont="1" applyFill="1"/>
    <xf numFmtId="173" fontId="25" fillId="4" borderId="0" xfId="1" applyNumberFormat="1" applyFont="1" applyFill="1"/>
    <xf numFmtId="0" fontId="28" fillId="2" borderId="0" xfId="0" applyFont="1" applyFill="1" applyAlignment="1">
      <alignment horizontal="right"/>
    </xf>
    <xf numFmtId="0" fontId="25" fillId="2" borderId="0" xfId="0" applyFont="1" applyFill="1" applyAlignment="1">
      <alignment horizontal="right"/>
    </xf>
    <xf numFmtId="173" fontId="29" fillId="3" borderId="0" xfId="1" applyNumberFormat="1" applyFont="1" applyFill="1"/>
    <xf numFmtId="0" fontId="29" fillId="5" borderId="0" xfId="0" applyFont="1" applyFill="1"/>
    <xf numFmtId="0" fontId="25" fillId="2" borderId="0" xfId="0" applyFont="1" applyFill="1" applyAlignment="1">
      <alignment horizontal="center"/>
    </xf>
    <xf numFmtId="0" fontId="28" fillId="4" borderId="0" xfId="0" applyFont="1" applyFill="1"/>
    <xf numFmtId="0" fontId="28" fillId="4" borderId="0" xfId="0" applyFont="1" applyFill="1" applyAlignment="1">
      <alignment horizontal="center"/>
    </xf>
    <xf numFmtId="0" fontId="5" fillId="6" borderId="0" xfId="7" applyFont="1" applyFill="1" applyBorder="1" applyAlignment="1">
      <alignment horizontal="right" vertical="center"/>
    </xf>
    <xf numFmtId="0" fontId="5" fillId="9" borderId="0" xfId="7" applyFont="1" applyFill="1" applyBorder="1" applyAlignment="1">
      <alignment vertical="center"/>
    </xf>
    <xf numFmtId="178" fontId="5" fillId="9" borderId="0" xfId="10" applyNumberFormat="1" applyFont="1" applyFill="1" applyBorder="1" applyAlignment="1">
      <alignment horizontal="right" vertical="center"/>
    </xf>
    <xf numFmtId="0" fontId="31" fillId="3" borderId="0" xfId="0" applyFont="1" applyFill="1"/>
    <xf numFmtId="0" fontId="32" fillId="3" borderId="0" xfId="0" applyFont="1" applyFill="1"/>
    <xf numFmtId="1" fontId="31" fillId="3" borderId="0" xfId="0" applyNumberFormat="1" applyFont="1" applyFill="1"/>
    <xf numFmtId="1" fontId="26" fillId="2" borderId="0" xfId="0" applyNumberFormat="1" applyFont="1" applyFill="1"/>
    <xf numFmtId="3" fontId="27" fillId="2" borderId="0" xfId="0" applyNumberFormat="1" applyFont="1" applyFill="1"/>
    <xf numFmtId="0" fontId="33" fillId="2" borderId="0" xfId="0" applyNumberFormat="1" applyFont="1" applyFill="1" applyAlignment="1">
      <alignment horizontal="right"/>
    </xf>
    <xf numFmtId="0" fontId="27" fillId="2" borderId="0" xfId="0" applyNumberFormat="1" applyFont="1" applyFill="1"/>
    <xf numFmtId="168" fontId="27" fillId="2" borderId="0" xfId="0" applyNumberFormat="1" applyFont="1" applyFill="1" applyBorder="1"/>
    <xf numFmtId="1" fontId="27" fillId="2" borderId="0" xfId="0" applyNumberFormat="1" applyFont="1" applyFill="1" applyBorder="1"/>
    <xf numFmtId="3" fontId="27" fillId="2" borderId="0" xfId="0" applyNumberFormat="1" applyFont="1" applyFill="1" applyBorder="1"/>
    <xf numFmtId="1" fontId="27" fillId="2" borderId="0" xfId="0" applyNumberFormat="1" applyFont="1" applyFill="1"/>
    <xf numFmtId="164" fontId="27" fillId="2" borderId="0" xfId="0" applyNumberFormat="1" applyFont="1" applyFill="1"/>
    <xf numFmtId="0" fontId="27" fillId="2" borderId="0" xfId="0" applyNumberFormat="1" applyFont="1" applyFill="1" applyAlignment="1">
      <alignment horizontal="center"/>
    </xf>
    <xf numFmtId="0" fontId="25" fillId="2" borderId="0" xfId="0" applyNumberFormat="1" applyFont="1" applyFill="1"/>
    <xf numFmtId="168" fontId="25" fillId="2" borderId="0" xfId="0" applyNumberFormat="1" applyFont="1" applyFill="1"/>
    <xf numFmtId="3" fontId="25" fillId="2" borderId="0" xfId="0" applyNumberFormat="1" applyFont="1" applyFill="1"/>
    <xf numFmtId="164" fontId="25" fillId="2" borderId="0" xfId="0" applyNumberFormat="1" applyFont="1" applyFill="1"/>
    <xf numFmtId="3" fontId="25" fillId="7" borderId="0" xfId="0" applyNumberFormat="1" applyFont="1" applyFill="1"/>
    <xf numFmtId="175" fontId="25" fillId="7" borderId="0" xfId="0" applyNumberFormat="1" applyFont="1" applyFill="1"/>
    <xf numFmtId="2" fontId="27" fillId="2" borderId="0" xfId="0" applyNumberFormat="1" applyFont="1" applyFill="1"/>
    <xf numFmtId="9" fontId="27" fillId="2" borderId="0" xfId="0" applyNumberFormat="1" applyFont="1" applyFill="1"/>
    <xf numFmtId="0" fontId="34" fillId="2" borderId="0" xfId="0" applyNumberFormat="1" applyFont="1" applyFill="1"/>
    <xf numFmtId="168" fontId="27" fillId="2" borderId="0" xfId="0" applyNumberFormat="1" applyFont="1" applyFill="1" applyAlignment="1">
      <alignment horizontal="center"/>
    </xf>
    <xf numFmtId="1" fontId="27" fillId="2" borderId="0" xfId="0" applyNumberFormat="1" applyFont="1" applyFill="1" applyAlignment="1">
      <alignment horizontal="center"/>
    </xf>
    <xf numFmtId="3" fontId="27" fillId="2" borderId="0" xfId="0" applyNumberFormat="1" applyFont="1" applyFill="1" applyAlignment="1">
      <alignment horizontal="center"/>
    </xf>
    <xf numFmtId="164" fontId="27" fillId="2" borderId="0" xfId="0" applyNumberFormat="1" applyFont="1" applyFill="1" applyAlignment="1">
      <alignment horizontal="center"/>
    </xf>
    <xf numFmtId="3" fontId="27" fillId="7" borderId="0" xfId="0" applyNumberFormat="1" applyFont="1" applyFill="1" applyAlignment="1">
      <alignment horizontal="center"/>
    </xf>
    <xf numFmtId="1" fontId="25" fillId="2" borderId="0" xfId="0" applyNumberFormat="1" applyFont="1" applyFill="1"/>
    <xf numFmtId="165" fontId="25" fillId="2" borderId="0" xfId="0" applyNumberFormat="1" applyFont="1" applyFill="1"/>
    <xf numFmtId="168" fontId="25" fillId="2" borderId="0" xfId="0" applyNumberFormat="1" applyFont="1" applyFill="1" applyAlignment="1">
      <alignment horizontal="center"/>
    </xf>
    <xf numFmtId="3" fontId="25" fillId="2" borderId="0" xfId="0" applyNumberFormat="1" applyFont="1" applyFill="1" applyAlignment="1">
      <alignment horizontal="center"/>
    </xf>
    <xf numFmtId="9" fontId="25" fillId="2" borderId="0" xfId="0" applyNumberFormat="1" applyFont="1" applyFill="1" applyAlignment="1">
      <alignment horizontal="center"/>
    </xf>
    <xf numFmtId="0" fontId="25" fillId="2" borderId="0" xfId="0" applyNumberFormat="1" applyFont="1" applyFill="1" applyAlignment="1">
      <alignment horizontal="center"/>
    </xf>
    <xf numFmtId="166" fontId="27" fillId="2" borderId="0" xfId="0" applyNumberFormat="1" applyFont="1" applyFill="1"/>
    <xf numFmtId="3" fontId="25" fillId="7" borderId="0" xfId="0" applyNumberFormat="1" applyFont="1" applyFill="1" applyAlignment="1">
      <alignment horizontal="center"/>
    </xf>
    <xf numFmtId="1" fontId="25" fillId="7" borderId="0" xfId="0" applyNumberFormat="1" applyFont="1" applyFill="1" applyAlignment="1">
      <alignment horizontal="center"/>
    </xf>
    <xf numFmtId="1" fontId="27" fillId="7" borderId="0" xfId="0" applyNumberFormat="1" applyFont="1" applyFill="1" applyAlignment="1">
      <alignment horizontal="center"/>
    </xf>
    <xf numFmtId="3" fontId="27" fillId="7" borderId="0" xfId="0" applyNumberFormat="1" applyFont="1" applyFill="1"/>
    <xf numFmtId="0" fontId="5" fillId="8" borderId="0" xfId="7" applyFont="1" applyFill="1" applyAlignment="1" applyProtection="1">
      <alignment horizontal="center" vertical="center"/>
    </xf>
    <xf numFmtId="9" fontId="5" fillId="8" borderId="0" xfId="11" applyFont="1" applyFill="1" applyAlignment="1" applyProtection="1">
      <alignment horizontal="center" vertical="center" wrapText="1"/>
    </xf>
    <xf numFmtId="180" fontId="6" fillId="8" borderId="0" xfId="12" applyNumberFormat="1" applyFont="1" applyFill="1" applyAlignment="1" applyProtection="1">
      <alignment horizontal="center" vertical="center"/>
      <protection locked="0"/>
    </xf>
    <xf numFmtId="176" fontId="6" fillId="8" borderId="0" xfId="1" applyNumberFormat="1" applyFont="1" applyFill="1" applyAlignment="1" applyProtection="1">
      <alignment horizontal="center" vertical="center" wrapText="1"/>
      <protection locked="0"/>
    </xf>
    <xf numFmtId="171" fontId="17" fillId="8" borderId="0" xfId="11" applyNumberFormat="1" applyFont="1" applyFill="1" applyAlignment="1" applyProtection="1">
      <alignment horizontal="center" vertical="center" wrapText="1"/>
    </xf>
    <xf numFmtId="176" fontId="6" fillId="8" borderId="0" xfId="1" applyNumberFormat="1" applyFont="1" applyFill="1" applyAlignment="1" applyProtection="1">
      <alignment horizontal="center" vertical="center" wrapText="1"/>
    </xf>
    <xf numFmtId="171" fontId="6" fillId="8" borderId="0" xfId="11" applyNumberFormat="1" applyFont="1" applyFill="1" applyAlignment="1" applyProtection="1">
      <alignment horizontal="center" vertical="center"/>
      <protection locked="0"/>
    </xf>
    <xf numFmtId="181" fontId="6" fillId="8" borderId="0" xfId="13" applyNumberFormat="1" applyFont="1" applyFill="1" applyAlignment="1" applyProtection="1">
      <alignment horizontal="center" vertical="center" wrapText="1"/>
      <protection locked="0"/>
    </xf>
    <xf numFmtId="0" fontId="18" fillId="8" borderId="0" xfId="7" applyFont="1" applyFill="1" applyAlignment="1" applyProtection="1">
      <alignment horizontal="center" vertical="center" wrapText="1"/>
    </xf>
    <xf numFmtId="0" fontId="5" fillId="8" borderId="0" xfId="7" applyFont="1" applyFill="1" applyBorder="1" applyAlignment="1" applyProtection="1">
      <alignment vertical="center"/>
    </xf>
    <xf numFmtId="179" fontId="6" fillId="8" borderId="0" xfId="12" applyFont="1" applyFill="1" applyBorder="1" applyAlignment="1" applyProtection="1">
      <alignment vertical="center"/>
      <protection locked="0"/>
    </xf>
    <xf numFmtId="179" fontId="6" fillId="8" borderId="0" xfId="12" applyNumberFormat="1" applyFont="1" applyFill="1" applyBorder="1" applyAlignment="1" applyProtection="1">
      <alignment horizontal="right" vertical="center"/>
      <protection locked="0"/>
    </xf>
    <xf numFmtId="3" fontId="4" fillId="7" borderId="0" xfId="0" applyNumberFormat="1" applyFont="1" applyFill="1"/>
    <xf numFmtId="0" fontId="27" fillId="4" borderId="0" xfId="0" applyFont="1" applyFill="1"/>
    <xf numFmtId="3" fontId="27" fillId="4" borderId="0" xfId="0" applyNumberFormat="1" applyFont="1" applyFill="1"/>
    <xf numFmtId="1" fontId="27" fillId="4" borderId="0" xfId="0" applyNumberFormat="1" applyFont="1" applyFill="1"/>
    <xf numFmtId="0" fontId="27" fillId="4" borderId="0" xfId="0" applyNumberFormat="1" applyFont="1" applyFill="1"/>
    <xf numFmtId="3" fontId="9" fillId="2" borderId="0" xfId="3" applyNumberFormat="1" applyFont="1" applyFill="1" applyAlignment="1"/>
    <xf numFmtId="43" fontId="25" fillId="2" borderId="0" xfId="0" applyNumberFormat="1" applyFont="1" applyFill="1" applyAlignment="1"/>
    <xf numFmtId="0" fontId="35" fillId="2" borderId="0" xfId="0" applyFont="1" applyFill="1"/>
    <xf numFmtId="0" fontId="35" fillId="10" borderId="0" xfId="0" applyFont="1" applyFill="1"/>
    <xf numFmtId="0" fontId="35" fillId="11" borderId="0" xfId="0" applyFont="1" applyFill="1"/>
    <xf numFmtId="0" fontId="35" fillId="12" borderId="0" xfId="0" applyFont="1" applyFill="1"/>
    <xf numFmtId="0" fontId="35" fillId="13" borderId="0" xfId="0" applyFont="1" applyFill="1"/>
    <xf numFmtId="0" fontId="35" fillId="14" borderId="0" xfId="0" applyFont="1" applyFill="1"/>
    <xf numFmtId="0" fontId="35" fillId="2" borderId="0" xfId="0" applyFont="1" applyFill="1" applyAlignment="1">
      <alignment horizontal="right"/>
    </xf>
    <xf numFmtId="0" fontId="35" fillId="2" borderId="0" xfId="0" applyFont="1" applyFill="1" applyAlignment="1">
      <alignment horizontal="left"/>
    </xf>
    <xf numFmtId="0" fontId="36" fillId="2" borderId="0" xfId="0" applyFont="1" applyFill="1"/>
    <xf numFmtId="3" fontId="9" fillId="2" borderId="0" xfId="3" applyNumberFormat="1" applyFont="1" applyFill="1" applyAlignment="1">
      <alignment horizontal="center"/>
    </xf>
    <xf numFmtId="3" fontId="10" fillId="2" borderId="0" xfId="1" applyNumberFormat="1" applyFont="1" applyFill="1" applyAlignment="1">
      <alignment horizontal="center"/>
    </xf>
    <xf numFmtId="3" fontId="10" fillId="2" borderId="0" xfId="0" applyNumberFormat="1" applyFont="1" applyFill="1" applyAlignment="1">
      <alignment horizontal="center"/>
    </xf>
    <xf numFmtId="3" fontId="10" fillId="2" borderId="0" xfId="0" applyNumberFormat="1" applyFont="1" applyFill="1"/>
    <xf numFmtId="175" fontId="10" fillId="2" borderId="0" xfId="0" applyNumberFormat="1" applyFont="1" applyFill="1" applyAlignment="1">
      <alignment horizontal="center"/>
    </xf>
    <xf numFmtId="9" fontId="10" fillId="2" borderId="0" xfId="2" applyFont="1" applyFill="1" applyAlignment="1">
      <alignment horizontal="center"/>
    </xf>
    <xf numFmtId="43" fontId="25" fillId="2" borderId="0" xfId="1" applyFont="1" applyFill="1" applyAlignment="1">
      <alignment horizontal="center"/>
    </xf>
    <xf numFmtId="184" fontId="25" fillId="4" borderId="0" xfId="1" applyNumberFormat="1" applyFont="1" applyFill="1" applyAlignment="1">
      <alignment horizontal="center" vertical="center"/>
    </xf>
    <xf numFmtId="0" fontId="10" fillId="4" borderId="0" xfId="0" applyFont="1" applyFill="1"/>
    <xf numFmtId="173" fontId="10" fillId="2" borderId="0" xfId="1" applyNumberFormat="1" applyFont="1" applyFill="1"/>
    <xf numFmtId="173" fontId="10" fillId="4" borderId="0" xfId="1" applyNumberFormat="1" applyFont="1" applyFill="1"/>
    <xf numFmtId="9" fontId="25" fillId="2" borderId="0" xfId="2" applyFont="1" applyFill="1"/>
    <xf numFmtId="0" fontId="35" fillId="2" borderId="0" xfId="0" applyFont="1" applyFill="1" applyAlignment="1">
      <alignment vertical="center" wrapText="1"/>
    </xf>
    <xf numFmtId="0" fontId="35" fillId="2" borderId="0" xfId="0" applyFont="1" applyFill="1" applyAlignment="1">
      <alignment horizontal="left" wrapText="1"/>
    </xf>
    <xf numFmtId="0" fontId="5" fillId="4" borderId="1" xfId="7" applyFont="1" applyFill="1" applyBorder="1" applyAlignment="1" applyProtection="1">
      <alignment horizontal="center" vertical="center"/>
    </xf>
    <xf numFmtId="0" fontId="5" fillId="4" borderId="0" xfId="7" applyFont="1" applyFill="1" applyBorder="1" applyAlignment="1" applyProtection="1">
      <alignment horizontal="center" vertical="center"/>
    </xf>
    <xf numFmtId="0" fontId="37" fillId="2" borderId="0" xfId="0" applyFont="1" applyFill="1"/>
    <xf numFmtId="0" fontId="37" fillId="4" borderId="0" xfId="0" applyFont="1" applyFill="1"/>
    <xf numFmtId="175" fontId="25" fillId="7" borderId="0" xfId="0" applyNumberFormat="1" applyFont="1" applyFill="1" applyAlignment="1">
      <alignment horizontal="center"/>
    </xf>
    <xf numFmtId="189" fontId="25" fillId="7" borderId="0" xfId="0" applyNumberFormat="1" applyFont="1" applyFill="1" applyAlignment="1">
      <alignment horizontal="center"/>
    </xf>
    <xf numFmtId="0" fontId="38" fillId="2" borderId="0" xfId="0" applyFont="1" applyFill="1" applyAlignment="1">
      <alignment horizontal="center"/>
    </xf>
  </cellXfs>
  <cellStyles count="15">
    <cellStyle name="Comma 2" xfId="13"/>
    <cellStyle name="Comma 3 2" xfId="10"/>
    <cellStyle name="Currency 2" xfId="9"/>
    <cellStyle name="Currency 3" xfId="12"/>
    <cellStyle name="Millares" xfId="1" builtinId="3"/>
    <cellStyle name="Millares 2" xfId="4"/>
    <cellStyle name="Normal" xfId="0" builtinId="0"/>
    <cellStyle name="Normal 2" xfId="3"/>
    <cellStyle name="Normal 3" xfId="7"/>
    <cellStyle name="Normal 9" xfId="6"/>
    <cellStyle name="Percent 2" xfId="8"/>
    <cellStyle name="Percent 2 2" xfId="14"/>
    <cellStyle name="Percent 3" xfId="11"/>
    <cellStyle name="Porcentaje" xfId="2" builtinId="5"/>
    <cellStyle name="Porcentaje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0</xdr:row>
      <xdr:rowOff>9525</xdr:rowOff>
    </xdr:from>
    <xdr:to>
      <xdr:col>2</xdr:col>
      <xdr:colOff>476514</xdr:colOff>
      <xdr:row>7</xdr:row>
      <xdr:rowOff>19050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825" y="9525"/>
          <a:ext cx="1876689" cy="1276350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name="tabla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P33"/>
  <sheetViews>
    <sheetView workbookViewId="0">
      <selection activeCell="J17" sqref="J17"/>
    </sheetView>
  </sheetViews>
  <sheetFormatPr baseColWidth="10" defaultRowHeight="14.25"/>
  <cols>
    <col min="1" max="4" width="11.42578125" style="213"/>
    <col min="5" max="5" width="3.5703125" style="213" customWidth="1"/>
    <col min="6" max="16384" width="11.42578125" style="213"/>
  </cols>
  <sheetData>
    <row r="3" spans="4:16">
      <c r="D3" s="234"/>
      <c r="E3" s="234"/>
      <c r="F3" s="234"/>
      <c r="G3" s="234"/>
      <c r="H3" s="234"/>
      <c r="I3" s="234"/>
      <c r="J3" s="234"/>
      <c r="K3" s="234"/>
      <c r="L3" s="234"/>
      <c r="M3" s="234"/>
      <c r="N3" s="234"/>
      <c r="O3" s="234"/>
      <c r="P3" s="234"/>
    </row>
    <row r="4" spans="4:16">
      <c r="D4" s="234"/>
      <c r="E4" s="234"/>
      <c r="F4" s="234"/>
      <c r="G4" s="234"/>
      <c r="H4" s="234"/>
      <c r="I4" s="234"/>
      <c r="J4" s="234"/>
      <c r="K4" s="234"/>
      <c r="L4" s="234"/>
      <c r="M4" s="234"/>
      <c r="N4" s="234"/>
      <c r="O4" s="234"/>
      <c r="P4" s="234"/>
    </row>
    <row r="5" spans="4:16">
      <c r="D5" s="235" t="s">
        <v>403</v>
      </c>
      <c r="E5" s="235"/>
      <c r="F5" s="235"/>
      <c r="G5" s="235"/>
      <c r="H5" s="235"/>
      <c r="I5" s="235"/>
      <c r="J5" s="235"/>
      <c r="K5" s="235"/>
      <c r="L5" s="235"/>
      <c r="M5" s="235"/>
      <c r="N5" s="235"/>
      <c r="O5" s="235"/>
      <c r="P5" s="234"/>
    </row>
    <row r="6" spans="4:16">
      <c r="D6" s="235"/>
      <c r="E6" s="235"/>
      <c r="F6" s="235"/>
      <c r="G6" s="235"/>
      <c r="H6" s="235"/>
      <c r="I6" s="235"/>
      <c r="J6" s="235"/>
      <c r="K6" s="235"/>
      <c r="L6" s="235"/>
      <c r="M6" s="235"/>
      <c r="N6" s="235"/>
      <c r="O6" s="235"/>
      <c r="P6" s="234"/>
    </row>
    <row r="7" spans="4:16">
      <c r="D7" s="234"/>
      <c r="E7" s="234"/>
      <c r="F7" s="234"/>
      <c r="G7" s="234"/>
      <c r="H7" s="234"/>
      <c r="I7" s="234"/>
      <c r="J7" s="234"/>
      <c r="K7" s="234"/>
      <c r="L7" s="234"/>
      <c r="M7" s="234"/>
      <c r="N7" s="234"/>
      <c r="O7" s="234"/>
      <c r="P7" s="234"/>
    </row>
    <row r="9" spans="4:16">
      <c r="D9" s="214"/>
      <c r="F9" s="213" t="s">
        <v>388</v>
      </c>
    </row>
    <row r="11" spans="4:16">
      <c r="D11" s="215"/>
      <c r="F11" s="213" t="s">
        <v>368</v>
      </c>
    </row>
    <row r="13" spans="4:16">
      <c r="D13" s="216"/>
      <c r="F13" s="213" t="s">
        <v>369</v>
      </c>
    </row>
    <row r="15" spans="4:16">
      <c r="D15" s="217"/>
      <c r="F15" s="213" t="s">
        <v>370</v>
      </c>
    </row>
    <row r="17" spans="4:15">
      <c r="D17" s="218"/>
      <c r="F17" s="213" t="s">
        <v>371</v>
      </c>
    </row>
    <row r="20" spans="4:15">
      <c r="D20" s="213" t="s">
        <v>372</v>
      </c>
    </row>
    <row r="22" spans="4:15">
      <c r="D22" s="219" t="s">
        <v>15</v>
      </c>
      <c r="F22" s="220" t="s">
        <v>404</v>
      </c>
    </row>
    <row r="23" spans="4:15">
      <c r="D23" s="219"/>
      <c r="F23" s="220"/>
    </row>
    <row r="24" spans="4:15">
      <c r="D24" s="219" t="s">
        <v>15</v>
      </c>
      <c r="F24" s="220" t="s">
        <v>405</v>
      </c>
    </row>
    <row r="25" spans="4:15">
      <c r="D25" s="219"/>
      <c r="F25" s="220"/>
    </row>
    <row r="26" spans="4:15">
      <c r="D26" s="219" t="s">
        <v>15</v>
      </c>
      <c r="F26" s="213" t="s">
        <v>389</v>
      </c>
    </row>
    <row r="27" spans="4:15">
      <c r="D27" s="219"/>
      <c r="F27" s="220"/>
    </row>
    <row r="28" spans="4:15">
      <c r="D28" s="219" t="s">
        <v>15</v>
      </c>
      <c r="F28" s="220" t="s">
        <v>406</v>
      </c>
    </row>
    <row r="30" spans="4:15">
      <c r="D30" s="219" t="s">
        <v>15</v>
      </c>
      <c r="F30" s="220" t="s">
        <v>407</v>
      </c>
    </row>
    <row r="32" spans="4:15">
      <c r="D32" s="219" t="s">
        <v>15</v>
      </c>
      <c r="F32" s="235" t="s">
        <v>408</v>
      </c>
      <c r="G32" s="235"/>
      <c r="H32" s="235"/>
      <c r="I32" s="235"/>
      <c r="J32" s="235"/>
      <c r="K32" s="235"/>
      <c r="L32" s="235"/>
      <c r="M32" s="235"/>
      <c r="N32" s="235"/>
      <c r="O32" s="235"/>
    </row>
    <row r="33" spans="6:15">
      <c r="F33" s="235"/>
      <c r="G33" s="235"/>
      <c r="H33" s="235"/>
      <c r="I33" s="235"/>
      <c r="J33" s="235"/>
      <c r="K33" s="235"/>
      <c r="L33" s="235"/>
      <c r="M33" s="235"/>
      <c r="N33" s="235"/>
      <c r="O33" s="235"/>
    </row>
  </sheetData>
  <mergeCells count="2">
    <mergeCell ref="D5:O6"/>
    <mergeCell ref="F32:O33"/>
  </mergeCells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B4:N352"/>
  <sheetViews>
    <sheetView topLeftCell="A303" zoomScale="70" zoomScaleNormal="70" workbookViewId="0">
      <selection activeCell="D351" sqref="D351"/>
    </sheetView>
  </sheetViews>
  <sheetFormatPr baseColWidth="10" defaultRowHeight="18" outlineLevelRow="1"/>
  <cols>
    <col min="1" max="1" width="11.42578125" style="134"/>
    <col min="2" max="2" width="60.7109375" style="134" customWidth="1"/>
    <col min="3" max="3" width="21.42578125" style="134" customWidth="1"/>
    <col min="4" max="4" width="21" style="134" customWidth="1"/>
    <col min="5" max="5" width="22.42578125" style="134" bestFit="1" customWidth="1"/>
    <col min="6" max="7" width="19.140625" style="134" bestFit="1" customWidth="1"/>
    <col min="8" max="12" width="20.7109375" style="134" bestFit="1" customWidth="1"/>
    <col min="13" max="13" width="20.85546875" style="134" customWidth="1"/>
    <col min="14" max="16384" width="11.42578125" style="134"/>
  </cols>
  <sheetData>
    <row r="4" spans="2:13">
      <c r="B4" s="137" t="s">
        <v>161</v>
      </c>
      <c r="C4" s="138"/>
    </row>
    <row r="5" spans="2:13">
      <c r="B5" s="137" t="s">
        <v>162</v>
      </c>
      <c r="C5" s="138"/>
    </row>
    <row r="6" spans="2:13">
      <c r="B6" s="139" t="s">
        <v>160</v>
      </c>
      <c r="C6" s="138"/>
    </row>
    <row r="7" spans="2:13">
      <c r="B7" s="137" t="s">
        <v>159</v>
      </c>
    </row>
    <row r="10" spans="2:13">
      <c r="B10" s="5" t="s">
        <v>131</v>
      </c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</row>
    <row r="12" spans="2:13">
      <c r="B12" s="140" t="s">
        <v>51</v>
      </c>
      <c r="C12" s="141"/>
      <c r="D12" s="141">
        <v>2021</v>
      </c>
      <c r="E12" s="141">
        <v>2022</v>
      </c>
      <c r="F12" s="141">
        <v>2023</v>
      </c>
      <c r="G12" s="141">
        <v>2024</v>
      </c>
      <c r="H12" s="141">
        <v>2025</v>
      </c>
      <c r="I12" s="141">
        <v>2026</v>
      </c>
      <c r="J12" s="141">
        <v>2027</v>
      </c>
      <c r="K12" s="141">
        <v>2028</v>
      </c>
      <c r="L12" s="141">
        <v>2029</v>
      </c>
      <c r="M12" s="141">
        <v>2030</v>
      </c>
    </row>
    <row r="14" spans="2:13" hidden="1" outlineLevel="1">
      <c r="B14" s="139" t="s">
        <v>361</v>
      </c>
      <c r="C14" s="142"/>
      <c r="D14" s="142"/>
      <c r="E14" s="142"/>
      <c r="F14" s="142"/>
      <c r="G14" s="142"/>
      <c r="H14" s="142"/>
      <c r="I14" s="142"/>
      <c r="J14" s="142"/>
      <c r="K14" s="142"/>
      <c r="L14" s="142"/>
      <c r="M14" s="142"/>
    </row>
    <row r="15" spans="2:13" hidden="1" outlineLevel="1">
      <c r="C15" s="142"/>
      <c r="D15" s="142"/>
      <c r="E15" s="142"/>
      <c r="F15" s="142"/>
      <c r="G15" s="142"/>
      <c r="H15" s="142"/>
      <c r="I15" s="142"/>
      <c r="J15" s="142"/>
      <c r="K15" s="142"/>
      <c r="L15" s="142"/>
      <c r="M15" s="142"/>
    </row>
    <row r="16" spans="2:13" hidden="1" outlineLevel="1">
      <c r="B16" s="134" t="s">
        <v>129</v>
      </c>
      <c r="C16" s="142"/>
      <c r="D16" s="142">
        <v>724488.15</v>
      </c>
      <c r="E16" s="142">
        <v>1050507.8174999999</v>
      </c>
      <c r="F16" s="142">
        <v>1523236.3353749998</v>
      </c>
      <c r="G16" s="142">
        <v>2208692.6862937496</v>
      </c>
      <c r="H16" s="142">
        <v>3202604.3951259367</v>
      </c>
      <c r="I16" s="142">
        <v>4643776.3729326082</v>
      </c>
      <c r="J16" s="142">
        <v>6733475.7407522816</v>
      </c>
      <c r="K16" s="142">
        <v>9763539.8240908086</v>
      </c>
      <c r="L16" s="142">
        <v>14157132.744931672</v>
      </c>
      <c r="M16" s="142">
        <v>20527842.480150923</v>
      </c>
    </row>
    <row r="17" spans="2:13" hidden="1" outlineLevel="1">
      <c r="B17" s="143" t="s">
        <v>29</v>
      </c>
      <c r="C17" s="142"/>
      <c r="D17" s="142">
        <v>54059.435961789022</v>
      </c>
      <c r="E17" s="142">
        <v>53667.799322989995</v>
      </c>
      <c r="F17" s="142">
        <v>53276.162684190967</v>
      </c>
      <c r="G17" s="142">
        <v>52884.52604539194</v>
      </c>
      <c r="H17" s="142">
        <v>52492.889406592913</v>
      </c>
      <c r="I17" s="142">
        <v>52101.252767793885</v>
      </c>
      <c r="J17" s="142">
        <v>51709.616128994858</v>
      </c>
      <c r="K17" s="142">
        <v>51317.97949019583</v>
      </c>
      <c r="L17" s="142">
        <v>50926.342851396803</v>
      </c>
      <c r="M17" s="142">
        <v>50000</v>
      </c>
    </row>
    <row r="18" spans="2:13" hidden="1" outlineLevel="1">
      <c r="B18" s="134" t="s">
        <v>366</v>
      </c>
      <c r="C18" s="142"/>
      <c r="D18" s="142">
        <f>(D16*D17)/1000000</f>
        <v>39165.420749999997</v>
      </c>
      <c r="E18" s="142">
        <f t="shared" ref="E18:M18" si="0">(E16*E17)/1000000</f>
        <v>56378.442736822188</v>
      </c>
      <c r="F18" s="142">
        <f t="shared" si="0"/>
        <v>81152.18680990937</v>
      </c>
      <c r="G18" s="142">
        <f t="shared" si="0"/>
        <v>116805.66589456849</v>
      </c>
      <c r="H18" s="142">
        <f t="shared" si="0"/>
        <v>168113.9583264142</v>
      </c>
      <c r="I18" s="142">
        <f t="shared" si="0"/>
        <v>241946.56660327091</v>
      </c>
      <c r="J18" s="142">
        <f t="shared" si="0"/>
        <v>348185.44576819974</v>
      </c>
      <c r="K18" s="142">
        <f t="shared" si="0"/>
        <v>501045.13644440233</v>
      </c>
      <c r="L18" s="142">
        <f t="shared" si="0"/>
        <v>720970.99596112664</v>
      </c>
      <c r="M18" s="142">
        <f t="shared" si="0"/>
        <v>1026392.1240075461</v>
      </c>
    </row>
    <row r="19" spans="2:13" hidden="1" outlineLevel="1">
      <c r="B19" s="134" t="s">
        <v>52</v>
      </c>
      <c r="C19" s="142"/>
      <c r="D19" s="142">
        <v>1157.2</v>
      </c>
      <c r="E19" s="142">
        <v>1272.92</v>
      </c>
      <c r="F19" s="142">
        <v>1400.2120000000002</v>
      </c>
      <c r="G19" s="142">
        <v>1540.2332000000004</v>
      </c>
      <c r="H19" s="142">
        <v>1694.2565200000006</v>
      </c>
      <c r="I19" s="142">
        <v>1863.6821720000007</v>
      </c>
      <c r="J19" s="142">
        <v>2050.0503892000011</v>
      </c>
      <c r="K19" s="142">
        <v>2255.0554281200016</v>
      </c>
      <c r="L19" s="142">
        <v>2480.560970932002</v>
      </c>
      <c r="M19" s="142">
        <v>2728.6170680252026</v>
      </c>
    </row>
    <row r="20" spans="2:13" hidden="1" outlineLevel="1">
      <c r="B20" s="144"/>
      <c r="C20" s="145"/>
      <c r="D20" s="145">
        <f>D18+D19</f>
        <v>40322.620749999995</v>
      </c>
      <c r="E20" s="145">
        <f>E18+E19</f>
        <v>57651.362736822186</v>
      </c>
      <c r="F20" s="145">
        <f t="shared" ref="F20:M20" si="1">F18+F19</f>
        <v>82552.398809909369</v>
      </c>
      <c r="G20" s="145">
        <f t="shared" si="1"/>
        <v>118345.89909456849</v>
      </c>
      <c r="H20" s="145">
        <f t="shared" si="1"/>
        <v>169808.21484641419</v>
      </c>
      <c r="I20" s="145">
        <f t="shared" si="1"/>
        <v>243810.24877527091</v>
      </c>
      <c r="J20" s="145">
        <f t="shared" si="1"/>
        <v>350235.49615739973</v>
      </c>
      <c r="K20" s="145">
        <f t="shared" si="1"/>
        <v>503300.19187252235</v>
      </c>
      <c r="L20" s="145">
        <f t="shared" si="1"/>
        <v>723451.55693205865</v>
      </c>
      <c r="M20" s="145">
        <f t="shared" si="1"/>
        <v>1029120.7410755713</v>
      </c>
    </row>
    <row r="21" spans="2:13" hidden="1" outlineLevel="1"/>
    <row r="22" spans="2:13" hidden="1" outlineLevel="1">
      <c r="B22" s="139" t="s">
        <v>362</v>
      </c>
      <c r="C22" s="142"/>
      <c r="D22" s="142"/>
      <c r="E22" s="142"/>
      <c r="F22" s="142"/>
      <c r="G22" s="142"/>
      <c r="H22" s="142"/>
      <c r="I22" s="142"/>
      <c r="J22" s="142"/>
      <c r="K22" s="142"/>
      <c r="L22" s="142"/>
      <c r="M22" s="142"/>
    </row>
    <row r="23" spans="2:13" hidden="1" outlineLevel="1">
      <c r="C23" s="142"/>
      <c r="D23" s="142"/>
      <c r="E23" s="142"/>
      <c r="F23" s="142"/>
      <c r="G23" s="142"/>
      <c r="H23" s="142"/>
      <c r="I23" s="142"/>
      <c r="J23" s="142"/>
      <c r="K23" s="142"/>
      <c r="L23" s="142"/>
      <c r="M23" s="142"/>
    </row>
    <row r="24" spans="2:13" hidden="1" outlineLevel="1">
      <c r="B24" s="146" t="s">
        <v>54</v>
      </c>
      <c r="C24" s="142"/>
      <c r="D24" s="142"/>
      <c r="E24" s="142"/>
      <c r="F24" s="142"/>
      <c r="G24" s="142"/>
      <c r="H24" s="142"/>
      <c r="I24" s="142"/>
      <c r="J24" s="142"/>
      <c r="K24" s="142"/>
      <c r="L24" s="142"/>
      <c r="M24" s="142"/>
    </row>
    <row r="25" spans="2:13" hidden="1" outlineLevel="1">
      <c r="B25" s="139"/>
      <c r="C25" s="142"/>
      <c r="D25" s="142"/>
      <c r="E25" s="142"/>
      <c r="F25" s="142"/>
      <c r="G25" s="142"/>
      <c r="H25" s="142"/>
      <c r="I25" s="142"/>
      <c r="J25" s="142"/>
      <c r="K25" s="142"/>
      <c r="L25" s="142"/>
      <c r="M25" s="142"/>
    </row>
    <row r="26" spans="2:13" hidden="1" outlineLevel="1">
      <c r="B26" s="134" t="s">
        <v>400</v>
      </c>
      <c r="C26" s="142"/>
      <c r="D26" s="142">
        <f>D27+D28</f>
        <v>110</v>
      </c>
      <c r="E26" s="142">
        <f t="shared" ref="E26:M26" si="2">E27+E28</f>
        <v>167.66666666666669</v>
      </c>
      <c r="F26" s="142">
        <f t="shared" si="2"/>
        <v>231.07500000000002</v>
      </c>
      <c r="G26" s="142">
        <f t="shared" si="2"/>
        <v>300.65499999999997</v>
      </c>
      <c r="H26" s="142">
        <f t="shared" si="2"/>
        <v>376.86531250000007</v>
      </c>
      <c r="I26" s="142">
        <f t="shared" si="2"/>
        <v>460.19501875000009</v>
      </c>
      <c r="J26" s="142">
        <f t="shared" si="2"/>
        <v>551.1655323437501</v>
      </c>
      <c r="K26" s="142">
        <f t="shared" si="2"/>
        <v>650.3326097500003</v>
      </c>
      <c r="L26" s="142">
        <f t="shared" si="2"/>
        <v>758.28848106601606</v>
      </c>
      <c r="M26" s="142">
        <f t="shared" si="2"/>
        <v>875.66410798925813</v>
      </c>
    </row>
    <row r="27" spans="2:13" hidden="1" outlineLevel="1">
      <c r="B27" s="147" t="s">
        <v>55</v>
      </c>
      <c r="C27" s="142"/>
      <c r="D27" s="142">
        <v>100</v>
      </c>
      <c r="E27" s="142">
        <v>100</v>
      </c>
      <c r="F27" s="142">
        <v>100</v>
      </c>
      <c r="G27" s="142">
        <v>100</v>
      </c>
      <c r="H27" s="142">
        <v>100</v>
      </c>
      <c r="I27" s="142">
        <v>100</v>
      </c>
      <c r="J27" s="142">
        <v>100</v>
      </c>
      <c r="K27" s="142">
        <v>100</v>
      </c>
      <c r="L27" s="142">
        <v>100</v>
      </c>
      <c r="M27" s="142">
        <v>100</v>
      </c>
    </row>
    <row r="28" spans="2:13" hidden="1" outlineLevel="1">
      <c r="B28" s="147" t="s">
        <v>56</v>
      </c>
      <c r="C28" s="142"/>
      <c r="D28" s="142">
        <v>10</v>
      </c>
      <c r="E28" s="142">
        <v>67.666666666666671</v>
      </c>
      <c r="F28" s="142">
        <v>131.07500000000002</v>
      </c>
      <c r="G28" s="142">
        <v>200.655</v>
      </c>
      <c r="H28" s="142">
        <v>276.86531250000007</v>
      </c>
      <c r="I28" s="142">
        <v>360.19501875000009</v>
      </c>
      <c r="J28" s="142">
        <v>451.16553234375016</v>
      </c>
      <c r="K28" s="142">
        <v>550.3326097500003</v>
      </c>
      <c r="L28" s="142">
        <v>658.28848106601606</v>
      </c>
      <c r="M28" s="142">
        <v>775.66410798925813</v>
      </c>
    </row>
    <row r="29" spans="2:13" hidden="1" outlineLevel="1">
      <c r="C29" s="142"/>
      <c r="D29" s="142"/>
      <c r="E29" s="142"/>
      <c r="F29" s="142"/>
      <c r="G29" s="142"/>
      <c r="H29" s="142"/>
      <c r="I29" s="142"/>
      <c r="J29" s="142"/>
      <c r="K29" s="142"/>
      <c r="L29" s="142"/>
      <c r="M29" s="142"/>
    </row>
    <row r="30" spans="2:13" hidden="1" outlineLevel="1">
      <c r="B30" s="134" t="s">
        <v>57</v>
      </c>
      <c r="C30" s="142"/>
      <c r="D30" s="142"/>
      <c r="E30" s="142"/>
      <c r="F30" s="142"/>
      <c r="G30" s="142"/>
      <c r="H30" s="142"/>
      <c r="I30" s="142"/>
      <c r="J30" s="142"/>
      <c r="K30" s="142"/>
      <c r="L30" s="142"/>
      <c r="M30" s="142"/>
    </row>
    <row r="31" spans="2:13" hidden="1" outlineLevel="1">
      <c r="B31" s="147" t="s">
        <v>55</v>
      </c>
      <c r="C31" s="142"/>
      <c r="D31" s="142">
        <v>2</v>
      </c>
      <c r="E31" s="142">
        <v>2</v>
      </c>
      <c r="F31" s="142">
        <v>2</v>
      </c>
      <c r="G31" s="142">
        <v>2</v>
      </c>
      <c r="H31" s="142">
        <v>2</v>
      </c>
      <c r="I31" s="142">
        <v>2</v>
      </c>
      <c r="J31" s="142">
        <v>2</v>
      </c>
      <c r="K31" s="142">
        <v>2</v>
      </c>
      <c r="L31" s="142">
        <v>2</v>
      </c>
      <c r="M31" s="142">
        <v>2</v>
      </c>
    </row>
    <row r="32" spans="2:13" hidden="1" outlineLevel="1">
      <c r="B32" s="147" t="s">
        <v>56</v>
      </c>
      <c r="C32" s="142"/>
      <c r="D32" s="142">
        <v>6</v>
      </c>
      <c r="E32" s="142">
        <v>6</v>
      </c>
      <c r="F32" s="142">
        <v>6</v>
      </c>
      <c r="G32" s="142">
        <v>6</v>
      </c>
      <c r="H32" s="142">
        <v>6</v>
      </c>
      <c r="I32" s="142">
        <v>6</v>
      </c>
      <c r="J32" s="142">
        <v>6</v>
      </c>
      <c r="K32" s="142">
        <v>6</v>
      </c>
      <c r="L32" s="142">
        <v>6</v>
      </c>
      <c r="M32" s="142">
        <v>6</v>
      </c>
    </row>
    <row r="33" spans="2:14" hidden="1" outlineLevel="1">
      <c r="C33" s="142"/>
      <c r="D33" s="142"/>
      <c r="E33" s="142"/>
      <c r="F33" s="142"/>
      <c r="G33" s="142"/>
      <c r="H33" s="142"/>
      <c r="I33" s="142"/>
      <c r="J33" s="142"/>
      <c r="K33" s="142"/>
      <c r="L33" s="142"/>
      <c r="M33" s="142"/>
    </row>
    <row r="34" spans="2:14" hidden="1" outlineLevel="1">
      <c r="B34" s="134" t="s">
        <v>130</v>
      </c>
      <c r="C34" s="142"/>
      <c r="D34" s="142">
        <f>D35+D36</f>
        <v>260</v>
      </c>
      <c r="E34" s="142">
        <f t="shared" ref="E34:M34" si="3">E35+E36</f>
        <v>606</v>
      </c>
      <c r="F34" s="142">
        <f t="shared" si="3"/>
        <v>986.45</v>
      </c>
      <c r="G34" s="142">
        <f t="shared" si="3"/>
        <v>1403.93</v>
      </c>
      <c r="H34" s="142">
        <f t="shared" si="3"/>
        <v>1861.1918750000004</v>
      </c>
      <c r="I34" s="142">
        <f t="shared" si="3"/>
        <v>2361.1701125000004</v>
      </c>
      <c r="J34" s="142">
        <f t="shared" si="3"/>
        <v>2906.9931940625011</v>
      </c>
      <c r="K34" s="142">
        <f t="shared" si="3"/>
        <v>3501.9956585000018</v>
      </c>
      <c r="L34" s="142">
        <f t="shared" si="3"/>
        <v>4149.7308863960961</v>
      </c>
      <c r="M34" s="142">
        <f t="shared" si="3"/>
        <v>4853.9846479355492</v>
      </c>
    </row>
    <row r="35" spans="2:14" hidden="1" outlineLevel="1">
      <c r="B35" s="147" t="s">
        <v>55</v>
      </c>
      <c r="C35" s="142"/>
      <c r="D35" s="142">
        <f>D27*D31</f>
        <v>200</v>
      </c>
      <c r="E35" s="142">
        <f t="shared" ref="E35:M35" si="4">E27*E31</f>
        <v>200</v>
      </c>
      <c r="F35" s="142">
        <f t="shared" si="4"/>
        <v>200</v>
      </c>
      <c r="G35" s="142">
        <f t="shared" si="4"/>
        <v>200</v>
      </c>
      <c r="H35" s="142">
        <f t="shared" si="4"/>
        <v>200</v>
      </c>
      <c r="I35" s="142">
        <f t="shared" si="4"/>
        <v>200</v>
      </c>
      <c r="J35" s="142">
        <f t="shared" si="4"/>
        <v>200</v>
      </c>
      <c r="K35" s="142">
        <f t="shared" si="4"/>
        <v>200</v>
      </c>
      <c r="L35" s="142">
        <f t="shared" si="4"/>
        <v>200</v>
      </c>
      <c r="M35" s="142">
        <f t="shared" si="4"/>
        <v>200</v>
      </c>
    </row>
    <row r="36" spans="2:14" hidden="1" outlineLevel="1">
      <c r="B36" s="147" t="s">
        <v>56</v>
      </c>
      <c r="C36" s="142"/>
      <c r="D36" s="142">
        <f>D28*D32</f>
        <v>60</v>
      </c>
      <c r="E36" s="142">
        <f>E28*E32</f>
        <v>406</v>
      </c>
      <c r="F36" s="142">
        <f t="shared" ref="F36:M36" si="5">F28*F32</f>
        <v>786.45</v>
      </c>
      <c r="G36" s="142">
        <f t="shared" si="5"/>
        <v>1203.93</v>
      </c>
      <c r="H36" s="142">
        <f t="shared" si="5"/>
        <v>1661.1918750000004</v>
      </c>
      <c r="I36" s="142">
        <f t="shared" si="5"/>
        <v>2161.1701125000004</v>
      </c>
      <c r="J36" s="142">
        <f t="shared" si="5"/>
        <v>2706.9931940625011</v>
      </c>
      <c r="K36" s="142">
        <f t="shared" si="5"/>
        <v>3301.9956585000018</v>
      </c>
      <c r="L36" s="142">
        <f t="shared" si="5"/>
        <v>3949.7308863960961</v>
      </c>
      <c r="M36" s="142">
        <f t="shared" si="5"/>
        <v>4653.9846479355492</v>
      </c>
    </row>
    <row r="37" spans="2:14" hidden="1" outlineLevel="1">
      <c r="C37" s="142"/>
      <c r="D37" s="142"/>
      <c r="E37" s="142"/>
      <c r="F37" s="142"/>
      <c r="G37" s="142"/>
      <c r="H37" s="142"/>
      <c r="I37" s="142"/>
      <c r="J37" s="142"/>
      <c r="K37" s="142"/>
      <c r="L37" s="142"/>
      <c r="M37" s="142"/>
    </row>
    <row r="38" spans="2:14" hidden="1" outlineLevel="1">
      <c r="B38" s="146" t="s">
        <v>58</v>
      </c>
      <c r="C38" s="142"/>
      <c r="D38" s="142"/>
      <c r="E38" s="142"/>
      <c r="F38" s="142"/>
      <c r="G38" s="142"/>
      <c r="H38" s="142"/>
      <c r="I38" s="142"/>
      <c r="J38" s="142"/>
      <c r="K38" s="142"/>
      <c r="L38" s="142"/>
      <c r="M38" s="142"/>
    </row>
    <row r="39" spans="2:14" hidden="1" outlineLevel="1">
      <c r="C39" s="142"/>
      <c r="D39" s="142"/>
      <c r="E39" s="142"/>
      <c r="F39" s="142"/>
      <c r="G39" s="142"/>
      <c r="H39" s="142"/>
      <c r="I39" s="142"/>
      <c r="J39" s="142"/>
      <c r="K39" s="142"/>
      <c r="L39" s="142"/>
      <c r="M39" s="142"/>
    </row>
    <row r="40" spans="2:14" hidden="1" outlineLevel="1">
      <c r="B40" s="134" t="s">
        <v>59</v>
      </c>
      <c r="C40" s="142"/>
      <c r="D40" s="142">
        <f>D41+D42</f>
        <v>7598.2337761273084</v>
      </c>
      <c r="E40" s="142">
        <f t="shared" ref="E40:M40" si="6">E41+E42</f>
        <v>16884.065545712234</v>
      </c>
      <c r="F40" s="142">
        <f t="shared" si="6"/>
        <v>236746.25679659116</v>
      </c>
      <c r="G40" s="142">
        <f t="shared" si="6"/>
        <v>535065.39690025442</v>
      </c>
      <c r="H40" s="142">
        <f t="shared" si="6"/>
        <v>801086.89609590475</v>
      </c>
      <c r="I40" s="142">
        <f t="shared" si="6"/>
        <v>1018739.501695339</v>
      </c>
      <c r="J40" s="142">
        <f t="shared" si="6"/>
        <v>1164028.1058748432</v>
      </c>
      <c r="K40" s="142">
        <f t="shared" si="6"/>
        <v>1201156.7047225954</v>
      </c>
      <c r="L40" s="142">
        <f t="shared" si="6"/>
        <v>1213168.2717698212</v>
      </c>
      <c r="M40" s="142">
        <f t="shared" si="6"/>
        <v>1225299.9544875193</v>
      </c>
    </row>
    <row r="41" spans="2:14" hidden="1" outlineLevel="1">
      <c r="B41" s="147" t="s">
        <v>60</v>
      </c>
      <c r="C41" s="142"/>
      <c r="D41" s="142">
        <v>379.91168880636542</v>
      </c>
      <c r="E41" s="142">
        <v>844.20327728561176</v>
      </c>
      <c r="F41" s="142">
        <v>11837.312839829559</v>
      </c>
      <c r="G41" s="142">
        <v>26753.269845012721</v>
      </c>
      <c r="H41" s="142">
        <v>40054.344804795241</v>
      </c>
      <c r="I41" s="142">
        <v>50936.975084766949</v>
      </c>
      <c r="J41" s="142">
        <v>58201.405293742166</v>
      </c>
      <c r="K41" s="142">
        <v>60057.835236129773</v>
      </c>
      <c r="L41" s="142">
        <f>K41*1.01</f>
        <v>60658.413588491072</v>
      </c>
      <c r="M41" s="142">
        <f>L41*1.01</f>
        <v>61264.997724375986</v>
      </c>
    </row>
    <row r="42" spans="2:14" hidden="1" outlineLevel="1">
      <c r="B42" s="147" t="s">
        <v>61</v>
      </c>
      <c r="C42" s="142"/>
      <c r="D42" s="142">
        <v>7218.322087320943</v>
      </c>
      <c r="E42" s="142">
        <v>16039.862268426623</v>
      </c>
      <c r="F42" s="142">
        <v>224908.94395676159</v>
      </c>
      <c r="G42" s="142">
        <v>508312.12705524173</v>
      </c>
      <c r="H42" s="142">
        <v>761032.55129110953</v>
      </c>
      <c r="I42" s="142">
        <v>967802.52661057201</v>
      </c>
      <c r="J42" s="142">
        <v>1105826.700581101</v>
      </c>
      <c r="K42" s="142">
        <v>1141098.8694864656</v>
      </c>
      <c r="L42" s="142">
        <f>K42*1.01</f>
        <v>1152509.8581813301</v>
      </c>
      <c r="M42" s="142">
        <f>L42*1.01</f>
        <v>1164034.9567631434</v>
      </c>
    </row>
    <row r="43" spans="2:14" hidden="1" outlineLevel="1">
      <c r="C43" s="142"/>
      <c r="D43" s="142"/>
      <c r="E43" s="142"/>
      <c r="F43" s="142"/>
      <c r="G43" s="142"/>
      <c r="H43" s="142"/>
      <c r="I43" s="142"/>
      <c r="J43" s="142"/>
      <c r="K43" s="142"/>
      <c r="L43" s="142"/>
      <c r="M43" s="142"/>
    </row>
    <row r="44" spans="2:14" hidden="1" outlineLevel="1">
      <c r="B44" s="134" t="s">
        <v>57</v>
      </c>
      <c r="C44" s="142"/>
      <c r="D44" s="142"/>
      <c r="E44" s="142"/>
      <c r="F44" s="142"/>
      <c r="G44" s="142"/>
      <c r="H44" s="142"/>
      <c r="I44" s="142"/>
      <c r="J44" s="142"/>
      <c r="K44" s="142"/>
      <c r="L44" s="142"/>
      <c r="M44" s="142"/>
    </row>
    <row r="45" spans="2:14" hidden="1" outlineLevel="1">
      <c r="B45" s="147" t="s">
        <v>60</v>
      </c>
      <c r="C45" s="142"/>
      <c r="D45" s="142">
        <v>447.27272727272725</v>
      </c>
      <c r="E45" s="142">
        <v>430.90909090909088</v>
      </c>
      <c r="F45" s="142">
        <v>414.5454545454545</v>
      </c>
      <c r="G45" s="142">
        <v>398.18181818181813</v>
      </c>
      <c r="H45" s="142">
        <v>381.81818181818176</v>
      </c>
      <c r="I45" s="142">
        <v>365.45454545454538</v>
      </c>
      <c r="J45" s="142">
        <v>350</v>
      </c>
      <c r="K45" s="142">
        <v>350</v>
      </c>
      <c r="L45" s="142">
        <v>350</v>
      </c>
      <c r="M45" s="142">
        <v>350</v>
      </c>
    </row>
    <row r="46" spans="2:14" hidden="1" outlineLevel="1">
      <c r="B46" s="147" t="s">
        <v>61</v>
      </c>
      <c r="C46" s="142"/>
      <c r="D46" s="142">
        <v>690.5454545454545</v>
      </c>
      <c r="E46" s="142">
        <v>663.81818181818176</v>
      </c>
      <c r="F46" s="142">
        <v>637.09090909090901</v>
      </c>
      <c r="G46" s="142">
        <v>610.36363636363626</v>
      </c>
      <c r="H46" s="142">
        <v>583.63636363636351</v>
      </c>
      <c r="I46" s="142">
        <v>556.90909090909076</v>
      </c>
      <c r="J46" s="142">
        <v>530.18181818181802</v>
      </c>
      <c r="K46" s="142">
        <v>530.18181818181802</v>
      </c>
      <c r="L46" s="142">
        <v>530.18181818181802</v>
      </c>
      <c r="M46" s="142">
        <v>530.18181818181802</v>
      </c>
    </row>
    <row r="47" spans="2:14" hidden="1" outlineLevel="1">
      <c r="C47" s="142"/>
      <c r="D47" s="142"/>
      <c r="E47" s="142"/>
      <c r="F47" s="142"/>
      <c r="G47" s="142"/>
      <c r="H47" s="142"/>
      <c r="I47" s="142"/>
      <c r="J47" s="142"/>
      <c r="K47" s="142"/>
      <c r="L47" s="142"/>
      <c r="M47" s="142"/>
    </row>
    <row r="48" spans="2:14" hidden="1" outlineLevel="1">
      <c r="B48" s="134" t="s">
        <v>30</v>
      </c>
      <c r="C48" s="142"/>
      <c r="D48" s="142">
        <f>D49+D50</f>
        <v>5154.5036440197455</v>
      </c>
      <c r="E48" s="142">
        <f t="shared" ref="E48:M48" si="7">E49+E50</f>
        <v>11011.327074398634</v>
      </c>
      <c r="F48" s="142">
        <f t="shared" si="7"/>
        <v>148194.54779987343</v>
      </c>
      <c r="G48" s="142">
        <f t="shared" si="7"/>
        <v>320907.90390636801</v>
      </c>
      <c r="H48" s="142">
        <f t="shared" si="7"/>
        <v>459459.74795173295</v>
      </c>
      <c r="I48" s="142">
        <f t="shared" si="7"/>
        <v>557593.17435064784</v>
      </c>
      <c r="J48" s="142">
        <f t="shared" si="7"/>
        <v>606659.70256089873</v>
      </c>
      <c r="K48" s="142">
        <f t="shared" si="7"/>
        <v>626010.11568219692</v>
      </c>
      <c r="L48" s="142">
        <f t="shared" si="7"/>
        <v>632270.21683901874</v>
      </c>
      <c r="M48" s="142">
        <f t="shared" si="7"/>
        <v>638592.9190074089</v>
      </c>
      <c r="N48" s="142"/>
    </row>
    <row r="49" spans="2:13" hidden="1" outlineLevel="1">
      <c r="B49" s="147" t="s">
        <v>60</v>
      </c>
      <c r="C49" s="142"/>
      <c r="D49" s="142">
        <f>(D41*D45)/1000</f>
        <v>169.92413717521069</v>
      </c>
      <c r="E49" s="142">
        <f t="shared" ref="E49:M49" si="8">(E41*E45)/1000</f>
        <v>363.77486675761816</v>
      </c>
      <c r="F49" s="142">
        <f t="shared" si="8"/>
        <v>4907.1042317838892</v>
      </c>
      <c r="G49" s="142">
        <f t="shared" si="8"/>
        <v>10652.665629195973</v>
      </c>
      <c r="H49" s="142">
        <f t="shared" si="8"/>
        <v>15293.477107285453</v>
      </c>
      <c r="I49" s="142">
        <f t="shared" si="8"/>
        <v>18615.149076433012</v>
      </c>
      <c r="J49" s="142">
        <f t="shared" si="8"/>
        <v>20370.491852809759</v>
      </c>
      <c r="K49" s="142">
        <f t="shared" si="8"/>
        <v>21020.242332645419</v>
      </c>
      <c r="L49" s="142">
        <f t="shared" si="8"/>
        <v>21230.444755971876</v>
      </c>
      <c r="M49" s="142">
        <f t="shared" si="8"/>
        <v>21442.749203531595</v>
      </c>
    </row>
    <row r="50" spans="2:13" hidden="1" outlineLevel="1">
      <c r="B50" s="147" t="s">
        <v>61</v>
      </c>
      <c r="C50" s="142"/>
      <c r="D50" s="142">
        <f>(D46*D42)/1000</f>
        <v>4984.579506844535</v>
      </c>
      <c r="E50" s="142">
        <f t="shared" ref="E50:M50" si="9">(E46*E42)/1000</f>
        <v>10647.552207641016</v>
      </c>
      <c r="F50" s="142">
        <f t="shared" si="9"/>
        <v>143287.44356808954</v>
      </c>
      <c r="G50" s="142">
        <f t="shared" si="9"/>
        <v>310255.23827717203</v>
      </c>
      <c r="H50" s="142">
        <f t="shared" si="9"/>
        <v>444166.27084444748</v>
      </c>
      <c r="I50" s="142">
        <f t="shared" si="9"/>
        <v>538978.0252742148</v>
      </c>
      <c r="J50" s="142">
        <f t="shared" si="9"/>
        <v>586289.21070808894</v>
      </c>
      <c r="K50" s="142">
        <f t="shared" si="9"/>
        <v>604989.87334955146</v>
      </c>
      <c r="L50" s="142">
        <f t="shared" si="9"/>
        <v>611039.77208304685</v>
      </c>
      <c r="M50" s="142">
        <f t="shared" si="9"/>
        <v>617150.16980387736</v>
      </c>
    </row>
    <row r="51" spans="2:13" hidden="1" outlineLevel="1">
      <c r="C51" s="142"/>
      <c r="D51" s="142"/>
      <c r="E51" s="142"/>
      <c r="F51" s="142"/>
      <c r="G51" s="142"/>
      <c r="H51" s="142"/>
      <c r="I51" s="142"/>
      <c r="J51" s="142"/>
      <c r="K51" s="142"/>
      <c r="L51" s="142"/>
      <c r="M51" s="142"/>
    </row>
    <row r="52" spans="2:13" hidden="1" outlineLevel="1">
      <c r="C52" s="142"/>
      <c r="D52" s="142"/>
      <c r="E52" s="142"/>
      <c r="F52" s="142"/>
      <c r="G52" s="142"/>
      <c r="H52" s="142"/>
      <c r="I52" s="142"/>
      <c r="J52" s="142"/>
      <c r="K52" s="142"/>
      <c r="L52" s="142"/>
      <c r="M52" s="142"/>
    </row>
    <row r="53" spans="2:13" hidden="1" outlineLevel="1">
      <c r="B53" s="144"/>
      <c r="C53" s="145"/>
      <c r="D53" s="145">
        <f t="shared" ref="D53:L53" si="10">D48+D34</f>
        <v>5414.5036440197455</v>
      </c>
      <c r="E53" s="145">
        <f t="shared" si="10"/>
        <v>11617.327074398634</v>
      </c>
      <c r="F53" s="145">
        <f t="shared" si="10"/>
        <v>149180.99779987344</v>
      </c>
      <c r="G53" s="145">
        <f t="shared" si="10"/>
        <v>322311.833906368</v>
      </c>
      <c r="H53" s="145">
        <f t="shared" si="10"/>
        <v>461320.93982673297</v>
      </c>
      <c r="I53" s="145">
        <f t="shared" si="10"/>
        <v>559954.34446314781</v>
      </c>
      <c r="J53" s="145">
        <f t="shared" si="10"/>
        <v>609566.69575496123</v>
      </c>
      <c r="K53" s="145">
        <f t="shared" si="10"/>
        <v>629512.11134069692</v>
      </c>
      <c r="L53" s="145">
        <f t="shared" si="10"/>
        <v>636419.94772541488</v>
      </c>
      <c r="M53" s="145">
        <f>M48+M34</f>
        <v>643446.9036553445</v>
      </c>
    </row>
    <row r="54" spans="2:13" hidden="1" outlineLevel="1">
      <c r="C54" s="142"/>
      <c r="D54" s="142"/>
      <c r="E54" s="142"/>
      <c r="F54" s="142"/>
      <c r="G54" s="142"/>
      <c r="H54" s="142"/>
      <c r="I54" s="142"/>
      <c r="J54" s="142"/>
      <c r="K54" s="142"/>
      <c r="L54" s="142"/>
      <c r="M54" s="142"/>
    </row>
    <row r="55" spans="2:13" hidden="1" outlineLevel="1">
      <c r="B55" s="139" t="s">
        <v>363</v>
      </c>
      <c r="C55" s="142"/>
      <c r="D55" s="142"/>
      <c r="E55" s="142"/>
      <c r="F55" s="142"/>
      <c r="G55" s="142"/>
      <c r="H55" s="142"/>
      <c r="I55" s="142"/>
      <c r="J55" s="142"/>
      <c r="K55" s="142"/>
      <c r="L55" s="142"/>
      <c r="M55" s="142"/>
    </row>
    <row r="56" spans="2:13" hidden="1" outlineLevel="1"/>
    <row r="57" spans="2:13" hidden="1" outlineLevel="1">
      <c r="B57" s="134" t="s">
        <v>367</v>
      </c>
      <c r="D57" s="211">
        <v>2105035.15</v>
      </c>
      <c r="E57" s="212">
        <f>D57+E16</f>
        <v>3155542.9674999998</v>
      </c>
      <c r="F57" s="212">
        <f t="shared" ref="F57:M57" si="11">E57+F16</f>
        <v>4678779.3028749991</v>
      </c>
      <c r="G57" s="212">
        <f t="shared" si="11"/>
        <v>6887471.9891687483</v>
      </c>
      <c r="H57" s="212">
        <f t="shared" si="11"/>
        <v>10090076.384294685</v>
      </c>
      <c r="I57" s="212">
        <f t="shared" si="11"/>
        <v>14733852.757227294</v>
      </c>
      <c r="J57" s="212">
        <f t="shared" si="11"/>
        <v>21467328.497979574</v>
      </c>
      <c r="K57" s="212">
        <f t="shared" si="11"/>
        <v>31230868.322070383</v>
      </c>
      <c r="L57" s="212">
        <f t="shared" si="11"/>
        <v>45388001.067002058</v>
      </c>
      <c r="M57" s="212">
        <f t="shared" si="11"/>
        <v>65915843.547152981</v>
      </c>
    </row>
    <row r="58" spans="2:13" hidden="1" outlineLevel="1">
      <c r="B58" s="134" t="s">
        <v>62</v>
      </c>
      <c r="C58" s="142"/>
      <c r="D58" s="142">
        <v>1670.3524037935699</v>
      </c>
      <c r="E58" s="142">
        <v>1670.3524037935688</v>
      </c>
      <c r="F58" s="142">
        <v>1670.3524037935688</v>
      </c>
      <c r="G58" s="142">
        <v>1670.3524037935688</v>
      </c>
      <c r="H58" s="142">
        <v>1670.3524037935688</v>
      </c>
      <c r="I58" s="142">
        <v>1670.3524037935688</v>
      </c>
      <c r="J58" s="142">
        <v>1670.3524037935688</v>
      </c>
      <c r="K58" s="142">
        <v>1670.3524037935688</v>
      </c>
      <c r="L58" s="142">
        <v>1670.3524037935688</v>
      </c>
      <c r="M58" s="142">
        <v>1670.3524037935688</v>
      </c>
    </row>
    <row r="59" spans="2:13" hidden="1" outlineLevel="1">
      <c r="C59" s="142"/>
      <c r="D59" s="142"/>
      <c r="E59" s="142"/>
      <c r="F59" s="142"/>
      <c r="G59" s="142"/>
      <c r="H59" s="142"/>
      <c r="I59" s="142"/>
      <c r="J59" s="142"/>
      <c r="K59" s="142"/>
      <c r="L59" s="142"/>
      <c r="M59" s="142"/>
    </row>
    <row r="60" spans="2:13" hidden="1" outlineLevel="1">
      <c r="B60" s="144"/>
      <c r="C60" s="145"/>
      <c r="D60" s="145">
        <f>(D57*D58)/1000000</f>
        <v>3516.1505228724582</v>
      </c>
      <c r="E60" s="145">
        <f>(E57*E58)/1000000</f>
        <v>5270.8687810375159</v>
      </c>
      <c r="F60" s="145">
        <f t="shared" ref="F60:M60" si="12">(F57*F58)/1000000</f>
        <v>7815.2102553768527</v>
      </c>
      <c r="G60" s="145">
        <f t="shared" si="12"/>
        <v>11504.505393168893</v>
      </c>
      <c r="H60" s="145">
        <f t="shared" si="12"/>
        <v>16853.983342967349</v>
      </c>
      <c r="I60" s="145">
        <f t="shared" si="12"/>
        <v>24610.726370175114</v>
      </c>
      <c r="J60" s="145">
        <f t="shared" si="12"/>
        <v>35858.003759626365</v>
      </c>
      <c r="K60" s="145">
        <f t="shared" si="12"/>
        <v>52166.55597433068</v>
      </c>
      <c r="L60" s="145">
        <f t="shared" si="12"/>
        <v>75813.956685651952</v>
      </c>
      <c r="M60" s="145">
        <f t="shared" si="12"/>
        <v>110102.68771706778</v>
      </c>
    </row>
    <row r="61" spans="2:13" hidden="1" outlineLevel="1">
      <c r="C61" s="142"/>
      <c r="D61" s="142"/>
      <c r="E61" s="142"/>
      <c r="F61" s="142"/>
      <c r="G61" s="142"/>
      <c r="H61" s="142"/>
      <c r="I61" s="142"/>
      <c r="J61" s="142"/>
      <c r="K61" s="142"/>
      <c r="L61" s="142"/>
      <c r="M61" s="142"/>
    </row>
    <row r="62" spans="2:13" hidden="1" outlineLevel="1">
      <c r="B62" s="139" t="s">
        <v>364</v>
      </c>
      <c r="C62" s="142"/>
      <c r="D62" s="142"/>
      <c r="E62" s="142"/>
      <c r="F62" s="142"/>
      <c r="G62" s="142"/>
      <c r="H62" s="142"/>
      <c r="I62" s="142"/>
      <c r="J62" s="142"/>
      <c r="K62" s="142"/>
      <c r="L62" s="142"/>
      <c r="M62" s="142"/>
    </row>
    <row r="63" spans="2:13" hidden="1" outlineLevel="1">
      <c r="C63" s="142"/>
      <c r="D63" s="142"/>
      <c r="E63" s="142"/>
      <c r="F63" s="142"/>
      <c r="G63" s="142"/>
      <c r="H63" s="142"/>
      <c r="I63" s="142"/>
      <c r="J63" s="142"/>
      <c r="K63" s="142"/>
      <c r="L63" s="142"/>
      <c r="M63" s="142"/>
    </row>
    <row r="64" spans="2:13" hidden="1" outlineLevel="1">
      <c r="B64" s="132" t="s">
        <v>376</v>
      </c>
      <c r="C64" s="222"/>
      <c r="E64" s="222">
        <v>100000</v>
      </c>
      <c r="F64" s="222">
        <v>153108.74616820278</v>
      </c>
      <c r="G64" s="222">
        <v>238146.93696072829</v>
      </c>
      <c r="H64" s="222">
        <v>376520.18638459023</v>
      </c>
      <c r="I64" s="222">
        <v>605469.72303830972</v>
      </c>
      <c r="J64" s="222">
        <v>990900.05095729011</v>
      </c>
      <c r="K64" s="222">
        <v>1651516.6453273492</v>
      </c>
      <c r="L64" s="222">
        <v>2805075.9493114939</v>
      </c>
      <c r="M64" s="222">
        <v>4858683.120870891</v>
      </c>
    </row>
    <row r="65" spans="2:13" hidden="1" outlineLevel="1">
      <c r="B65" s="132" t="s">
        <v>377</v>
      </c>
      <c r="C65" s="223"/>
      <c r="D65" s="224"/>
      <c r="E65" s="224">
        <v>45000</v>
      </c>
      <c r="F65" s="224">
        <v>45000</v>
      </c>
      <c r="G65" s="224">
        <v>45000</v>
      </c>
      <c r="H65" s="224">
        <v>45000</v>
      </c>
      <c r="I65" s="224">
        <v>45000</v>
      </c>
      <c r="J65" s="224">
        <v>45000</v>
      </c>
      <c r="K65" s="224">
        <v>45000</v>
      </c>
      <c r="L65" s="224">
        <v>45000</v>
      </c>
      <c r="M65" s="224">
        <v>45000</v>
      </c>
    </row>
    <row r="66" spans="2:13" hidden="1" outlineLevel="1">
      <c r="B66" s="132" t="s">
        <v>378</v>
      </c>
      <c r="C66" s="224"/>
      <c r="D66" s="228"/>
      <c r="E66" s="224">
        <f>(E65*E64)/1000000</f>
        <v>4500</v>
      </c>
      <c r="F66" s="224">
        <f t="shared" ref="F66:M66" si="13">(F65*F64)/1000000</f>
        <v>6889.8935775691252</v>
      </c>
      <c r="G66" s="224">
        <f t="shared" si="13"/>
        <v>10716.612163232772</v>
      </c>
      <c r="H66" s="224">
        <f t="shared" si="13"/>
        <v>16943.408387306561</v>
      </c>
      <c r="I66" s="224">
        <f t="shared" si="13"/>
        <v>27246.137536723938</v>
      </c>
      <c r="J66" s="224">
        <f t="shared" si="13"/>
        <v>44590.502293078054</v>
      </c>
      <c r="K66" s="224">
        <f t="shared" si="13"/>
        <v>74318.249039730712</v>
      </c>
      <c r="L66" s="224">
        <f t="shared" si="13"/>
        <v>126228.41771901723</v>
      </c>
      <c r="M66" s="224">
        <f t="shared" si="13"/>
        <v>218640.74043919009</v>
      </c>
    </row>
    <row r="67" spans="2:13" hidden="1" outlineLevel="1">
      <c r="B67" s="132" t="s">
        <v>374</v>
      </c>
      <c r="C67" s="225"/>
      <c r="D67" s="226"/>
      <c r="E67" s="226">
        <v>1.3</v>
      </c>
      <c r="F67" s="226">
        <v>1.3</v>
      </c>
      <c r="G67" s="226">
        <v>1.3</v>
      </c>
      <c r="H67" s="226">
        <v>1.3</v>
      </c>
      <c r="I67" s="226">
        <v>1.3</v>
      </c>
      <c r="J67" s="226">
        <v>1.3</v>
      </c>
      <c r="K67" s="226">
        <v>1.3</v>
      </c>
      <c r="L67" s="226">
        <v>1.3</v>
      </c>
      <c r="M67" s="226">
        <v>1.3</v>
      </c>
    </row>
    <row r="68" spans="2:13" hidden="1" outlineLevel="1">
      <c r="B68" s="132" t="s">
        <v>399</v>
      </c>
      <c r="C68" s="225"/>
      <c r="D68" s="223"/>
      <c r="E68" s="223">
        <f>E66*E67</f>
        <v>5850</v>
      </c>
      <c r="F68" s="223">
        <f t="shared" ref="F68:M68" si="14">F66*F67</f>
        <v>8956.8616508398627</v>
      </c>
      <c r="G68" s="223">
        <f t="shared" si="14"/>
        <v>13931.595812202604</v>
      </c>
      <c r="H68" s="223">
        <f t="shared" si="14"/>
        <v>22026.430903498531</v>
      </c>
      <c r="I68" s="223">
        <f t="shared" si="14"/>
        <v>35419.978797741118</v>
      </c>
      <c r="J68" s="223">
        <f t="shared" si="14"/>
        <v>57967.652981001469</v>
      </c>
      <c r="K68" s="223">
        <f t="shared" si="14"/>
        <v>96613.72375164993</v>
      </c>
      <c r="L68" s="223">
        <f t="shared" si="14"/>
        <v>164096.94303472241</v>
      </c>
      <c r="M68" s="223">
        <f t="shared" si="14"/>
        <v>284232.96257094713</v>
      </c>
    </row>
    <row r="69" spans="2:13" hidden="1" outlineLevel="1">
      <c r="B69" s="132" t="s">
        <v>375</v>
      </c>
      <c r="C69" s="225"/>
      <c r="D69" s="227"/>
      <c r="E69" s="227">
        <f>25%</f>
        <v>0.25</v>
      </c>
      <c r="F69" s="227">
        <f>25%</f>
        <v>0.25</v>
      </c>
      <c r="G69" s="227">
        <f>25%</f>
        <v>0.25</v>
      </c>
      <c r="H69" s="227">
        <f>25%</f>
        <v>0.25</v>
      </c>
      <c r="I69" s="227">
        <f>25%</f>
        <v>0.25</v>
      </c>
      <c r="J69" s="227">
        <f>25%</f>
        <v>0.25</v>
      </c>
      <c r="K69" s="227">
        <f>25%</f>
        <v>0.25</v>
      </c>
      <c r="L69" s="227">
        <f>25%</f>
        <v>0.25</v>
      </c>
      <c r="M69" s="227">
        <f>25%</f>
        <v>0.25</v>
      </c>
    </row>
    <row r="70" spans="2:13" hidden="1" outlineLevel="1">
      <c r="B70" s="132"/>
      <c r="C70" s="225"/>
      <c r="D70" s="223"/>
      <c r="E70" s="223"/>
      <c r="F70" s="223"/>
      <c r="G70" s="223"/>
      <c r="H70" s="223"/>
      <c r="I70" s="223"/>
      <c r="J70" s="223"/>
      <c r="K70" s="223"/>
      <c r="L70" s="223"/>
      <c r="M70" s="223"/>
    </row>
    <row r="71" spans="2:13" hidden="1" outlineLevel="1">
      <c r="B71" s="132"/>
    </row>
    <row r="72" spans="2:13" hidden="1" outlineLevel="1">
      <c r="B72" s="230" t="s">
        <v>373</v>
      </c>
      <c r="C72" s="145"/>
      <c r="D72" s="145"/>
      <c r="E72" s="229">
        <f>E68*E69</f>
        <v>1462.5</v>
      </c>
      <c r="F72" s="229">
        <f t="shared" ref="F72:M72" si="15">F68*F69</f>
        <v>2239.2154127099657</v>
      </c>
      <c r="G72" s="229">
        <f t="shared" si="15"/>
        <v>3482.898953050651</v>
      </c>
      <c r="H72" s="229">
        <f t="shared" si="15"/>
        <v>5506.6077258746327</v>
      </c>
      <c r="I72" s="229">
        <f t="shared" si="15"/>
        <v>8854.9946994352795</v>
      </c>
      <c r="J72" s="229">
        <f t="shared" si="15"/>
        <v>14491.913245250367</v>
      </c>
      <c r="K72" s="229">
        <f t="shared" si="15"/>
        <v>24153.430937912482</v>
      </c>
      <c r="L72" s="229">
        <f t="shared" si="15"/>
        <v>41024.235758680603</v>
      </c>
      <c r="M72" s="229">
        <f t="shared" si="15"/>
        <v>71058.240642736782</v>
      </c>
    </row>
    <row r="73" spans="2:13" ht="17.25" hidden="1" customHeight="1" outlineLevel="1">
      <c r="B73" s="132"/>
      <c r="C73" s="231"/>
      <c r="D73" s="231"/>
      <c r="E73" s="142"/>
      <c r="F73" s="142"/>
      <c r="G73" s="142"/>
      <c r="H73" s="142"/>
      <c r="I73" s="142"/>
      <c r="J73" s="142"/>
      <c r="K73" s="142"/>
      <c r="L73" s="142"/>
      <c r="M73" s="142"/>
    </row>
    <row r="74" spans="2:13" hidden="1" outlineLevel="1">
      <c r="B74" s="221" t="s">
        <v>379</v>
      </c>
      <c r="C74" s="231"/>
      <c r="D74" s="231"/>
      <c r="E74" s="142"/>
      <c r="F74" s="142"/>
      <c r="G74" s="142"/>
      <c r="H74" s="142"/>
      <c r="I74" s="142"/>
      <c r="J74" s="142"/>
      <c r="K74" s="142"/>
      <c r="L74" s="142"/>
      <c r="M74" s="142"/>
    </row>
    <row r="75" spans="2:13" hidden="1" outlineLevel="1">
      <c r="B75" s="132"/>
      <c r="C75" s="231"/>
      <c r="D75" s="231"/>
      <c r="E75" s="142"/>
      <c r="F75" s="142"/>
      <c r="G75" s="142"/>
      <c r="H75" s="142"/>
      <c r="I75" s="142"/>
      <c r="J75" s="142"/>
      <c r="K75" s="142"/>
      <c r="L75" s="142"/>
      <c r="M75" s="142"/>
    </row>
    <row r="76" spans="2:13" hidden="1" outlineLevel="1">
      <c r="B76" s="132" t="s">
        <v>396</v>
      </c>
      <c r="C76" s="223"/>
      <c r="D76" s="224"/>
      <c r="E76" s="224">
        <v>2892451.2092499998</v>
      </c>
      <c r="F76" s="224">
        <f>F16+E76</f>
        <v>4415687.5446249992</v>
      </c>
      <c r="G76" s="224">
        <f t="shared" ref="G76:M76" si="16">G16+F76</f>
        <v>6624380.2309187483</v>
      </c>
      <c r="H76" s="224">
        <f t="shared" si="16"/>
        <v>9826984.626044685</v>
      </c>
      <c r="I76" s="224">
        <f t="shared" si="16"/>
        <v>14470760.998977292</v>
      </c>
      <c r="J76" s="224">
        <f t="shared" si="16"/>
        <v>21204236.739729576</v>
      </c>
      <c r="K76" s="224">
        <f t="shared" si="16"/>
        <v>30967776.563820384</v>
      </c>
      <c r="L76" s="224">
        <f t="shared" si="16"/>
        <v>45124909.30875206</v>
      </c>
      <c r="M76" s="224">
        <f t="shared" si="16"/>
        <v>65652751.788902983</v>
      </c>
    </row>
    <row r="77" spans="2:13" hidden="1" outlineLevel="1">
      <c r="B77" s="132" t="s">
        <v>376</v>
      </c>
      <c r="C77" s="224"/>
      <c r="D77" s="224"/>
      <c r="E77" s="223">
        <v>100000</v>
      </c>
      <c r="F77" s="224">
        <v>153108.74616820278</v>
      </c>
      <c r="G77" s="224">
        <v>238146.93696072829</v>
      </c>
      <c r="H77" s="224">
        <v>376520.18638459023</v>
      </c>
      <c r="I77" s="224">
        <v>605469.72303830972</v>
      </c>
      <c r="J77" s="224">
        <v>990900.05095729011</v>
      </c>
      <c r="K77" s="224">
        <v>1651516.6453273492</v>
      </c>
      <c r="L77" s="224">
        <v>2805075.9493114939</v>
      </c>
      <c r="M77" s="224">
        <v>4858683.120870891</v>
      </c>
    </row>
    <row r="78" spans="2:13" hidden="1" outlineLevel="1">
      <c r="B78" s="132" t="s">
        <v>397</v>
      </c>
      <c r="C78" s="224"/>
      <c r="D78" s="224"/>
      <c r="E78" s="223">
        <f>E77</f>
        <v>100000</v>
      </c>
      <c r="F78" s="224">
        <f>F77-E77</f>
        <v>53108.746168202779</v>
      </c>
      <c r="G78" s="224">
        <f t="shared" ref="G78:M78" si="17">G77-F77</f>
        <v>85038.190792525507</v>
      </c>
      <c r="H78" s="224">
        <f t="shared" si="17"/>
        <v>138373.24942386194</v>
      </c>
      <c r="I78" s="224">
        <f t="shared" si="17"/>
        <v>228949.53665371949</v>
      </c>
      <c r="J78" s="224">
        <f t="shared" si="17"/>
        <v>385430.32791898039</v>
      </c>
      <c r="K78" s="224">
        <f t="shared" si="17"/>
        <v>660616.59437005909</v>
      </c>
      <c r="L78" s="224">
        <f t="shared" si="17"/>
        <v>1153559.3039841447</v>
      </c>
      <c r="M78" s="224">
        <f t="shared" si="17"/>
        <v>2053607.1715593971</v>
      </c>
    </row>
    <row r="79" spans="2:13" hidden="1" outlineLevel="1">
      <c r="B79" s="132" t="s">
        <v>398</v>
      </c>
      <c r="C79" s="224"/>
      <c r="D79" s="224"/>
      <c r="E79" s="223">
        <v>100000</v>
      </c>
      <c r="F79" s="224">
        <v>100000</v>
      </c>
      <c r="G79" s="224">
        <v>100000</v>
      </c>
      <c r="H79" s="224">
        <v>100000</v>
      </c>
      <c r="I79" s="224">
        <v>100000</v>
      </c>
      <c r="J79" s="224">
        <v>100000</v>
      </c>
      <c r="K79" s="224">
        <v>100000</v>
      </c>
      <c r="L79" s="224">
        <v>100000</v>
      </c>
      <c r="M79" s="224">
        <v>100000</v>
      </c>
    </row>
    <row r="80" spans="2:13" hidden="1" outlineLevel="1">
      <c r="B80" s="132"/>
      <c r="C80" s="132"/>
      <c r="D80" s="132"/>
    </row>
    <row r="81" spans="2:13" hidden="1" outlineLevel="1">
      <c r="B81" s="230" t="s">
        <v>373</v>
      </c>
      <c r="C81" s="232"/>
      <c r="D81" s="232"/>
      <c r="E81" s="229">
        <f>(E78*E79)/1000000</f>
        <v>10000</v>
      </c>
      <c r="F81" s="229">
        <f t="shared" ref="F81:M81" si="18">(F78*F79)/1000000</f>
        <v>5310.8746168202779</v>
      </c>
      <c r="G81" s="229">
        <f t="shared" si="18"/>
        <v>8503.8190792525511</v>
      </c>
      <c r="H81" s="229">
        <f t="shared" si="18"/>
        <v>13837.324942386194</v>
      </c>
      <c r="I81" s="229">
        <f t="shared" si="18"/>
        <v>22894.953665371948</v>
      </c>
      <c r="J81" s="229">
        <f t="shared" si="18"/>
        <v>38543.03279189804</v>
      </c>
      <c r="K81" s="229">
        <f t="shared" si="18"/>
        <v>66061.659437005903</v>
      </c>
      <c r="L81" s="229">
        <f t="shared" si="18"/>
        <v>115355.93039841448</v>
      </c>
      <c r="M81" s="229">
        <f t="shared" si="18"/>
        <v>205360.71715593972</v>
      </c>
    </row>
    <row r="82" spans="2:13" hidden="1" outlineLevel="1">
      <c r="B82" s="132"/>
      <c r="C82" s="231"/>
      <c r="D82" s="231"/>
      <c r="E82" s="142"/>
      <c r="F82" s="142"/>
      <c r="G82" s="142"/>
      <c r="H82" s="142"/>
      <c r="I82" s="142"/>
      <c r="J82" s="142"/>
      <c r="K82" s="142"/>
      <c r="L82" s="142"/>
      <c r="M82" s="142"/>
    </row>
    <row r="83" spans="2:13" hidden="1" outlineLevel="1">
      <c r="C83" s="142"/>
      <c r="D83" s="142"/>
      <c r="E83" s="142"/>
      <c r="F83" s="142"/>
      <c r="G83" s="142"/>
      <c r="H83" s="142"/>
      <c r="I83" s="142"/>
      <c r="J83" s="142"/>
      <c r="K83" s="142"/>
      <c r="L83" s="142"/>
      <c r="M83" s="142"/>
    </row>
    <row r="84" spans="2:13" hidden="1" outlineLevel="1">
      <c r="C84" s="142"/>
      <c r="D84" s="142"/>
      <c r="E84" s="142"/>
      <c r="F84" s="142"/>
      <c r="G84" s="142"/>
      <c r="H84" s="142"/>
      <c r="I84" s="142"/>
      <c r="J84" s="142"/>
      <c r="K84" s="142"/>
      <c r="L84" s="142"/>
      <c r="M84" s="142"/>
    </row>
    <row r="85" spans="2:13" collapsed="1">
      <c r="B85" s="144" t="s">
        <v>64</v>
      </c>
      <c r="C85" s="145"/>
      <c r="D85" s="145">
        <f>D60+D81+D53+D20+D72</f>
        <v>49253.274916892202</v>
      </c>
      <c r="E85" s="145">
        <f>E60+E81+E53+E20+E72</f>
        <v>86002.058592258341</v>
      </c>
      <c r="F85" s="145">
        <f t="shared" ref="F85:L85" si="19">F60+F81+F53+F20+F72</f>
        <v>247098.69689468993</v>
      </c>
      <c r="G85" s="145">
        <f t="shared" si="19"/>
        <v>464148.95642640861</v>
      </c>
      <c r="H85" s="145">
        <f t="shared" si="19"/>
        <v>667327.07068437536</v>
      </c>
      <c r="I85" s="145">
        <f t="shared" si="19"/>
        <v>860125.267973401</v>
      </c>
      <c r="J85" s="145">
        <f t="shared" si="19"/>
        <v>1048695.1417091358</v>
      </c>
      <c r="K85" s="145">
        <f t="shared" si="19"/>
        <v>1275193.9495624683</v>
      </c>
      <c r="L85" s="145">
        <f t="shared" si="19"/>
        <v>1592065.6275002204</v>
      </c>
      <c r="M85" s="145">
        <f>M60+M81+M53+M20+M72</f>
        <v>2059089.2902466599</v>
      </c>
    </row>
    <row r="86" spans="2:13">
      <c r="C86" s="142"/>
      <c r="D86" s="142"/>
      <c r="E86" s="142"/>
      <c r="F86" s="142"/>
      <c r="G86" s="142"/>
      <c r="H86" s="142"/>
      <c r="I86" s="142"/>
      <c r="J86" s="142"/>
      <c r="K86" s="142"/>
      <c r="L86" s="142"/>
      <c r="M86" s="142"/>
    </row>
    <row r="87" spans="2:13">
      <c r="B87" s="140" t="s">
        <v>65</v>
      </c>
      <c r="C87" s="148"/>
      <c r="D87" s="141">
        <v>2021</v>
      </c>
      <c r="E87" s="141">
        <v>2022</v>
      </c>
      <c r="F87" s="141">
        <v>2023</v>
      </c>
      <c r="G87" s="141">
        <v>2024</v>
      </c>
      <c r="H87" s="141">
        <v>2025</v>
      </c>
      <c r="I87" s="141">
        <v>2026</v>
      </c>
      <c r="J87" s="141">
        <v>2027</v>
      </c>
      <c r="K87" s="141">
        <v>2028</v>
      </c>
      <c r="L87" s="141">
        <v>2029</v>
      </c>
      <c r="M87" s="141">
        <v>2030</v>
      </c>
    </row>
    <row r="88" spans="2:13">
      <c r="B88" s="238"/>
      <c r="C88" s="142"/>
      <c r="D88" s="142"/>
      <c r="E88" s="142"/>
      <c r="F88" s="142"/>
      <c r="G88" s="142"/>
      <c r="H88" s="142"/>
      <c r="I88" s="142"/>
      <c r="J88" s="142"/>
      <c r="K88" s="142"/>
      <c r="L88" s="142"/>
      <c r="M88" s="142"/>
    </row>
    <row r="89" spans="2:13" hidden="1" outlineLevel="1">
      <c r="B89" s="134" t="s">
        <v>66</v>
      </c>
      <c r="C89" s="142"/>
      <c r="D89" s="142"/>
      <c r="E89" s="142"/>
      <c r="F89" s="142"/>
      <c r="G89" s="142"/>
      <c r="H89" s="142"/>
      <c r="I89" s="142"/>
      <c r="J89" s="142"/>
      <c r="K89" s="142"/>
      <c r="L89" s="142"/>
      <c r="M89" s="142"/>
    </row>
    <row r="90" spans="2:13" hidden="1" outlineLevel="1">
      <c r="B90" s="238"/>
      <c r="C90" s="142"/>
      <c r="D90" s="142"/>
      <c r="E90" s="142"/>
      <c r="F90" s="142"/>
      <c r="G90" s="142"/>
      <c r="H90" s="142"/>
      <c r="I90" s="142"/>
      <c r="J90" s="142"/>
      <c r="K90" s="142"/>
      <c r="L90" s="142"/>
      <c r="M90" s="142"/>
    </row>
    <row r="91" spans="2:13" hidden="1" outlineLevel="1">
      <c r="B91" s="134" t="s">
        <v>380</v>
      </c>
      <c r="C91" s="142"/>
      <c r="D91" s="233">
        <f>20%</f>
        <v>0.2</v>
      </c>
      <c r="E91" s="233">
        <f>20%</f>
        <v>0.2</v>
      </c>
      <c r="F91" s="233">
        <f>20%</f>
        <v>0.2</v>
      </c>
      <c r="G91" s="233">
        <f>20%</f>
        <v>0.2</v>
      </c>
      <c r="H91" s="233">
        <f>20%</f>
        <v>0.2</v>
      </c>
      <c r="I91" s="233">
        <f>20%</f>
        <v>0.2</v>
      </c>
      <c r="J91" s="233">
        <f>20%</f>
        <v>0.2</v>
      </c>
      <c r="K91" s="233">
        <f>20%</f>
        <v>0.2</v>
      </c>
      <c r="L91" s="233">
        <f>20%</f>
        <v>0.2</v>
      </c>
      <c r="M91" s="233">
        <f>20%</f>
        <v>0.2</v>
      </c>
    </row>
    <row r="92" spans="2:13" hidden="1" outlineLevel="1">
      <c r="B92" s="238"/>
      <c r="C92" s="142"/>
      <c r="D92" s="142"/>
      <c r="E92" s="142"/>
      <c r="F92" s="142"/>
      <c r="G92" s="142"/>
      <c r="H92" s="142"/>
      <c r="I92" s="142"/>
      <c r="J92" s="142"/>
      <c r="K92" s="142"/>
      <c r="L92" s="142"/>
      <c r="M92" s="142"/>
    </row>
    <row r="93" spans="2:13" hidden="1" outlineLevel="1">
      <c r="B93" s="239"/>
      <c r="C93" s="145"/>
      <c r="D93" s="145">
        <f>D20*(1-D91)</f>
        <v>32258.096599999997</v>
      </c>
      <c r="E93" s="145">
        <f>E20*(1-E91)</f>
        <v>46121.090189457755</v>
      </c>
      <c r="F93" s="145">
        <f>F20*(1-F91)</f>
        <v>66041.919047927498</v>
      </c>
      <c r="G93" s="145">
        <f>G20*(1-G91)</f>
        <v>94676.719275654803</v>
      </c>
      <c r="H93" s="145">
        <f>H20*(1-H91)</f>
        <v>135846.57187713135</v>
      </c>
      <c r="I93" s="145">
        <f>I20*(1-I91)</f>
        <v>195048.19902021674</v>
      </c>
      <c r="J93" s="145">
        <f>J20*(1-J91)</f>
        <v>280188.39692591981</v>
      </c>
      <c r="K93" s="145">
        <f>K20*(1-K91)</f>
        <v>402640.15349801793</v>
      </c>
      <c r="L93" s="145">
        <f>L20*(1-L91)</f>
        <v>578761.24554564699</v>
      </c>
      <c r="M93" s="145">
        <f>M20*(1-M91)</f>
        <v>823296.59286045702</v>
      </c>
    </row>
    <row r="94" spans="2:13" hidden="1" outlineLevel="1">
      <c r="B94" s="238"/>
      <c r="C94" s="142"/>
      <c r="D94" s="142"/>
      <c r="E94" s="142"/>
      <c r="F94" s="142"/>
      <c r="G94" s="142"/>
      <c r="H94" s="142"/>
      <c r="I94" s="142"/>
      <c r="J94" s="142"/>
      <c r="K94" s="142"/>
      <c r="L94" s="142"/>
      <c r="M94" s="142"/>
    </row>
    <row r="95" spans="2:13" hidden="1" outlineLevel="1">
      <c r="B95" s="134" t="s">
        <v>67</v>
      </c>
      <c r="C95" s="142"/>
      <c r="D95" s="142"/>
      <c r="E95" s="142"/>
      <c r="F95" s="142"/>
      <c r="G95" s="142"/>
      <c r="H95" s="142"/>
      <c r="I95" s="142"/>
      <c r="J95" s="142"/>
      <c r="K95" s="142"/>
      <c r="L95" s="142"/>
      <c r="M95" s="142"/>
    </row>
    <row r="96" spans="2:13" hidden="1" outlineLevel="1">
      <c r="B96" s="238"/>
      <c r="C96" s="142"/>
      <c r="D96" s="142"/>
      <c r="E96" s="142"/>
      <c r="F96" s="142"/>
      <c r="G96" s="142"/>
      <c r="H96" s="142"/>
      <c r="I96" s="142"/>
      <c r="J96" s="142"/>
      <c r="K96" s="142"/>
      <c r="L96" s="142"/>
      <c r="M96" s="142"/>
    </row>
    <row r="97" spans="2:13" hidden="1" outlineLevel="1">
      <c r="B97" s="134" t="s">
        <v>380</v>
      </c>
      <c r="C97" s="142"/>
      <c r="D97" s="233">
        <v>0.15</v>
      </c>
      <c r="E97" s="233">
        <v>0.15</v>
      </c>
      <c r="F97" s="233">
        <v>0.15</v>
      </c>
      <c r="G97" s="233">
        <v>0.15</v>
      </c>
      <c r="H97" s="233">
        <v>0.2</v>
      </c>
      <c r="I97" s="233">
        <v>0.2</v>
      </c>
      <c r="J97" s="233">
        <v>0.2</v>
      </c>
      <c r="K97" s="233">
        <v>0.2</v>
      </c>
      <c r="L97" s="233">
        <v>0.2</v>
      </c>
      <c r="M97" s="233">
        <v>0.2</v>
      </c>
    </row>
    <row r="98" spans="2:13" hidden="1" outlineLevel="1">
      <c r="B98" s="238"/>
      <c r="C98" s="142"/>
      <c r="D98" s="142"/>
      <c r="E98" s="142"/>
      <c r="F98" s="142"/>
      <c r="G98" s="142"/>
      <c r="H98" s="142"/>
      <c r="I98" s="142"/>
      <c r="J98" s="142"/>
      <c r="K98" s="142"/>
      <c r="L98" s="142"/>
      <c r="M98" s="142"/>
    </row>
    <row r="99" spans="2:13" hidden="1" outlineLevel="1">
      <c r="B99" s="239"/>
      <c r="C99" s="145"/>
      <c r="D99" s="145">
        <f>D53*(1-D97)</f>
        <v>4602.3280974167837</v>
      </c>
      <c r="E99" s="145">
        <f>E53*(1-E97)</f>
        <v>9874.7280132388387</v>
      </c>
      <c r="F99" s="145">
        <f>F53*(1-F97)</f>
        <v>126803.84812989242</v>
      </c>
      <c r="G99" s="145">
        <f>G53*(1-G97)</f>
        <v>273965.05882041279</v>
      </c>
      <c r="H99" s="145">
        <f>H53*(1-H97)</f>
        <v>369056.75186138641</v>
      </c>
      <c r="I99" s="145">
        <f>I53*(1-I97)</f>
        <v>447963.47557051829</v>
      </c>
      <c r="J99" s="145">
        <f>J53*(1-J97)</f>
        <v>487653.356603969</v>
      </c>
      <c r="K99" s="145">
        <f>K53*(1-K97)</f>
        <v>503609.68907255755</v>
      </c>
      <c r="L99" s="145">
        <f>L53*(1-L97)</f>
        <v>509135.95818033192</v>
      </c>
      <c r="M99" s="145">
        <f>M53*(1-M97)</f>
        <v>514757.5229242756</v>
      </c>
    </row>
    <row r="100" spans="2:13" hidden="1" outlineLevel="1">
      <c r="B100" s="238"/>
      <c r="C100" s="142"/>
      <c r="D100" s="142"/>
      <c r="E100" s="142"/>
      <c r="F100" s="142"/>
      <c r="G100" s="142"/>
      <c r="H100" s="142"/>
      <c r="I100" s="142"/>
      <c r="J100" s="142"/>
      <c r="K100" s="142"/>
      <c r="L100" s="142"/>
      <c r="M100" s="142"/>
    </row>
    <row r="101" spans="2:13" hidden="1" outlineLevel="1">
      <c r="B101" s="134" t="s">
        <v>68</v>
      </c>
      <c r="C101" s="142"/>
      <c r="D101" s="142"/>
      <c r="E101" s="142"/>
      <c r="F101" s="142"/>
      <c r="G101" s="142"/>
      <c r="H101" s="142"/>
      <c r="I101" s="142"/>
      <c r="J101" s="142"/>
      <c r="K101" s="142"/>
      <c r="L101" s="142"/>
      <c r="M101" s="142"/>
    </row>
    <row r="102" spans="2:13" hidden="1" outlineLevel="1">
      <c r="B102" s="238"/>
      <c r="C102" s="142"/>
      <c r="D102" s="142"/>
      <c r="E102" s="142"/>
      <c r="F102" s="142"/>
      <c r="G102" s="142"/>
      <c r="H102" s="142"/>
      <c r="I102" s="142"/>
      <c r="J102" s="142"/>
      <c r="K102" s="142"/>
      <c r="L102" s="142"/>
      <c r="M102" s="142"/>
    </row>
    <row r="103" spans="2:13" hidden="1" outlineLevel="1">
      <c r="B103" s="134" t="s">
        <v>380</v>
      </c>
      <c r="C103" s="142"/>
      <c r="D103" s="233">
        <v>0.1</v>
      </c>
      <c r="E103" s="233">
        <v>0.1</v>
      </c>
      <c r="F103" s="233">
        <v>0.1</v>
      </c>
      <c r="G103" s="233">
        <v>0.2</v>
      </c>
      <c r="H103" s="233">
        <v>0.2</v>
      </c>
      <c r="I103" s="233">
        <v>0.3</v>
      </c>
      <c r="J103" s="233">
        <v>0.3</v>
      </c>
      <c r="K103" s="233">
        <v>0.3</v>
      </c>
      <c r="L103" s="233">
        <v>0.3</v>
      </c>
      <c r="M103" s="233">
        <v>0.3</v>
      </c>
    </row>
    <row r="104" spans="2:13" hidden="1" outlineLevel="1">
      <c r="B104" s="238"/>
      <c r="C104" s="142"/>
      <c r="D104" s="142"/>
      <c r="E104" s="142"/>
      <c r="F104" s="142"/>
      <c r="G104" s="142"/>
      <c r="H104" s="142"/>
      <c r="I104" s="142"/>
      <c r="J104" s="142"/>
      <c r="K104" s="142"/>
      <c r="L104" s="142"/>
      <c r="M104" s="142"/>
    </row>
    <row r="105" spans="2:13" hidden="1" outlineLevel="1">
      <c r="B105" s="239"/>
      <c r="C105" s="145"/>
      <c r="D105" s="145">
        <f>D60*(1-D103)</f>
        <v>3164.5354705852124</v>
      </c>
      <c r="E105" s="145">
        <f>E60*(1-E103)</f>
        <v>4743.7819029337643</v>
      </c>
      <c r="F105" s="145">
        <f>F60*(1-F103)</f>
        <v>7033.6892298391676</v>
      </c>
      <c r="G105" s="145">
        <f>G60*(1-G103)</f>
        <v>9203.6043145351141</v>
      </c>
      <c r="H105" s="145">
        <f>H60*(1-H103)</f>
        <v>13483.186674373879</v>
      </c>
      <c r="I105" s="145">
        <f>I60*(1-I103)</f>
        <v>17227.508459122579</v>
      </c>
      <c r="J105" s="145">
        <f>J60*(1-J103)</f>
        <v>25100.602631738453</v>
      </c>
      <c r="K105" s="145">
        <f>K60*(1-K103)</f>
        <v>36516.589182031472</v>
      </c>
      <c r="L105" s="145">
        <f>L60*(1-L103)</f>
        <v>53069.769679956364</v>
      </c>
      <c r="M105" s="145">
        <f>M60*(1-M103)</f>
        <v>77071.881401947438</v>
      </c>
    </row>
    <row r="106" spans="2:13" hidden="1" outlineLevel="1">
      <c r="B106" s="238"/>
      <c r="C106" s="142"/>
      <c r="D106" s="142"/>
      <c r="E106" s="142"/>
      <c r="F106" s="142"/>
      <c r="G106" s="142"/>
      <c r="H106" s="142"/>
      <c r="I106" s="142"/>
      <c r="J106" s="142"/>
      <c r="K106" s="142"/>
      <c r="L106" s="142"/>
      <c r="M106" s="142"/>
    </row>
    <row r="107" spans="2:13" hidden="1" outlineLevel="1">
      <c r="B107" s="134" t="s">
        <v>69</v>
      </c>
      <c r="C107" s="142"/>
      <c r="D107" s="142"/>
      <c r="E107" s="142">
        <f>E72*0.5</f>
        <v>731.25</v>
      </c>
      <c r="F107" s="142">
        <f>F72*0.5</f>
        <v>1119.6077063549828</v>
      </c>
      <c r="G107" s="142">
        <f>G72*0.5</f>
        <v>1741.4494765253255</v>
      </c>
      <c r="H107" s="142">
        <f>H72*0.5</f>
        <v>2753.3038629373164</v>
      </c>
      <c r="I107" s="142">
        <f>I72*0.5</f>
        <v>4427.4973497176397</v>
      </c>
      <c r="J107" s="142">
        <f>J72*0.5</f>
        <v>7245.9566226251836</v>
      </c>
      <c r="K107" s="142">
        <f>K72*0.5</f>
        <v>12076.715468956241</v>
      </c>
      <c r="L107" s="142">
        <f>L72*0.5</f>
        <v>20512.117879340301</v>
      </c>
      <c r="M107" s="142">
        <f>M72*0.5</f>
        <v>35529.120321368391</v>
      </c>
    </row>
    <row r="108" spans="2:13" hidden="1" outlineLevel="1">
      <c r="B108" s="238"/>
      <c r="C108" s="142"/>
      <c r="D108" s="142"/>
      <c r="E108" s="142"/>
      <c r="F108" s="142"/>
      <c r="G108" s="142"/>
      <c r="H108" s="142"/>
      <c r="I108" s="142"/>
      <c r="J108" s="142"/>
      <c r="K108" s="142"/>
      <c r="L108" s="142"/>
      <c r="M108" s="142"/>
    </row>
    <row r="109" spans="2:13" hidden="1" outlineLevel="1">
      <c r="B109" s="134" t="s">
        <v>380</v>
      </c>
      <c r="C109" s="142"/>
      <c r="D109" s="233">
        <v>0.5</v>
      </c>
      <c r="E109" s="233">
        <v>0.5</v>
      </c>
      <c r="F109" s="233">
        <v>0.5</v>
      </c>
      <c r="G109" s="233">
        <v>0.5</v>
      </c>
      <c r="H109" s="233">
        <v>0.5</v>
      </c>
      <c r="I109" s="233">
        <v>0.5</v>
      </c>
      <c r="J109" s="233">
        <v>0.5</v>
      </c>
      <c r="K109" s="233">
        <v>0.5</v>
      </c>
      <c r="L109" s="233">
        <v>0.5</v>
      </c>
      <c r="M109" s="233">
        <v>0.5</v>
      </c>
    </row>
    <row r="110" spans="2:13" hidden="1" outlineLevel="1">
      <c r="B110" s="238"/>
      <c r="C110" s="142"/>
      <c r="D110" s="142"/>
      <c r="E110" s="142"/>
      <c r="F110" s="142"/>
      <c r="G110" s="142"/>
      <c r="H110" s="142"/>
      <c r="I110" s="142"/>
      <c r="J110" s="142"/>
      <c r="K110" s="142"/>
      <c r="L110" s="142"/>
      <c r="M110" s="142"/>
    </row>
    <row r="111" spans="2:13" hidden="1" outlineLevel="1">
      <c r="B111" s="239"/>
      <c r="C111" s="145"/>
      <c r="D111" s="145">
        <f>D72*(1-D109)</f>
        <v>0</v>
      </c>
      <c r="E111" s="145">
        <f>E72*(1-E109)</f>
        <v>731.25</v>
      </c>
      <c r="F111" s="145">
        <f>F72*(1-F109)</f>
        <v>1119.6077063549828</v>
      </c>
      <c r="G111" s="145">
        <f>G72*(1-G109)</f>
        <v>1741.4494765253255</v>
      </c>
      <c r="H111" s="145">
        <f>H72*(1-H109)</f>
        <v>2753.3038629373164</v>
      </c>
      <c r="I111" s="145">
        <f>I72*(1-I109)</f>
        <v>4427.4973497176397</v>
      </c>
      <c r="J111" s="145">
        <f>J72*(1-J109)</f>
        <v>7245.9566226251836</v>
      </c>
      <c r="K111" s="145">
        <f>K72*(1-K109)</f>
        <v>12076.715468956241</v>
      </c>
      <c r="L111" s="145">
        <f>L72*(1-L109)</f>
        <v>20512.117879340301</v>
      </c>
      <c r="M111" s="145">
        <f>M72*(1-M109)</f>
        <v>35529.120321368391</v>
      </c>
    </row>
    <row r="112" spans="2:13" hidden="1" outlineLevel="1">
      <c r="B112" s="238"/>
      <c r="C112" s="142"/>
      <c r="D112" s="142"/>
      <c r="E112" s="142"/>
      <c r="F112" s="142"/>
      <c r="G112" s="142"/>
      <c r="H112" s="142"/>
      <c r="I112" s="142"/>
      <c r="J112" s="142"/>
      <c r="K112" s="142"/>
      <c r="L112" s="142"/>
      <c r="M112" s="142"/>
    </row>
    <row r="113" spans="2:13" hidden="1" outlineLevel="1">
      <c r="B113" s="134" t="s">
        <v>383</v>
      </c>
      <c r="C113" s="142"/>
      <c r="D113" s="142"/>
      <c r="E113" s="142">
        <v>0</v>
      </c>
      <c r="F113" s="142">
        <v>0</v>
      </c>
      <c r="G113" s="142">
        <v>0</v>
      </c>
      <c r="H113" s="142">
        <v>0</v>
      </c>
      <c r="I113" s="142">
        <v>0</v>
      </c>
      <c r="J113" s="142">
        <v>0</v>
      </c>
      <c r="K113" s="142">
        <v>0</v>
      </c>
      <c r="L113" s="142">
        <v>0</v>
      </c>
      <c r="M113" s="142">
        <v>1</v>
      </c>
    </row>
    <row r="114" spans="2:13" hidden="1" outlineLevel="1">
      <c r="B114" s="238"/>
      <c r="C114" s="142"/>
      <c r="D114" s="142"/>
      <c r="E114" s="142"/>
      <c r="F114" s="142"/>
      <c r="G114" s="142"/>
      <c r="H114" s="142"/>
      <c r="I114" s="142"/>
      <c r="J114" s="142"/>
      <c r="K114" s="142"/>
      <c r="L114" s="142"/>
      <c r="M114" s="142"/>
    </row>
    <row r="115" spans="2:13" hidden="1" outlineLevel="1">
      <c r="B115" s="134" t="s">
        <v>380</v>
      </c>
      <c r="C115" s="142"/>
      <c r="D115" s="233">
        <v>0.7</v>
      </c>
      <c r="E115" s="233">
        <v>0.7</v>
      </c>
      <c r="F115" s="233">
        <v>0.7</v>
      </c>
      <c r="G115" s="233">
        <v>0.7</v>
      </c>
      <c r="H115" s="233">
        <v>0.7</v>
      </c>
      <c r="I115" s="233">
        <v>0.7</v>
      </c>
      <c r="J115" s="233">
        <v>0.7</v>
      </c>
      <c r="K115" s="233">
        <v>0.7</v>
      </c>
      <c r="L115" s="233">
        <v>0.7</v>
      </c>
      <c r="M115" s="233">
        <v>0.7</v>
      </c>
    </row>
    <row r="116" spans="2:13" hidden="1" outlineLevel="1">
      <c r="B116" s="238"/>
      <c r="C116" s="142"/>
      <c r="D116" s="142"/>
      <c r="E116" s="142"/>
      <c r="F116" s="142"/>
      <c r="G116" s="142"/>
      <c r="H116" s="142"/>
      <c r="I116" s="142"/>
      <c r="J116" s="142"/>
      <c r="K116" s="142"/>
      <c r="L116" s="142"/>
      <c r="M116" s="142"/>
    </row>
    <row r="117" spans="2:13" hidden="1" outlineLevel="1">
      <c r="B117" s="239"/>
      <c r="C117" s="145"/>
      <c r="D117" s="145">
        <f>D81*(1-D115)</f>
        <v>0</v>
      </c>
      <c r="E117" s="145">
        <f>E81*(1-E115)</f>
        <v>3000.0000000000005</v>
      </c>
      <c r="F117" s="145">
        <f>F81*(1-F115)</f>
        <v>1593.2623850460836</v>
      </c>
      <c r="G117" s="145">
        <f>G81*(1-G115)</f>
        <v>2551.1457237757659</v>
      </c>
      <c r="H117" s="145">
        <f>H81*(1-H115)</f>
        <v>4151.1974827158592</v>
      </c>
      <c r="I117" s="145">
        <f>I81*(1-I115)</f>
        <v>6868.4860996115858</v>
      </c>
      <c r="J117" s="145">
        <f>J81*(1-J115)</f>
        <v>11562.909837569414</v>
      </c>
      <c r="K117" s="145">
        <f>K81*(1-K115)</f>
        <v>19818.497831101773</v>
      </c>
      <c r="L117" s="145">
        <f>L81*(1-L115)</f>
        <v>34606.779119524348</v>
      </c>
      <c r="M117" s="145">
        <f>M81*(1-M115)</f>
        <v>61608.215146781928</v>
      </c>
    </row>
    <row r="118" spans="2:13" hidden="1" outlineLevel="1">
      <c r="C118" s="142"/>
      <c r="D118" s="142"/>
      <c r="E118" s="142"/>
      <c r="F118" s="142"/>
      <c r="G118" s="142"/>
      <c r="H118" s="142"/>
      <c r="I118" s="142"/>
      <c r="J118" s="142"/>
      <c r="K118" s="142"/>
      <c r="L118" s="142"/>
      <c r="M118" s="142"/>
    </row>
    <row r="119" spans="2:13" collapsed="1">
      <c r="B119" s="144" t="s">
        <v>70</v>
      </c>
      <c r="C119" s="145"/>
      <c r="D119" s="145">
        <f>D117+D111+D105+D99+D93</f>
        <v>40024.960168001991</v>
      </c>
      <c r="E119" s="145">
        <f>E117+E111+E105+E99+E93</f>
        <v>64470.850105630358</v>
      </c>
      <c r="F119" s="145">
        <f>F117+F111+F105+F99+F93</f>
        <v>202592.32649906015</v>
      </c>
      <c r="G119" s="145">
        <f>G117+G111+G105+G99+G93</f>
        <v>382137.97761090379</v>
      </c>
      <c r="H119" s="145">
        <f>H117+H111+H105+H99+H93</f>
        <v>525291.01175854483</v>
      </c>
      <c r="I119" s="145">
        <f>I117+I111+I105+I99+I93</f>
        <v>671535.16649918677</v>
      </c>
      <c r="J119" s="145">
        <f>J117+J111+J105+J99+J93</f>
        <v>811751.22262182191</v>
      </c>
      <c r="K119" s="145">
        <f>K117+K111+K105+K99+K93</f>
        <v>974661.64505266491</v>
      </c>
      <c r="L119" s="145">
        <f>L117+L111+L105+L99+L93</f>
        <v>1196085.8704047999</v>
      </c>
      <c r="M119" s="145">
        <f>M117+M111+M105+M99+M93</f>
        <v>1512263.3326548305</v>
      </c>
    </row>
    <row r="120" spans="2:13">
      <c r="C120" s="142"/>
      <c r="D120" s="142"/>
      <c r="E120" s="142"/>
      <c r="F120" s="142"/>
      <c r="G120" s="142"/>
      <c r="H120" s="142"/>
      <c r="I120" s="142"/>
      <c r="J120" s="142"/>
      <c r="K120" s="142"/>
      <c r="L120" s="142"/>
      <c r="M120" s="142"/>
    </row>
    <row r="121" spans="2:13">
      <c r="B121" s="140" t="s">
        <v>71</v>
      </c>
      <c r="C121" s="148"/>
      <c r="D121" s="141">
        <v>2021</v>
      </c>
      <c r="E121" s="141">
        <v>2022</v>
      </c>
      <c r="F121" s="141">
        <v>2023</v>
      </c>
      <c r="G121" s="141">
        <v>2024</v>
      </c>
      <c r="H121" s="141">
        <v>2025</v>
      </c>
      <c r="I121" s="141">
        <v>2026</v>
      </c>
      <c r="J121" s="141">
        <v>2027</v>
      </c>
      <c r="K121" s="141">
        <v>2028</v>
      </c>
      <c r="L121" s="141">
        <v>2029</v>
      </c>
      <c r="M121" s="141">
        <v>2030</v>
      </c>
    </row>
    <row r="122" spans="2:13">
      <c r="C122" s="142"/>
      <c r="D122" s="142"/>
      <c r="E122" s="142"/>
      <c r="F122" s="142"/>
      <c r="G122" s="142"/>
      <c r="H122" s="142"/>
      <c r="I122" s="142"/>
      <c r="J122" s="142"/>
      <c r="K122" s="142"/>
      <c r="L122" s="142"/>
      <c r="M122" s="142"/>
    </row>
    <row r="123" spans="2:13" hidden="1" outlineLevel="1">
      <c r="B123" s="134" t="s">
        <v>359</v>
      </c>
      <c r="C123" s="142"/>
      <c r="D123" s="142"/>
      <c r="E123" s="142"/>
      <c r="F123" s="142"/>
      <c r="G123" s="142"/>
      <c r="H123" s="142"/>
      <c r="I123" s="142"/>
      <c r="J123" s="142"/>
      <c r="K123" s="142"/>
      <c r="L123" s="142"/>
      <c r="M123" s="142"/>
    </row>
    <row r="124" spans="2:13" hidden="1" outlineLevel="1">
      <c r="C124" s="142"/>
      <c r="D124" s="142"/>
      <c r="E124" s="142"/>
      <c r="F124" s="142"/>
      <c r="G124" s="142"/>
      <c r="H124" s="142"/>
      <c r="I124" s="142"/>
      <c r="J124" s="142"/>
      <c r="K124" s="142"/>
      <c r="L124" s="142"/>
      <c r="M124" s="142"/>
    </row>
    <row r="125" spans="2:13" hidden="1" outlineLevel="1">
      <c r="B125" s="144"/>
      <c r="C125" s="145"/>
      <c r="D125" s="145">
        <f>D20-D93</f>
        <v>8064.5241499999975</v>
      </c>
      <c r="E125" s="145">
        <f>E20-E93</f>
        <v>11530.272547364431</v>
      </c>
      <c r="F125" s="145">
        <f>F20-F93</f>
        <v>16510.479761981871</v>
      </c>
      <c r="G125" s="145">
        <f>G20-G93</f>
        <v>23669.17981891369</v>
      </c>
      <c r="H125" s="145">
        <f>H20-H93</f>
        <v>33961.642969282839</v>
      </c>
      <c r="I125" s="145">
        <f>I20-I93</f>
        <v>48762.049755054177</v>
      </c>
      <c r="J125" s="145">
        <f>J20-J93</f>
        <v>70047.099231479922</v>
      </c>
      <c r="K125" s="145">
        <f>K20-K93</f>
        <v>100660.03837450442</v>
      </c>
      <c r="L125" s="145">
        <f>L20-L93</f>
        <v>144690.31138641166</v>
      </c>
      <c r="M125" s="145">
        <f>M20-M93</f>
        <v>205824.14821511426</v>
      </c>
    </row>
    <row r="126" spans="2:13" hidden="1" outlineLevel="1">
      <c r="C126" s="142"/>
      <c r="D126" s="142"/>
      <c r="E126" s="142"/>
      <c r="F126" s="142"/>
      <c r="G126" s="142"/>
      <c r="H126" s="142"/>
      <c r="I126" s="142"/>
      <c r="J126" s="142"/>
      <c r="K126" s="142"/>
      <c r="L126" s="142"/>
      <c r="M126" s="142"/>
    </row>
    <row r="127" spans="2:13" hidden="1" outlineLevel="1">
      <c r="C127" s="142"/>
      <c r="D127" s="142"/>
      <c r="E127" s="142"/>
      <c r="F127" s="142"/>
      <c r="G127" s="142"/>
      <c r="H127" s="142"/>
      <c r="I127" s="142"/>
      <c r="J127" s="142"/>
      <c r="K127" s="142"/>
      <c r="L127" s="142"/>
      <c r="M127" s="142"/>
    </row>
    <row r="128" spans="2:13" hidden="1" outlineLevel="1">
      <c r="B128" s="134" t="s">
        <v>360</v>
      </c>
      <c r="C128" s="142"/>
    </row>
    <row r="129" spans="2:13" hidden="1" outlineLevel="1">
      <c r="C129" s="142"/>
      <c r="D129" s="142"/>
      <c r="E129" s="142"/>
      <c r="F129" s="142"/>
      <c r="G129" s="142"/>
      <c r="H129" s="142"/>
      <c r="I129" s="142"/>
      <c r="J129" s="142"/>
      <c r="K129" s="142"/>
      <c r="L129" s="142"/>
      <c r="M129" s="142"/>
    </row>
    <row r="130" spans="2:13" hidden="1" outlineLevel="1">
      <c r="C130" s="142"/>
      <c r="D130" s="142"/>
      <c r="E130" s="142"/>
      <c r="F130" s="142"/>
      <c r="G130" s="142"/>
      <c r="H130" s="142"/>
      <c r="I130" s="142"/>
      <c r="J130" s="142"/>
      <c r="K130" s="142"/>
      <c r="L130" s="142"/>
      <c r="M130" s="142"/>
    </row>
    <row r="131" spans="2:13" hidden="1" outlineLevel="1">
      <c r="B131" s="144"/>
      <c r="C131" s="145"/>
      <c r="D131" s="145">
        <f>D53-D99</f>
        <v>812.17554660296173</v>
      </c>
      <c r="E131" s="145">
        <f>E53-E99</f>
        <v>1742.5990611597954</v>
      </c>
      <c r="F131" s="145">
        <f>F53-F99</f>
        <v>22377.149669981023</v>
      </c>
      <c r="G131" s="145">
        <f>G53-G99</f>
        <v>48346.775085955218</v>
      </c>
      <c r="H131" s="145">
        <f>H53-H99</f>
        <v>92264.187965346558</v>
      </c>
      <c r="I131" s="145">
        <f>I53-I99</f>
        <v>111990.86889262951</v>
      </c>
      <c r="J131" s="145">
        <f>J53-J99</f>
        <v>121913.33915099222</v>
      </c>
      <c r="K131" s="145">
        <f>K53-K99</f>
        <v>125902.42226813937</v>
      </c>
      <c r="L131" s="145">
        <f>L53-L99</f>
        <v>127283.98954508296</v>
      </c>
      <c r="M131" s="145">
        <f>M53-M99</f>
        <v>128689.3807310689</v>
      </c>
    </row>
    <row r="132" spans="2:13" hidden="1" outlineLevel="1">
      <c r="C132" s="142"/>
      <c r="D132" s="142"/>
      <c r="E132" s="142"/>
      <c r="F132" s="142"/>
      <c r="G132" s="142"/>
      <c r="H132" s="142"/>
      <c r="I132" s="142"/>
      <c r="J132" s="142"/>
      <c r="K132" s="142"/>
      <c r="L132" s="142"/>
      <c r="M132" s="142"/>
    </row>
    <row r="133" spans="2:13" hidden="1" outlineLevel="1">
      <c r="B133" s="134" t="s">
        <v>381</v>
      </c>
      <c r="C133" s="142"/>
      <c r="D133" s="142"/>
      <c r="E133" s="142"/>
      <c r="F133" s="142"/>
      <c r="G133" s="142"/>
      <c r="H133" s="142"/>
      <c r="I133" s="142"/>
      <c r="J133" s="142"/>
      <c r="K133" s="142"/>
      <c r="L133" s="142"/>
      <c r="M133" s="142"/>
    </row>
    <row r="134" spans="2:13" hidden="1" outlineLevel="1">
      <c r="C134" s="142"/>
      <c r="D134" s="142"/>
      <c r="E134" s="142"/>
      <c r="F134" s="142"/>
      <c r="G134" s="142"/>
      <c r="H134" s="142"/>
      <c r="I134" s="142"/>
      <c r="J134" s="142"/>
      <c r="K134" s="142"/>
      <c r="L134" s="142"/>
      <c r="M134" s="142"/>
    </row>
    <row r="135" spans="2:13" hidden="1" outlineLevel="1">
      <c r="C135" s="142"/>
      <c r="D135" s="142"/>
      <c r="E135" s="142"/>
      <c r="F135" s="142"/>
      <c r="G135" s="142"/>
      <c r="H135" s="142"/>
      <c r="I135" s="142"/>
      <c r="J135" s="142"/>
      <c r="K135" s="142"/>
      <c r="L135" s="142"/>
      <c r="M135" s="142"/>
    </row>
    <row r="136" spans="2:13" hidden="1" outlineLevel="1">
      <c r="B136" s="144"/>
      <c r="C136" s="145"/>
      <c r="D136" s="145">
        <f>D60-D105</f>
        <v>351.61505228724582</v>
      </c>
      <c r="E136" s="145">
        <f>E60-E105</f>
        <v>527.08687810375159</v>
      </c>
      <c r="F136" s="145">
        <f>F60-F105</f>
        <v>781.52102553768509</v>
      </c>
      <c r="G136" s="145">
        <f>G60-G105</f>
        <v>2300.9010786337785</v>
      </c>
      <c r="H136" s="145">
        <f>H60-H105</f>
        <v>3370.7966685934698</v>
      </c>
      <c r="I136" s="145">
        <f>I60-I105</f>
        <v>7383.2179110525358</v>
      </c>
      <c r="J136" s="145">
        <f>J60-J105</f>
        <v>10757.401127887912</v>
      </c>
      <c r="K136" s="145">
        <f>K60-K105</f>
        <v>15649.966792299208</v>
      </c>
      <c r="L136" s="145">
        <f>L60-L105</f>
        <v>22744.187005695589</v>
      </c>
      <c r="M136" s="145">
        <f>M60-M105</f>
        <v>33030.806315120339</v>
      </c>
    </row>
    <row r="137" spans="2:13" hidden="1" outlineLevel="1">
      <c r="C137" s="142"/>
      <c r="D137" s="142"/>
      <c r="E137" s="142"/>
      <c r="F137" s="142"/>
      <c r="G137" s="142"/>
      <c r="H137" s="142"/>
      <c r="I137" s="142"/>
      <c r="J137" s="142"/>
      <c r="K137" s="142"/>
      <c r="L137" s="142"/>
      <c r="M137" s="142"/>
    </row>
    <row r="138" spans="2:13" hidden="1" outlineLevel="1">
      <c r="B138" s="134" t="s">
        <v>382</v>
      </c>
      <c r="C138" s="142"/>
      <c r="D138" s="142"/>
      <c r="E138" s="142"/>
      <c r="F138" s="142"/>
      <c r="G138" s="142"/>
      <c r="H138" s="142"/>
      <c r="I138" s="142"/>
      <c r="J138" s="142"/>
      <c r="K138" s="142"/>
      <c r="L138" s="142"/>
      <c r="M138" s="142"/>
    </row>
    <row r="139" spans="2:13" hidden="1" outlineLevel="1">
      <c r="C139" s="142"/>
      <c r="D139" s="142"/>
      <c r="E139" s="142"/>
      <c r="F139" s="142"/>
      <c r="G139" s="142"/>
      <c r="H139" s="142"/>
      <c r="I139" s="142"/>
      <c r="J139" s="142"/>
      <c r="K139" s="142"/>
      <c r="L139" s="142"/>
      <c r="M139" s="142"/>
    </row>
    <row r="140" spans="2:13" hidden="1" outlineLevel="1">
      <c r="B140" s="144"/>
      <c r="C140" s="145"/>
      <c r="D140" s="145">
        <f>D72-D111</f>
        <v>0</v>
      </c>
      <c r="E140" s="145">
        <f>E72-E111</f>
        <v>731.25</v>
      </c>
      <c r="F140" s="145">
        <f>F72-F111</f>
        <v>1119.6077063549828</v>
      </c>
      <c r="G140" s="145">
        <f>G72-G111</f>
        <v>1741.4494765253255</v>
      </c>
      <c r="H140" s="145">
        <f>H72-H111</f>
        <v>2753.3038629373164</v>
      </c>
      <c r="I140" s="145">
        <f>I72-I111</f>
        <v>4427.4973497176397</v>
      </c>
      <c r="J140" s="145">
        <f>J72-J111</f>
        <v>7245.9566226251836</v>
      </c>
      <c r="K140" s="145">
        <f>K72-K111</f>
        <v>12076.715468956241</v>
      </c>
      <c r="L140" s="145">
        <f>L72-L111</f>
        <v>20512.117879340301</v>
      </c>
      <c r="M140" s="145">
        <f>M72-M111</f>
        <v>35529.120321368391</v>
      </c>
    </row>
    <row r="141" spans="2:13" hidden="1" outlineLevel="1">
      <c r="C141" s="142"/>
      <c r="D141" s="142"/>
      <c r="E141" s="142"/>
      <c r="F141" s="142"/>
      <c r="G141" s="142"/>
      <c r="H141" s="142"/>
      <c r="I141" s="142"/>
      <c r="J141" s="142"/>
      <c r="K141" s="142"/>
      <c r="L141" s="142"/>
      <c r="M141" s="142"/>
    </row>
    <row r="142" spans="2:13" hidden="1" outlineLevel="1">
      <c r="C142" s="142"/>
      <c r="D142" s="142"/>
      <c r="E142" s="142"/>
      <c r="F142" s="142"/>
      <c r="G142" s="142"/>
      <c r="H142" s="142"/>
      <c r="I142" s="142"/>
      <c r="J142" s="142"/>
      <c r="K142" s="142"/>
      <c r="L142" s="142"/>
      <c r="M142" s="142"/>
    </row>
    <row r="143" spans="2:13" hidden="1" outlineLevel="1">
      <c r="B143" s="134" t="s">
        <v>385</v>
      </c>
      <c r="C143" s="142"/>
      <c r="D143" s="142"/>
      <c r="E143" s="142"/>
      <c r="F143" s="142"/>
      <c r="G143" s="142"/>
      <c r="H143" s="142"/>
      <c r="I143" s="142"/>
      <c r="J143" s="142"/>
      <c r="K143" s="142"/>
      <c r="L143" s="142"/>
      <c r="M143" s="142"/>
    </row>
    <row r="144" spans="2:13" hidden="1" outlineLevel="1">
      <c r="C144" s="142"/>
      <c r="D144" s="142"/>
      <c r="E144" s="142"/>
      <c r="F144" s="142"/>
      <c r="G144" s="142"/>
      <c r="H144" s="142"/>
      <c r="I144" s="142"/>
      <c r="J144" s="142"/>
      <c r="K144" s="142"/>
      <c r="L144" s="142"/>
      <c r="M144" s="142"/>
    </row>
    <row r="145" spans="2:13" hidden="1" outlineLevel="1">
      <c r="B145" s="144"/>
      <c r="C145" s="145"/>
      <c r="D145" s="145">
        <f>D81-D117</f>
        <v>0</v>
      </c>
      <c r="E145" s="145">
        <f>E81-E117</f>
        <v>7000</v>
      </c>
      <c r="F145" s="145">
        <f>F81-F117</f>
        <v>3717.6122317741942</v>
      </c>
      <c r="G145" s="145">
        <f>G81-G117</f>
        <v>5952.6733554767852</v>
      </c>
      <c r="H145" s="145">
        <f>H81-H117</f>
        <v>9686.1274596703352</v>
      </c>
      <c r="I145" s="145">
        <f>I81-I117</f>
        <v>16026.467565760362</v>
      </c>
      <c r="J145" s="145">
        <f>J81-J117</f>
        <v>26980.122954328624</v>
      </c>
      <c r="K145" s="145">
        <f>K81-K117</f>
        <v>46243.161605904126</v>
      </c>
      <c r="L145" s="145">
        <f>L81-L117</f>
        <v>80749.151278890131</v>
      </c>
      <c r="M145" s="145">
        <f>M81-M117</f>
        <v>143752.50200915779</v>
      </c>
    </row>
    <row r="146" spans="2:13" hidden="1" outlineLevel="1">
      <c r="C146" s="142"/>
      <c r="D146" s="142"/>
      <c r="E146" s="142"/>
      <c r="F146" s="142"/>
      <c r="G146" s="142"/>
      <c r="H146" s="142"/>
      <c r="I146" s="142"/>
      <c r="J146" s="142"/>
      <c r="K146" s="142"/>
      <c r="L146" s="142"/>
      <c r="M146" s="142"/>
    </row>
    <row r="147" spans="2:13" hidden="1" outlineLevel="1">
      <c r="C147" s="142"/>
      <c r="D147" s="142"/>
      <c r="E147" s="142"/>
      <c r="F147" s="142"/>
      <c r="G147" s="142"/>
      <c r="H147" s="142"/>
      <c r="I147" s="142"/>
      <c r="J147" s="142"/>
      <c r="K147" s="142"/>
      <c r="L147" s="142"/>
      <c r="M147" s="142"/>
    </row>
    <row r="148" spans="2:13" collapsed="1">
      <c r="B148" s="144" t="s">
        <v>72</v>
      </c>
      <c r="C148" s="145"/>
      <c r="D148" s="145">
        <f t="shared" ref="D148:M148" si="20">D145+D140+D136+D131+D125</f>
        <v>9228.314748890205</v>
      </c>
      <c r="E148" s="145">
        <f t="shared" si="20"/>
        <v>21531.208486627977</v>
      </c>
      <c r="F148" s="145">
        <f t="shared" si="20"/>
        <v>44506.370395629754</v>
      </c>
      <c r="G148" s="145">
        <f t="shared" si="20"/>
        <v>82010.978815504801</v>
      </c>
      <c r="H148" s="145">
        <f t="shared" si="20"/>
        <v>142036.05892583053</v>
      </c>
      <c r="I148" s="145">
        <f t="shared" si="20"/>
        <v>188590.10147421423</v>
      </c>
      <c r="J148" s="145">
        <f t="shared" si="20"/>
        <v>236943.91908731387</v>
      </c>
      <c r="K148" s="145">
        <f t="shared" si="20"/>
        <v>300532.30450980336</v>
      </c>
      <c r="L148" s="145">
        <f t="shared" si="20"/>
        <v>395979.75709542062</v>
      </c>
      <c r="M148" s="145">
        <f t="shared" si="20"/>
        <v>546825.95759182971</v>
      </c>
    </row>
    <row r="149" spans="2:13">
      <c r="C149" s="142"/>
      <c r="D149" s="142"/>
      <c r="E149" s="142"/>
      <c r="F149" s="142"/>
      <c r="G149" s="142"/>
      <c r="H149" s="142"/>
      <c r="I149" s="142"/>
      <c r="J149" s="142"/>
      <c r="K149" s="142"/>
      <c r="L149" s="142"/>
      <c r="M149" s="142"/>
    </row>
    <row r="150" spans="2:13">
      <c r="B150" s="140" t="s">
        <v>73</v>
      </c>
      <c r="C150" s="148"/>
      <c r="D150" s="141">
        <v>2021</v>
      </c>
      <c r="E150" s="141">
        <v>2022</v>
      </c>
      <c r="F150" s="141">
        <v>2023</v>
      </c>
      <c r="G150" s="141">
        <v>2024</v>
      </c>
      <c r="H150" s="141">
        <v>2025</v>
      </c>
      <c r="I150" s="141">
        <v>2026</v>
      </c>
      <c r="J150" s="141">
        <v>2027</v>
      </c>
      <c r="K150" s="141">
        <v>2028</v>
      </c>
      <c r="L150" s="141">
        <v>2029</v>
      </c>
      <c r="M150" s="141">
        <v>2030</v>
      </c>
    </row>
    <row r="151" spans="2:13">
      <c r="C151" s="142"/>
      <c r="D151" s="142"/>
      <c r="E151" s="142"/>
      <c r="F151" s="142"/>
      <c r="G151" s="142"/>
      <c r="H151" s="142"/>
      <c r="I151" s="142"/>
      <c r="J151" s="142"/>
      <c r="K151" s="142"/>
      <c r="L151" s="142"/>
      <c r="M151" s="142"/>
    </row>
    <row r="152" spans="2:13" hidden="1" outlineLevel="1">
      <c r="B152" s="134" t="s">
        <v>74</v>
      </c>
      <c r="C152" s="142"/>
      <c r="D152" s="142">
        <v>1418</v>
      </c>
      <c r="E152" s="142">
        <v>820.42857142857099</v>
      </c>
      <c r="F152" s="142">
        <v>1243.1428571428571</v>
      </c>
      <c r="G152" s="142">
        <v>1160.5238095238094</v>
      </c>
      <c r="H152" s="142">
        <v>1074.6984126984125</v>
      </c>
      <c r="I152" s="142">
        <v>1159.4550264550264</v>
      </c>
      <c r="J152" s="142">
        <v>1131.559082892416</v>
      </c>
      <c r="K152" s="142">
        <v>1121.904174015285</v>
      </c>
      <c r="L152" s="142">
        <v>1137.6394277875759</v>
      </c>
      <c r="M152" s="142">
        <v>1130.3675615650925</v>
      </c>
    </row>
    <row r="153" spans="2:13" hidden="1" outlineLevel="1">
      <c r="C153" s="142"/>
      <c r="D153" s="142"/>
      <c r="E153" s="142"/>
      <c r="F153" s="142"/>
      <c r="G153" s="142"/>
      <c r="H153" s="142"/>
      <c r="I153" s="142"/>
      <c r="J153" s="142"/>
      <c r="K153" s="142"/>
      <c r="L153" s="142"/>
      <c r="M153" s="142"/>
    </row>
    <row r="154" spans="2:13" hidden="1" outlineLevel="1">
      <c r="C154" s="142"/>
      <c r="D154" s="142"/>
      <c r="E154" s="142"/>
      <c r="F154" s="142"/>
      <c r="G154" s="142"/>
      <c r="H154" s="142"/>
      <c r="I154" s="142"/>
      <c r="J154" s="142"/>
      <c r="K154" s="142"/>
      <c r="L154" s="142"/>
      <c r="M154" s="142"/>
    </row>
    <row r="155" spans="2:13" hidden="1" outlineLevel="1">
      <c r="C155" s="142"/>
      <c r="D155" s="142"/>
      <c r="E155" s="142"/>
      <c r="F155" s="142"/>
      <c r="G155" s="142"/>
      <c r="H155" s="142"/>
      <c r="I155" s="142"/>
      <c r="J155" s="142"/>
      <c r="K155" s="142"/>
      <c r="L155" s="142"/>
      <c r="M155" s="142"/>
    </row>
    <row r="156" spans="2:13" hidden="1" outlineLevel="1">
      <c r="B156" s="134" t="s">
        <v>75</v>
      </c>
      <c r="C156" s="142"/>
      <c r="D156" s="142">
        <v>2775.75</v>
      </c>
      <c r="E156" s="142">
        <v>8556.3725258925006</v>
      </c>
      <c r="F156" s="142">
        <v>24634.332189468994</v>
      </c>
      <c r="G156" s="142">
        <v>46304.56814264087</v>
      </c>
      <c r="H156" s="142">
        <v>66584.274412187544</v>
      </c>
      <c r="I156" s="142">
        <v>85822.429287965118</v>
      </c>
      <c r="J156" s="142">
        <v>104628.64036789682</v>
      </c>
      <c r="K156" s="142">
        <v>124080.64632115469</v>
      </c>
      <c r="L156" s="142">
        <v>146109.42629757567</v>
      </c>
      <c r="M156" s="142">
        <v>177555.31128346844</v>
      </c>
    </row>
    <row r="157" spans="2:13" hidden="1" outlineLevel="1">
      <c r="C157" s="142"/>
      <c r="D157" s="142"/>
      <c r="E157" s="142"/>
      <c r="F157" s="142"/>
      <c r="G157" s="142"/>
      <c r="H157" s="142"/>
      <c r="I157" s="142"/>
      <c r="J157" s="142"/>
      <c r="K157" s="142"/>
      <c r="L157" s="142"/>
      <c r="M157" s="142"/>
    </row>
    <row r="158" spans="2:13" hidden="1" outlineLevel="1">
      <c r="C158" s="142"/>
      <c r="D158" s="142"/>
      <c r="E158" s="142"/>
      <c r="F158" s="142"/>
      <c r="G158" s="142"/>
      <c r="H158" s="142"/>
      <c r="I158" s="142"/>
      <c r="J158" s="142"/>
      <c r="K158" s="142"/>
      <c r="L158" s="142"/>
      <c r="M158" s="142"/>
    </row>
    <row r="159" spans="2:13" hidden="1" outlineLevel="1">
      <c r="B159" s="134" t="s">
        <v>76</v>
      </c>
      <c r="C159" s="142"/>
      <c r="D159" s="142">
        <f>D152+D156</f>
        <v>4193.75</v>
      </c>
      <c r="E159" s="142">
        <f t="shared" ref="E159:L159" si="21">E152+E156</f>
        <v>9376.8010973210712</v>
      </c>
      <c r="F159" s="142">
        <f t="shared" si="21"/>
        <v>25877.475046611853</v>
      </c>
      <c r="G159" s="142">
        <f t="shared" si="21"/>
        <v>47465.091952164679</v>
      </c>
      <c r="H159" s="142">
        <f t="shared" si="21"/>
        <v>67658.972824885961</v>
      </c>
      <c r="I159" s="142">
        <f t="shared" si="21"/>
        <v>86981.884314420138</v>
      </c>
      <c r="J159" s="142">
        <f t="shared" si="21"/>
        <v>105760.19945078924</v>
      </c>
      <c r="K159" s="142">
        <f t="shared" si="21"/>
        <v>125202.55049516998</v>
      </c>
      <c r="L159" s="142">
        <f t="shared" si="21"/>
        <v>147247.06572536324</v>
      </c>
      <c r="M159" s="142">
        <f>M152+M156</f>
        <v>178685.67884503354</v>
      </c>
    </row>
    <row r="160" spans="2:13" hidden="1" outlineLevel="1">
      <c r="C160" s="142"/>
      <c r="D160" s="142"/>
      <c r="E160" s="142"/>
      <c r="F160" s="142"/>
      <c r="G160" s="142"/>
      <c r="H160" s="142"/>
      <c r="I160" s="142"/>
      <c r="J160" s="142"/>
      <c r="K160" s="142"/>
      <c r="L160" s="142"/>
      <c r="M160" s="142"/>
    </row>
    <row r="161" spans="2:13" hidden="1" outlineLevel="1">
      <c r="C161" s="142"/>
      <c r="D161" s="142"/>
      <c r="E161" s="142"/>
      <c r="F161" s="142"/>
      <c r="G161" s="142"/>
      <c r="H161" s="142"/>
      <c r="I161" s="142"/>
      <c r="J161" s="142"/>
      <c r="K161" s="142"/>
      <c r="L161" s="142"/>
      <c r="M161" s="142"/>
    </row>
    <row r="162" spans="2:13" collapsed="1">
      <c r="B162" s="144" t="s">
        <v>77</v>
      </c>
      <c r="C162" s="145"/>
      <c r="D162" s="145">
        <f>D148-D159</f>
        <v>5034.564748890205</v>
      </c>
      <c r="E162" s="145">
        <f>E148-E159</f>
        <v>12154.407389306905</v>
      </c>
      <c r="F162" s="145">
        <f>F148-F159</f>
        <v>18628.895349017901</v>
      </c>
      <c r="G162" s="145">
        <f>G148-G159</f>
        <v>34545.886863340122</v>
      </c>
      <c r="H162" s="145">
        <f>H148-H159</f>
        <v>74377.086100944565</v>
      </c>
      <c r="I162" s="145">
        <f>I148-I159</f>
        <v>101608.21715979409</v>
      </c>
      <c r="J162" s="145">
        <f>J148-J159</f>
        <v>131183.71963652462</v>
      </c>
      <c r="K162" s="145">
        <f>K148-K159</f>
        <v>175329.75401463336</v>
      </c>
      <c r="L162" s="145">
        <f>L148-L159</f>
        <v>248732.69137005738</v>
      </c>
      <c r="M162" s="145">
        <f>M148-M159</f>
        <v>368140.27874679619</v>
      </c>
    </row>
    <row r="163" spans="2:13">
      <c r="C163" s="142"/>
      <c r="D163" s="142"/>
      <c r="E163" s="142"/>
      <c r="F163" s="142"/>
      <c r="G163" s="142"/>
      <c r="H163" s="142"/>
      <c r="I163" s="142"/>
      <c r="J163" s="142"/>
      <c r="K163" s="142"/>
      <c r="L163" s="142"/>
      <c r="M163" s="142"/>
    </row>
    <row r="164" spans="2:13">
      <c r="B164" s="140" t="s">
        <v>78</v>
      </c>
      <c r="C164" s="148"/>
      <c r="D164" s="141">
        <v>2021</v>
      </c>
      <c r="E164" s="141">
        <v>2022</v>
      </c>
      <c r="F164" s="141">
        <v>2023</v>
      </c>
      <c r="G164" s="141">
        <v>2024</v>
      </c>
      <c r="H164" s="141">
        <v>2025</v>
      </c>
      <c r="I164" s="141">
        <v>2026</v>
      </c>
      <c r="J164" s="141">
        <v>2027</v>
      </c>
      <c r="K164" s="141">
        <v>2028</v>
      </c>
      <c r="L164" s="141">
        <v>2029</v>
      </c>
      <c r="M164" s="141">
        <v>2030</v>
      </c>
    </row>
    <row r="165" spans="2:13">
      <c r="C165" s="142"/>
      <c r="D165" s="142"/>
      <c r="E165" s="142"/>
      <c r="F165" s="142"/>
      <c r="G165" s="142"/>
      <c r="H165" s="142"/>
      <c r="I165" s="142"/>
      <c r="J165" s="142"/>
      <c r="K165" s="142"/>
      <c r="L165" s="142"/>
      <c r="M165" s="142"/>
    </row>
    <row r="166" spans="2:13" outlineLevel="1">
      <c r="B166" s="134" t="s">
        <v>79</v>
      </c>
      <c r="C166" s="142"/>
      <c r="D166" s="142">
        <v>673.8143</v>
      </c>
      <c r="E166" s="142">
        <v>660.27378784306302</v>
      </c>
      <c r="F166" s="142">
        <v>343.19905274705928</v>
      </c>
      <c r="G166" s="142">
        <v>-74.325649588199227</v>
      </c>
      <c r="H166" s="142">
        <v>0</v>
      </c>
      <c r="I166" s="142">
        <v>0</v>
      </c>
      <c r="J166" s="142">
        <v>0</v>
      </c>
      <c r="K166" s="142">
        <v>0</v>
      </c>
      <c r="L166" s="142">
        <v>0</v>
      </c>
      <c r="M166" s="142">
        <v>0</v>
      </c>
    </row>
    <row r="167" spans="2:13" outlineLevel="1">
      <c r="C167" s="142"/>
      <c r="D167" s="142"/>
      <c r="E167" s="142"/>
      <c r="F167" s="142"/>
      <c r="G167" s="142"/>
      <c r="H167" s="142"/>
      <c r="I167" s="142"/>
      <c r="J167" s="142"/>
      <c r="K167" s="142"/>
      <c r="L167" s="142"/>
      <c r="M167" s="142"/>
    </row>
    <row r="168" spans="2:13" outlineLevel="1">
      <c r="C168" s="142"/>
      <c r="D168" s="142"/>
      <c r="E168" s="142"/>
      <c r="F168" s="142"/>
      <c r="G168" s="142"/>
      <c r="H168" s="142"/>
      <c r="I168" s="142"/>
      <c r="J168" s="142"/>
      <c r="K168" s="142"/>
      <c r="L168" s="142"/>
      <c r="M168" s="142"/>
    </row>
    <row r="169" spans="2:13" outlineLevel="1">
      <c r="B169" s="134" t="s">
        <v>390</v>
      </c>
      <c r="C169" s="142"/>
      <c r="D169" s="142">
        <v>15355.204368443327</v>
      </c>
      <c r="E169" s="142">
        <v>7981.3733196990534</v>
      </c>
      <c r="F169" s="142">
        <v>-1728.5034787953309</v>
      </c>
      <c r="G169" s="142">
        <v>0</v>
      </c>
      <c r="H169" s="142">
        <v>0</v>
      </c>
      <c r="I169" s="142">
        <v>0</v>
      </c>
      <c r="J169" s="142">
        <v>0</v>
      </c>
      <c r="K169" s="142">
        <v>0</v>
      </c>
      <c r="L169" s="142">
        <v>0</v>
      </c>
      <c r="M169" s="142">
        <v>0</v>
      </c>
    </row>
    <row r="170" spans="2:13" outlineLevel="1">
      <c r="B170" s="134" t="s">
        <v>391</v>
      </c>
      <c r="C170" s="142"/>
      <c r="D170" s="142"/>
      <c r="E170" s="142"/>
      <c r="F170" s="142"/>
      <c r="G170" s="142"/>
      <c r="H170" s="142"/>
      <c r="I170" s="142"/>
      <c r="J170" s="142"/>
      <c r="K170" s="142"/>
      <c r="L170" s="142"/>
      <c r="M170" s="142"/>
    </row>
    <row r="171" spans="2:13" outlineLevel="1">
      <c r="B171" s="134" t="s">
        <v>392</v>
      </c>
      <c r="C171" s="142"/>
      <c r="D171" s="142"/>
      <c r="E171" s="142"/>
      <c r="F171" s="142"/>
      <c r="G171" s="142"/>
      <c r="H171" s="142"/>
      <c r="I171" s="142"/>
      <c r="J171" s="142"/>
      <c r="K171" s="142"/>
      <c r="L171" s="142"/>
      <c r="M171" s="142"/>
    </row>
    <row r="172" spans="2:13" outlineLevel="1">
      <c r="C172" s="142"/>
      <c r="D172" s="142"/>
      <c r="E172" s="142"/>
      <c r="F172" s="142"/>
      <c r="G172" s="142"/>
      <c r="H172" s="142"/>
      <c r="I172" s="142"/>
      <c r="J172" s="142"/>
      <c r="K172" s="142"/>
      <c r="L172" s="142"/>
      <c r="M172" s="142"/>
    </row>
    <row r="173" spans="2:13" outlineLevel="1">
      <c r="B173" s="134" t="s">
        <v>80</v>
      </c>
      <c r="C173" s="142"/>
      <c r="D173" s="142"/>
      <c r="E173" s="142"/>
      <c r="F173" s="142"/>
      <c r="G173" s="142"/>
      <c r="H173" s="142"/>
      <c r="I173" s="142"/>
      <c r="J173" s="142"/>
      <c r="K173" s="142"/>
      <c r="L173" s="142"/>
      <c r="M173" s="142"/>
    </row>
    <row r="174" spans="2:13" outlineLevel="1">
      <c r="C174" s="142"/>
      <c r="D174" s="142"/>
      <c r="E174" s="142"/>
      <c r="F174" s="142"/>
      <c r="G174" s="142"/>
      <c r="H174" s="142"/>
      <c r="I174" s="142"/>
      <c r="J174" s="142"/>
      <c r="K174" s="142"/>
      <c r="L174" s="142"/>
      <c r="M174" s="142"/>
    </row>
    <row r="175" spans="2:13" outlineLevel="1">
      <c r="B175" s="134" t="s">
        <v>81</v>
      </c>
      <c r="C175" s="142"/>
      <c r="D175" s="142"/>
      <c r="E175" s="142"/>
      <c r="F175" s="142"/>
      <c r="G175" s="142"/>
      <c r="H175" s="142"/>
      <c r="I175" s="142"/>
      <c r="J175" s="142"/>
      <c r="K175" s="142"/>
      <c r="L175" s="142"/>
      <c r="M175" s="142"/>
    </row>
    <row r="176" spans="2:13" outlineLevel="1">
      <c r="C176" s="142"/>
      <c r="D176" s="142"/>
      <c r="E176" s="142"/>
      <c r="F176" s="142"/>
      <c r="G176" s="142"/>
      <c r="H176" s="142"/>
      <c r="I176" s="142"/>
      <c r="J176" s="142"/>
      <c r="K176" s="142"/>
      <c r="L176" s="142"/>
      <c r="M176" s="142"/>
    </row>
    <row r="177" spans="2:13" outlineLevel="1">
      <c r="B177" s="134" t="s">
        <v>82</v>
      </c>
      <c r="C177" s="142"/>
      <c r="D177" s="142">
        <v>4338.250448890205</v>
      </c>
      <c r="E177" s="142">
        <v>14428.383601463849</v>
      </c>
      <c r="F177" s="142">
        <v>19765.652431316921</v>
      </c>
      <c r="G177" s="142">
        <v>35855.416447387179</v>
      </c>
      <c r="H177" s="142">
        <v>53554.189273652068</v>
      </c>
      <c r="I177" s="142">
        <v>75271.694498150842</v>
      </c>
      <c r="J177" s="142">
        <v>104735.3832298956</v>
      </c>
      <c r="K177" s="142">
        <v>148081.21213119599</v>
      </c>
      <c r="L177" s="142">
        <v>216709.97708751119</v>
      </c>
      <c r="M177" s="142">
        <v>333024.18455560075</v>
      </c>
    </row>
    <row r="178" spans="2:13" outlineLevel="1">
      <c r="C178" s="142"/>
      <c r="D178" s="142"/>
      <c r="E178" s="142"/>
      <c r="F178" s="142"/>
      <c r="G178" s="142"/>
      <c r="H178" s="142"/>
      <c r="I178" s="142"/>
      <c r="J178" s="142"/>
      <c r="K178" s="142"/>
      <c r="L178" s="142"/>
      <c r="M178" s="142"/>
    </row>
    <row r="179" spans="2:13" outlineLevel="1">
      <c r="B179" s="134" t="s">
        <v>83</v>
      </c>
      <c r="C179" s="142"/>
      <c r="D179" s="142">
        <v>650.73756733353071</v>
      </c>
      <c r="E179" s="142">
        <v>2164.2575402195771</v>
      </c>
      <c r="F179" s="142">
        <v>2964.8478646975382</v>
      </c>
      <c r="G179" s="142">
        <v>5378.3124671080768</v>
      </c>
      <c r="H179" s="142">
        <v>8033.1283910478096</v>
      </c>
      <c r="I179" s="142">
        <v>11290.754174722626</v>
      </c>
      <c r="J179" s="142">
        <v>15710.30748448434</v>
      </c>
      <c r="K179" s="142">
        <v>22212.181819679397</v>
      </c>
      <c r="L179" s="142">
        <v>32506.496563126675</v>
      </c>
      <c r="M179" s="142">
        <v>49953.627683340113</v>
      </c>
    </row>
    <row r="180" spans="2:13" outlineLevel="1">
      <c r="C180" s="142"/>
      <c r="D180" s="142"/>
      <c r="E180" s="142"/>
      <c r="F180" s="142"/>
      <c r="G180" s="142"/>
      <c r="H180" s="142"/>
      <c r="I180" s="142"/>
      <c r="J180" s="142"/>
      <c r="K180" s="142"/>
      <c r="L180" s="142"/>
      <c r="M180" s="142"/>
    </row>
    <row r="181" spans="2:13">
      <c r="B181" s="144" t="s">
        <v>7</v>
      </c>
      <c r="C181" s="145"/>
      <c r="D181" s="145">
        <f>D162-D166-D179</f>
        <v>3710.0128815566741</v>
      </c>
      <c r="E181" s="145">
        <f>E162-E166-E179</f>
        <v>9329.8760612442638</v>
      </c>
      <c r="F181" s="145">
        <f>F162-F166-F179</f>
        <v>15320.848431573304</v>
      </c>
      <c r="G181" s="145">
        <f>G162-G166-G179</f>
        <v>29241.900045820246</v>
      </c>
      <c r="H181" s="145">
        <f>H162-H166-H179</f>
        <v>66343.957709896757</v>
      </c>
      <c r="I181" s="145">
        <f>I162-I166-I179</f>
        <v>90317.46298507147</v>
      </c>
      <c r="J181" s="145">
        <f>J162-J166-J179</f>
        <v>115473.41215204028</v>
      </c>
      <c r="K181" s="145">
        <f>K162-K166-K179</f>
        <v>153117.57219495397</v>
      </c>
      <c r="L181" s="145">
        <f>L162-L166-L179</f>
        <v>216226.1948069307</v>
      </c>
      <c r="M181" s="145">
        <f>M162-M166-M179</f>
        <v>318186.65106345608</v>
      </c>
    </row>
    <row r="182" spans="2:13">
      <c r="C182" s="142"/>
      <c r="D182" s="142"/>
      <c r="E182" s="142"/>
      <c r="F182" s="142"/>
      <c r="G182" s="142"/>
      <c r="H182" s="142"/>
      <c r="I182" s="142"/>
      <c r="J182" s="142"/>
      <c r="K182" s="142"/>
      <c r="L182" s="142"/>
      <c r="M182" s="142"/>
    </row>
    <row r="183" spans="2:13">
      <c r="B183" s="140" t="s">
        <v>84</v>
      </c>
      <c r="C183" s="148"/>
      <c r="D183" s="141">
        <v>2021</v>
      </c>
      <c r="E183" s="141">
        <v>2022</v>
      </c>
      <c r="F183" s="141">
        <v>2023</v>
      </c>
      <c r="G183" s="141">
        <v>2024</v>
      </c>
      <c r="H183" s="141">
        <v>2025</v>
      </c>
      <c r="I183" s="141">
        <v>2026</v>
      </c>
      <c r="J183" s="141">
        <v>2027</v>
      </c>
      <c r="K183" s="141">
        <v>2028</v>
      </c>
      <c r="L183" s="141">
        <v>2029</v>
      </c>
      <c r="M183" s="141">
        <v>2030</v>
      </c>
    </row>
    <row r="184" spans="2:13">
      <c r="C184" s="142"/>
      <c r="D184" s="142"/>
      <c r="E184" s="142"/>
      <c r="F184" s="142"/>
      <c r="G184" s="142"/>
      <c r="H184" s="142"/>
      <c r="I184" s="142"/>
      <c r="J184" s="142"/>
      <c r="K184" s="142"/>
      <c r="L184" s="142"/>
      <c r="M184" s="142"/>
    </row>
    <row r="185" spans="2:13">
      <c r="B185" s="134" t="s">
        <v>85</v>
      </c>
      <c r="C185" s="142"/>
      <c r="D185" s="142"/>
      <c r="E185" s="142"/>
      <c r="F185" s="142"/>
      <c r="G185" s="142"/>
      <c r="H185" s="142"/>
      <c r="I185" s="142"/>
      <c r="J185" s="142"/>
      <c r="K185" s="142"/>
      <c r="L185" s="142"/>
      <c r="M185" s="142"/>
    </row>
    <row r="186" spans="2:13">
      <c r="B186" s="134" t="s">
        <v>393</v>
      </c>
      <c r="C186" s="142"/>
      <c r="D186" s="142"/>
      <c r="E186" s="142"/>
      <c r="F186" s="142"/>
      <c r="G186" s="142"/>
      <c r="H186" s="142"/>
      <c r="I186" s="142"/>
      <c r="J186" s="142"/>
      <c r="K186" s="142"/>
      <c r="L186" s="142"/>
      <c r="M186" s="142"/>
    </row>
    <row r="187" spans="2:13">
      <c r="B187" s="134" t="s">
        <v>394</v>
      </c>
      <c r="C187" s="142"/>
      <c r="D187" s="142"/>
      <c r="E187" s="142"/>
      <c r="F187" s="142"/>
      <c r="G187" s="142"/>
      <c r="H187" s="142"/>
      <c r="I187" s="142"/>
      <c r="J187" s="142"/>
      <c r="K187" s="142"/>
      <c r="L187" s="142"/>
      <c r="M187" s="142"/>
    </row>
    <row r="188" spans="2:13">
      <c r="B188" s="134" t="s">
        <v>395</v>
      </c>
      <c r="C188" s="142"/>
      <c r="D188" s="142"/>
      <c r="E188" s="142"/>
      <c r="F188" s="142"/>
      <c r="G188" s="142"/>
      <c r="H188" s="142"/>
      <c r="I188" s="142"/>
      <c r="J188" s="142"/>
      <c r="K188" s="142"/>
      <c r="L188" s="142"/>
      <c r="M188" s="142"/>
    </row>
    <row r="189" spans="2:13">
      <c r="C189" s="142"/>
      <c r="D189" s="142"/>
      <c r="E189" s="142"/>
      <c r="F189" s="142"/>
      <c r="G189" s="142"/>
      <c r="H189" s="142"/>
      <c r="I189" s="142"/>
      <c r="J189" s="142"/>
      <c r="K189" s="142"/>
      <c r="L189" s="142"/>
      <c r="M189" s="142"/>
    </row>
    <row r="190" spans="2:13">
      <c r="B190" s="134" t="s">
        <v>86</v>
      </c>
      <c r="C190" s="142"/>
      <c r="D190" s="142"/>
      <c r="E190" s="142"/>
      <c r="F190" s="142"/>
      <c r="G190" s="142"/>
      <c r="H190" s="142"/>
      <c r="I190" s="142"/>
      <c r="J190" s="142"/>
      <c r="K190" s="142"/>
      <c r="L190" s="142"/>
      <c r="M190" s="142"/>
    </row>
    <row r="191" spans="2:13">
      <c r="B191" s="134" t="s">
        <v>87</v>
      </c>
      <c r="C191" s="142"/>
      <c r="D191" s="142"/>
      <c r="E191" s="142"/>
      <c r="F191" s="142"/>
      <c r="G191" s="142"/>
      <c r="H191" s="142"/>
      <c r="I191" s="142"/>
      <c r="J191" s="142"/>
      <c r="K191" s="142"/>
      <c r="L191" s="142"/>
      <c r="M191" s="142"/>
    </row>
    <row r="192" spans="2:13">
      <c r="B192" s="134" t="s">
        <v>88</v>
      </c>
      <c r="C192" s="142"/>
      <c r="D192" s="142"/>
      <c r="E192" s="142"/>
      <c r="F192" s="142"/>
      <c r="G192" s="142"/>
      <c r="H192" s="142"/>
      <c r="I192" s="142"/>
      <c r="J192" s="142"/>
      <c r="K192" s="142"/>
      <c r="L192" s="142"/>
      <c r="M192" s="142"/>
    </row>
    <row r="193" spans="2:13">
      <c r="B193" s="134" t="s">
        <v>89</v>
      </c>
      <c r="C193" s="142"/>
      <c r="D193" s="142"/>
      <c r="E193" s="142"/>
      <c r="F193" s="142"/>
      <c r="G193" s="142"/>
      <c r="H193" s="142"/>
      <c r="I193" s="142"/>
      <c r="J193" s="142"/>
      <c r="K193" s="142"/>
      <c r="L193" s="142"/>
      <c r="M193" s="142"/>
    </row>
    <row r="194" spans="2:13">
      <c r="C194" s="142"/>
      <c r="D194" s="142"/>
      <c r="E194" s="142"/>
      <c r="F194" s="142"/>
      <c r="G194" s="142"/>
      <c r="H194" s="142"/>
      <c r="I194" s="142"/>
      <c r="J194" s="142"/>
      <c r="K194" s="142"/>
      <c r="L194" s="142"/>
      <c r="M194" s="142"/>
    </row>
    <row r="195" spans="2:13">
      <c r="C195" s="142"/>
      <c r="D195" s="142"/>
      <c r="E195" s="142"/>
      <c r="F195" s="142"/>
      <c r="G195" s="142"/>
      <c r="H195" s="142"/>
      <c r="I195" s="142"/>
      <c r="J195" s="142"/>
      <c r="K195" s="142"/>
      <c r="L195" s="142"/>
      <c r="M195" s="142"/>
    </row>
    <row r="196" spans="2:13">
      <c r="B196" s="140" t="s">
        <v>90</v>
      </c>
      <c r="C196" s="148"/>
      <c r="D196" s="148">
        <v>2021</v>
      </c>
      <c r="E196" s="148">
        <v>2022</v>
      </c>
      <c r="F196" s="148">
        <v>2023</v>
      </c>
      <c r="G196" s="148">
        <v>2024</v>
      </c>
      <c r="H196" s="148">
        <v>2025</v>
      </c>
      <c r="I196" s="148">
        <v>2026</v>
      </c>
      <c r="J196" s="148">
        <v>2027</v>
      </c>
      <c r="K196" s="148">
        <v>2028</v>
      </c>
      <c r="L196" s="148">
        <v>2029</v>
      </c>
      <c r="M196" s="148">
        <v>2030</v>
      </c>
    </row>
    <row r="197" spans="2:13">
      <c r="C197" s="142"/>
      <c r="D197" s="142"/>
      <c r="E197" s="142"/>
      <c r="F197" s="142"/>
      <c r="G197" s="142"/>
      <c r="H197" s="142"/>
      <c r="I197" s="142"/>
      <c r="J197" s="142"/>
      <c r="K197" s="142"/>
      <c r="L197" s="142"/>
      <c r="M197" s="142"/>
    </row>
    <row r="198" spans="2:13">
      <c r="C198" s="142"/>
      <c r="D198" s="142"/>
      <c r="E198" s="142"/>
      <c r="F198" s="142"/>
      <c r="G198" s="142"/>
      <c r="H198" s="142"/>
      <c r="I198" s="142"/>
      <c r="J198" s="142"/>
      <c r="K198" s="142"/>
      <c r="L198" s="142"/>
      <c r="M198" s="142"/>
    </row>
    <row r="199" spans="2:13">
      <c r="B199" s="134" t="s">
        <v>91</v>
      </c>
      <c r="C199" s="142"/>
      <c r="D199" s="142">
        <v>3372.6172500000007</v>
      </c>
      <c r="E199" s="142">
        <v>4890.2950124999979</v>
      </c>
      <c r="F199" s="142">
        <v>7090.9277681249978</v>
      </c>
      <c r="G199" s="142">
        <v>10281.845263781248</v>
      </c>
      <c r="H199" s="142">
        <v>14908.675632482807</v>
      </c>
      <c r="I199" s="142">
        <v>21617.579667100072</v>
      </c>
      <c r="J199" s="142">
        <v>31345.4905172951</v>
      </c>
      <c r="K199" s="142">
        <v>45450.961250077904</v>
      </c>
      <c r="L199" s="142">
        <v>65903.893812612951</v>
      </c>
      <c r="M199" s="142">
        <v>95560.6460282888</v>
      </c>
    </row>
    <row r="200" spans="2:13">
      <c r="C200" s="142"/>
      <c r="D200" s="142"/>
      <c r="E200" s="142"/>
      <c r="F200" s="142"/>
      <c r="G200" s="142"/>
      <c r="H200" s="142"/>
      <c r="I200" s="142"/>
      <c r="J200" s="142"/>
      <c r="K200" s="142"/>
      <c r="L200" s="142"/>
      <c r="M200" s="142"/>
    </row>
    <row r="201" spans="2:13">
      <c r="B201" s="134" t="s">
        <v>92</v>
      </c>
      <c r="C201" s="142"/>
      <c r="D201" s="142"/>
      <c r="E201" s="142"/>
      <c r="F201" s="142"/>
      <c r="G201" s="142"/>
      <c r="H201" s="142"/>
      <c r="I201" s="142"/>
      <c r="J201" s="142"/>
      <c r="K201" s="142"/>
      <c r="L201" s="142"/>
      <c r="M201" s="142"/>
    </row>
    <row r="202" spans="2:13">
      <c r="C202" s="142"/>
      <c r="D202" s="142"/>
      <c r="E202" s="142"/>
      <c r="F202" s="142"/>
      <c r="G202" s="142"/>
      <c r="H202" s="142"/>
      <c r="I202" s="142"/>
      <c r="J202" s="142"/>
      <c r="K202" s="142"/>
      <c r="L202" s="142"/>
      <c r="M202" s="142"/>
    </row>
    <row r="203" spans="2:13">
      <c r="B203" s="134" t="s">
        <v>93</v>
      </c>
      <c r="C203" s="142"/>
      <c r="D203" s="142"/>
      <c r="E203" s="142"/>
      <c r="F203" s="142"/>
      <c r="G203" s="142"/>
      <c r="H203" s="142"/>
      <c r="I203" s="142"/>
      <c r="J203" s="142"/>
      <c r="K203" s="142"/>
      <c r="L203" s="142"/>
      <c r="M203" s="142"/>
    </row>
    <row r="204" spans="2:13">
      <c r="C204" s="142"/>
      <c r="D204" s="142"/>
      <c r="E204" s="142"/>
      <c r="F204" s="142"/>
      <c r="G204" s="142"/>
      <c r="H204" s="142"/>
      <c r="I204" s="142"/>
      <c r="J204" s="142"/>
      <c r="K204" s="142"/>
      <c r="L204" s="142"/>
      <c r="M204" s="142"/>
    </row>
    <row r="205" spans="2:13">
      <c r="C205" s="142"/>
      <c r="D205" s="142"/>
      <c r="E205" s="142"/>
      <c r="F205" s="142"/>
      <c r="G205" s="142"/>
      <c r="H205" s="142"/>
      <c r="I205" s="142"/>
      <c r="J205" s="142"/>
      <c r="K205" s="142"/>
      <c r="L205" s="142"/>
      <c r="M205" s="142"/>
    </row>
    <row r="206" spans="2:13">
      <c r="B206" s="144" t="s">
        <v>94</v>
      </c>
      <c r="C206" s="145"/>
      <c r="D206" s="145">
        <f>D199</f>
        <v>3372.6172500000007</v>
      </c>
      <c r="E206" s="145">
        <f t="shared" ref="E206:M206" si="22">E199</f>
        <v>4890.2950124999979</v>
      </c>
      <c r="F206" s="145">
        <f t="shared" si="22"/>
        <v>7090.9277681249978</v>
      </c>
      <c r="G206" s="145">
        <f t="shared" si="22"/>
        <v>10281.845263781248</v>
      </c>
      <c r="H206" s="145">
        <f t="shared" si="22"/>
        <v>14908.675632482807</v>
      </c>
      <c r="I206" s="145">
        <f t="shared" si="22"/>
        <v>21617.579667100072</v>
      </c>
      <c r="J206" s="145">
        <f t="shared" si="22"/>
        <v>31345.4905172951</v>
      </c>
      <c r="K206" s="145">
        <f t="shared" si="22"/>
        <v>45450.961250077904</v>
      </c>
      <c r="L206" s="145">
        <f t="shared" si="22"/>
        <v>65903.893812612951</v>
      </c>
      <c r="M206" s="145">
        <f t="shared" si="22"/>
        <v>95560.6460282888</v>
      </c>
    </row>
    <row r="207" spans="2:13">
      <c r="C207" s="142"/>
      <c r="D207" s="142"/>
      <c r="E207" s="142"/>
      <c r="F207" s="142"/>
      <c r="G207" s="142"/>
      <c r="H207" s="142"/>
      <c r="I207" s="142"/>
      <c r="J207" s="142"/>
      <c r="K207" s="142"/>
      <c r="L207" s="142"/>
      <c r="M207" s="142"/>
    </row>
    <row r="208" spans="2:13">
      <c r="B208" s="140" t="s">
        <v>365</v>
      </c>
      <c r="C208" s="148"/>
      <c r="D208" s="148">
        <f t="shared" ref="D208:M208" si="23">D181-D206</f>
        <v>337.39563155667338</v>
      </c>
      <c r="E208" s="148">
        <f t="shared" si="23"/>
        <v>4439.5810487442659</v>
      </c>
      <c r="F208" s="148">
        <f t="shared" si="23"/>
        <v>8229.9206634483053</v>
      </c>
      <c r="G208" s="148">
        <f t="shared" si="23"/>
        <v>18960.054782038998</v>
      </c>
      <c r="H208" s="148">
        <f t="shared" si="23"/>
        <v>51435.282077413947</v>
      </c>
      <c r="I208" s="148">
        <f t="shared" si="23"/>
        <v>68699.883317971398</v>
      </c>
      <c r="J208" s="148">
        <f t="shared" si="23"/>
        <v>84127.921634745187</v>
      </c>
      <c r="K208" s="148">
        <f t="shared" si="23"/>
        <v>107666.61094487607</v>
      </c>
      <c r="L208" s="148">
        <f t="shared" si="23"/>
        <v>150322.30099431775</v>
      </c>
      <c r="M208" s="148">
        <f t="shared" si="23"/>
        <v>222626.00503516727</v>
      </c>
    </row>
    <row r="209" spans="2:13">
      <c r="C209" s="142"/>
      <c r="D209" s="142"/>
      <c r="E209" s="142"/>
      <c r="F209" s="142"/>
      <c r="G209" s="142"/>
      <c r="H209" s="142"/>
      <c r="I209" s="142"/>
      <c r="J209" s="142"/>
      <c r="K209" s="142"/>
      <c r="L209" s="142"/>
      <c r="M209" s="142"/>
    </row>
    <row r="213" spans="2:13">
      <c r="B213" s="149" t="s">
        <v>95</v>
      </c>
      <c r="C213" s="149"/>
      <c r="D213" s="149"/>
      <c r="E213" s="149"/>
      <c r="F213" s="149"/>
      <c r="G213" s="149"/>
      <c r="H213" s="149"/>
      <c r="I213" s="149"/>
      <c r="J213" s="149"/>
      <c r="K213" s="149"/>
      <c r="L213" s="149"/>
      <c r="M213" s="149"/>
    </row>
    <row r="215" spans="2:13">
      <c r="B215" s="140" t="s">
        <v>96</v>
      </c>
      <c r="C215" s="1"/>
      <c r="D215" s="1">
        <v>2021</v>
      </c>
      <c r="E215" s="1">
        <v>2022</v>
      </c>
      <c r="F215" s="1">
        <v>2023</v>
      </c>
      <c r="G215" s="1">
        <v>2024</v>
      </c>
      <c r="H215" s="1">
        <v>2025</v>
      </c>
      <c r="I215" s="1">
        <v>2026</v>
      </c>
      <c r="J215" s="140">
        <v>2027</v>
      </c>
      <c r="K215" s="140">
        <v>2028</v>
      </c>
      <c r="L215" s="140">
        <v>2029</v>
      </c>
      <c r="M215" s="140">
        <v>2030</v>
      </c>
    </row>
    <row r="216" spans="2:13">
      <c r="C216" s="2"/>
      <c r="D216" s="2"/>
      <c r="E216" s="2"/>
      <c r="F216" s="2"/>
      <c r="G216" s="2"/>
      <c r="H216" s="2"/>
      <c r="I216" s="2"/>
    </row>
    <row r="217" spans="2:13">
      <c r="B217" s="134" t="s">
        <v>401</v>
      </c>
      <c r="C217" s="17"/>
      <c r="D217" s="17">
        <f>D125/D148</f>
        <v>0.87388915196784278</v>
      </c>
      <c r="E217" s="17">
        <f>E125/E148</f>
        <v>0.53551441641212771</v>
      </c>
      <c r="F217" s="17">
        <f>F125/F148</f>
        <v>0.3709689110843129</v>
      </c>
      <c r="G217" s="17">
        <f>G125/G148</f>
        <v>0.2886098929773882</v>
      </c>
      <c r="H217" s="17">
        <f>H125/H148</f>
        <v>0.23910578219448619</v>
      </c>
      <c r="I217" s="17">
        <f>I125/I148</f>
        <v>0.25856102400857645</v>
      </c>
      <c r="J217" s="17">
        <f>J125/J148</f>
        <v>0.29562733452411394</v>
      </c>
      <c r="K217" s="17">
        <f>K125/K148</f>
        <v>0.33493916249266603</v>
      </c>
      <c r="L217" s="17">
        <f>L125/L148</f>
        <v>0.36539825279893068</v>
      </c>
      <c r="M217" s="17">
        <f>M125/M148</f>
        <v>0.37639791117734156</v>
      </c>
    </row>
    <row r="218" spans="2:13">
      <c r="B218" s="134" t="s">
        <v>53</v>
      </c>
      <c r="C218" s="17"/>
      <c r="D218" s="17">
        <f>D131/D148</f>
        <v>8.8009086025228361E-2</v>
      </c>
      <c r="E218" s="17">
        <f>E131/E148</f>
        <v>8.0933639291173184E-2</v>
      </c>
      <c r="F218" s="17">
        <f>F131/F148</f>
        <v>0.50278531974331298</v>
      </c>
      <c r="G218" s="17">
        <f>G131/G148</f>
        <v>0.58951588902161589</v>
      </c>
      <c r="H218" s="17">
        <f>H131/H148</f>
        <v>0.64958285003898752</v>
      </c>
      <c r="I218" s="17">
        <f>I131/I148</f>
        <v>0.59383216837571895</v>
      </c>
      <c r="J218" s="17">
        <f>J131/J148</f>
        <v>0.51452402585637635</v>
      </c>
      <c r="K218" s="17">
        <f>K131/K148</f>
        <v>0.41893141062987604</v>
      </c>
      <c r="L218" s="17">
        <f>L131/L148</f>
        <v>0.32144064756929203</v>
      </c>
      <c r="M218" s="17">
        <f>M131/M148</f>
        <v>0.23533882937416664</v>
      </c>
    </row>
    <row r="219" spans="2:13">
      <c r="B219" s="134" t="s">
        <v>97</v>
      </c>
      <c r="C219" s="17"/>
      <c r="D219" s="17">
        <f>D136/D148</f>
        <v>3.8101762006928837E-2</v>
      </c>
      <c r="E219" s="17">
        <f>E136/E148</f>
        <v>2.4480134425854477E-2</v>
      </c>
      <c r="F219" s="17">
        <f>F136/F148</f>
        <v>1.7559756470602365E-2</v>
      </c>
      <c r="G219" s="17">
        <f>G136/G148</f>
        <v>2.8056012888347279E-2</v>
      </c>
      <c r="H219" s="17">
        <f>H136/H148</f>
        <v>2.3731978302451058E-2</v>
      </c>
      <c r="I219" s="17">
        <f>I136/I148</f>
        <v>3.9149551611339671E-2</v>
      </c>
      <c r="J219" s="17">
        <f>J136/J148</f>
        <v>4.540062124963759E-2</v>
      </c>
      <c r="K219" s="17">
        <f>K136/K148</f>
        <v>5.2074158276681055E-2</v>
      </c>
      <c r="L219" s="17">
        <f>L136/L148</f>
        <v>5.7437751799556874E-2</v>
      </c>
      <c r="M219" s="17">
        <f>M136/M148</f>
        <v>6.040460562732778E-2</v>
      </c>
    </row>
    <row r="220" spans="2:13">
      <c r="B220" s="134" t="s">
        <v>63</v>
      </c>
      <c r="C220" s="17"/>
      <c r="D220" s="17">
        <f>D140/D148</f>
        <v>0</v>
      </c>
      <c r="E220" s="17">
        <f>E140/E148</f>
        <v>3.3962329632084752E-2</v>
      </c>
      <c r="F220" s="17">
        <f>F140/F148</f>
        <v>2.5156122514652896E-2</v>
      </c>
      <c r="G220" s="17">
        <f>G140/G148</f>
        <v>2.1234345714162984E-2</v>
      </c>
      <c r="H220" s="17">
        <f>H140/H148</f>
        <v>1.9384541388712127E-2</v>
      </c>
      <c r="I220" s="17">
        <f>I140/I148</f>
        <v>2.3476827866933451E-2</v>
      </c>
      <c r="J220" s="17">
        <f>J140/J148</f>
        <v>3.0580892940979199E-2</v>
      </c>
      <c r="K220" s="17">
        <f>K140/K148</f>
        <v>4.0184417075077861E-2</v>
      </c>
      <c r="L220" s="17">
        <f>L140/L148</f>
        <v>5.1800925455887444E-2</v>
      </c>
      <c r="M220" s="17">
        <f>M140/M148</f>
        <v>6.4973360953520395E-2</v>
      </c>
    </row>
    <row r="221" spans="2:13">
      <c r="B221" s="134" t="s">
        <v>386</v>
      </c>
      <c r="C221" s="17"/>
      <c r="D221" s="17">
        <f>D145/D148</f>
        <v>0</v>
      </c>
      <c r="E221" s="17">
        <f>E145/E148</f>
        <v>0.32510948023876002</v>
      </c>
      <c r="F221" s="17">
        <f>F145/F148</f>
        <v>8.3529890187118927E-2</v>
      </c>
      <c r="G221" s="17">
        <f>G145/G148</f>
        <v>7.2583859398485648E-2</v>
      </c>
      <c r="H221" s="17">
        <f>H145/H148</f>
        <v>6.8194848075363107E-2</v>
      </c>
      <c r="I221" s="17">
        <f>I145/I148</f>
        <v>8.4980428137431424E-2</v>
      </c>
      <c r="J221" s="17">
        <f>J145/J148</f>
        <v>0.11386712542889292</v>
      </c>
      <c r="K221" s="17">
        <f>K145/K148</f>
        <v>0.15387085152569904</v>
      </c>
      <c r="L221" s="17">
        <f>L145/L148</f>
        <v>0.20392242237633307</v>
      </c>
      <c r="M221" s="17">
        <f>M145/M148</f>
        <v>0.26288529286764356</v>
      </c>
    </row>
    <row r="222" spans="2:13">
      <c r="C222" s="8"/>
      <c r="D222" s="8"/>
      <c r="E222" s="8"/>
      <c r="F222" s="8"/>
      <c r="G222" s="8"/>
      <c r="H222" s="8"/>
      <c r="I222" s="7"/>
    </row>
    <row r="223" spans="2:13">
      <c r="B223" s="140" t="s">
        <v>98</v>
      </c>
      <c r="C223" s="1"/>
      <c r="D223" s="1">
        <v>2021</v>
      </c>
      <c r="E223" s="1">
        <v>2022</v>
      </c>
      <c r="F223" s="1">
        <v>2023</v>
      </c>
      <c r="G223" s="1">
        <v>2024</v>
      </c>
      <c r="H223" s="1">
        <v>2025</v>
      </c>
      <c r="I223" s="1">
        <v>2026</v>
      </c>
      <c r="J223" s="140">
        <v>2027</v>
      </c>
      <c r="K223" s="140">
        <v>2028</v>
      </c>
      <c r="L223" s="140">
        <v>2029</v>
      </c>
      <c r="M223" s="140">
        <v>2030</v>
      </c>
    </row>
    <row r="224" spans="2:13">
      <c r="C224" s="2"/>
      <c r="D224" s="2"/>
      <c r="E224" s="2"/>
      <c r="F224" s="2"/>
      <c r="G224" s="2"/>
      <c r="H224" s="2"/>
      <c r="I224" s="2"/>
    </row>
    <row r="225" spans="2:13">
      <c r="B225" s="134" t="s">
        <v>401</v>
      </c>
      <c r="C225" s="3"/>
      <c r="D225" s="3">
        <v>0.4</v>
      </c>
      <c r="E225" s="3">
        <v>0.4</v>
      </c>
      <c r="F225" s="3">
        <v>0.4</v>
      </c>
      <c r="G225" s="3">
        <v>0.4</v>
      </c>
      <c r="H225" s="3">
        <v>0.4</v>
      </c>
      <c r="I225" s="3">
        <v>0.5</v>
      </c>
      <c r="J225" s="3">
        <v>0.5</v>
      </c>
      <c r="K225" s="3">
        <v>0.5</v>
      </c>
      <c r="L225" s="3">
        <v>0.5</v>
      </c>
      <c r="M225" s="3">
        <v>0.5</v>
      </c>
    </row>
    <row r="226" spans="2:13">
      <c r="B226" s="134" t="s">
        <v>53</v>
      </c>
      <c r="C226" s="3"/>
      <c r="D226" s="3">
        <v>0.4</v>
      </c>
      <c r="E226" s="3">
        <v>0.4</v>
      </c>
      <c r="F226" s="3">
        <v>0.4</v>
      </c>
      <c r="G226" s="3">
        <v>0.4</v>
      </c>
      <c r="H226" s="3">
        <v>0.4</v>
      </c>
      <c r="I226" s="3">
        <v>0.3</v>
      </c>
      <c r="J226" s="3">
        <v>0.3</v>
      </c>
      <c r="K226" s="3">
        <v>0.3</v>
      </c>
      <c r="L226" s="3">
        <v>0.3</v>
      </c>
      <c r="M226" s="3">
        <v>0.3</v>
      </c>
    </row>
    <row r="227" spans="2:13">
      <c r="B227" s="134" t="s">
        <v>97</v>
      </c>
      <c r="C227" s="3"/>
      <c r="D227" s="3">
        <v>0.2</v>
      </c>
      <c r="E227" s="3">
        <v>0.2</v>
      </c>
      <c r="F227" s="3">
        <v>0.2</v>
      </c>
      <c r="G227" s="3">
        <v>0.2</v>
      </c>
      <c r="H227" s="3">
        <v>0.2</v>
      </c>
      <c r="I227" s="3">
        <v>0.2</v>
      </c>
      <c r="J227" s="3">
        <v>0.2</v>
      </c>
      <c r="K227" s="3">
        <v>0.2</v>
      </c>
      <c r="L227" s="3">
        <v>0.2</v>
      </c>
      <c r="M227" s="3">
        <v>0.2</v>
      </c>
    </row>
    <row r="228" spans="2:13">
      <c r="B228" s="134" t="s">
        <v>63</v>
      </c>
      <c r="C228" s="3"/>
      <c r="D228" s="3">
        <v>0</v>
      </c>
      <c r="E228" s="3">
        <v>0</v>
      </c>
      <c r="F228" s="3">
        <v>0</v>
      </c>
      <c r="G228" s="3">
        <v>0</v>
      </c>
      <c r="H228" s="3">
        <v>0</v>
      </c>
      <c r="I228" s="3">
        <v>0</v>
      </c>
      <c r="J228" s="3">
        <v>0</v>
      </c>
      <c r="K228" s="3">
        <v>0</v>
      </c>
      <c r="L228" s="3">
        <v>0</v>
      </c>
      <c r="M228" s="3">
        <v>0</v>
      </c>
    </row>
    <row r="229" spans="2:13">
      <c r="B229" s="134" t="s">
        <v>386</v>
      </c>
      <c r="C229" s="3"/>
      <c r="D229" s="3">
        <v>0</v>
      </c>
      <c r="E229" s="3">
        <v>0</v>
      </c>
      <c r="F229" s="3">
        <v>0</v>
      </c>
      <c r="G229" s="3">
        <v>0</v>
      </c>
      <c r="H229" s="3">
        <v>0</v>
      </c>
      <c r="I229" s="3">
        <v>0</v>
      </c>
      <c r="J229" s="3">
        <v>0</v>
      </c>
      <c r="K229" s="3">
        <v>0</v>
      </c>
      <c r="L229" s="3">
        <v>0</v>
      </c>
      <c r="M229" s="3">
        <v>0</v>
      </c>
    </row>
    <row r="230" spans="2:13">
      <c r="C230" s="8"/>
      <c r="D230" s="8"/>
      <c r="E230" s="8"/>
      <c r="F230" s="8"/>
      <c r="G230" s="8"/>
      <c r="H230" s="8"/>
      <c r="I230" s="7"/>
    </row>
    <row r="231" spans="2:13">
      <c r="B231" s="140" t="s">
        <v>99</v>
      </c>
      <c r="C231" s="1"/>
      <c r="D231" s="1"/>
      <c r="E231" s="1"/>
      <c r="F231" s="1"/>
      <c r="G231" s="1"/>
      <c r="H231" s="1"/>
      <c r="I231" s="1"/>
      <c r="J231" s="140"/>
      <c r="K231" s="140"/>
      <c r="L231" s="140"/>
      <c r="M231" s="140"/>
    </row>
    <row r="233" spans="2:13">
      <c r="B233" s="134" t="s">
        <v>100</v>
      </c>
      <c r="C233" s="8">
        <v>6.7000000000000002E-3</v>
      </c>
      <c r="D233" s="8"/>
    </row>
    <row r="234" spans="2:13">
      <c r="C234" s="8"/>
      <c r="D234" s="8"/>
    </row>
    <row r="235" spans="2:13">
      <c r="B235" s="134" t="s">
        <v>101</v>
      </c>
      <c r="C235" s="8"/>
      <c r="D235" s="8"/>
    </row>
    <row r="236" spans="2:13">
      <c r="C236" s="19"/>
      <c r="D236" s="8"/>
    </row>
    <row r="237" spans="2:13">
      <c r="B237" s="134" t="s">
        <v>102</v>
      </c>
      <c r="C237" s="21">
        <v>6.7000000000000002E-3</v>
      </c>
      <c r="D237" s="8"/>
    </row>
    <row r="238" spans="2:13">
      <c r="B238" s="134" t="s">
        <v>103</v>
      </c>
      <c r="C238" s="21">
        <v>0.11799999999999999</v>
      </c>
      <c r="D238" s="8"/>
    </row>
    <row r="239" spans="2:13">
      <c r="B239" s="134" t="s">
        <v>104</v>
      </c>
      <c r="C239" s="21">
        <f>C238-C237</f>
        <v>0.1113</v>
      </c>
      <c r="D239" s="8"/>
    </row>
    <row r="240" spans="2:13">
      <c r="C240" s="19"/>
      <c r="D240" s="8"/>
    </row>
    <row r="241" spans="2:13">
      <c r="B241" s="134" t="s">
        <v>105</v>
      </c>
      <c r="C241" s="20"/>
      <c r="D241" s="20"/>
    </row>
    <row r="242" spans="2:13">
      <c r="C242" s="19" t="s">
        <v>358</v>
      </c>
      <c r="D242" s="19" t="s">
        <v>106</v>
      </c>
    </row>
    <row r="243" spans="2:13">
      <c r="B243" s="134" t="s">
        <v>107</v>
      </c>
      <c r="C243" s="18">
        <v>1.1000000000000001</v>
      </c>
      <c r="D243" s="18">
        <f>$C$237+($C$239*C243)</f>
        <v>0.12913000000000002</v>
      </c>
    </row>
    <row r="244" spans="2:13">
      <c r="B244" s="134" t="s">
        <v>108</v>
      </c>
      <c r="C244" s="18">
        <v>1.1499999999999999</v>
      </c>
      <c r="D244" s="18">
        <f>$C$237+($C$239*C244)</f>
        <v>0.13469500000000001</v>
      </c>
    </row>
    <row r="245" spans="2:13">
      <c r="B245" s="134" t="s">
        <v>109</v>
      </c>
      <c r="C245" s="18">
        <v>1.33</v>
      </c>
      <c r="D245" s="18">
        <f>$C$237+($C$239*C245)</f>
        <v>0.15472900000000001</v>
      </c>
    </row>
    <row r="246" spans="2:13">
      <c r="B246" s="134" t="s">
        <v>110</v>
      </c>
      <c r="C246" s="18">
        <v>1.37</v>
      </c>
      <c r="D246" s="18">
        <f>$C$237+($C$239*C246)</f>
        <v>0.15918100000000002</v>
      </c>
    </row>
    <row r="247" spans="2:13">
      <c r="C247" s="150"/>
      <c r="D247" s="150"/>
      <c r="E247" s="150"/>
      <c r="F247" s="150"/>
      <c r="G247" s="150"/>
      <c r="H247" s="150"/>
      <c r="I247" s="150"/>
      <c r="J247" s="150"/>
      <c r="K247" s="150"/>
      <c r="L247" s="150"/>
    </row>
    <row r="248" spans="2:13">
      <c r="C248" s="150"/>
      <c r="D248" s="242">
        <v>1</v>
      </c>
      <c r="E248" s="242">
        <v>2</v>
      </c>
      <c r="F248" s="242">
        <v>3</v>
      </c>
      <c r="G248" s="242">
        <v>4</v>
      </c>
      <c r="H248" s="242">
        <v>5</v>
      </c>
      <c r="I248" s="242">
        <v>6</v>
      </c>
      <c r="J248" s="242">
        <v>7</v>
      </c>
      <c r="K248" s="242">
        <v>8</v>
      </c>
      <c r="L248" s="242">
        <v>9</v>
      </c>
      <c r="M248" s="242">
        <v>10</v>
      </c>
    </row>
    <row r="249" spans="2:13">
      <c r="B249" s="151" t="s">
        <v>111</v>
      </c>
      <c r="C249" s="152"/>
      <c r="D249" s="152">
        <v>2021</v>
      </c>
      <c r="E249" s="152">
        <v>2022</v>
      </c>
      <c r="F249" s="152">
        <v>2023</v>
      </c>
      <c r="G249" s="152">
        <v>2024</v>
      </c>
      <c r="H249" s="152">
        <v>2025</v>
      </c>
      <c r="I249" s="152">
        <v>2026</v>
      </c>
      <c r="J249" s="152">
        <v>2027</v>
      </c>
      <c r="K249" s="152">
        <v>2028</v>
      </c>
      <c r="L249" s="152">
        <v>2029</v>
      </c>
      <c r="M249" s="152">
        <v>2030</v>
      </c>
    </row>
    <row r="251" spans="2:13">
      <c r="B251" s="134" t="s">
        <v>6</v>
      </c>
      <c r="C251" s="133"/>
      <c r="D251" s="133">
        <f>D125</f>
        <v>8064.5241499999975</v>
      </c>
      <c r="E251" s="133">
        <f>E125</f>
        <v>11530.272547364431</v>
      </c>
      <c r="F251" s="133">
        <f>F125</f>
        <v>16510.479761981871</v>
      </c>
      <c r="G251" s="133">
        <f>G125</f>
        <v>23669.17981891369</v>
      </c>
      <c r="H251" s="133">
        <f>H125</f>
        <v>33961.642969282839</v>
      </c>
      <c r="I251" s="133">
        <f>I125</f>
        <v>48762.049755054177</v>
      </c>
      <c r="J251" s="133">
        <f>J125</f>
        <v>70047.099231479922</v>
      </c>
      <c r="K251" s="133">
        <f>K125</f>
        <v>100660.03837450442</v>
      </c>
      <c r="L251" s="133">
        <f>L125</f>
        <v>144690.31138641166</v>
      </c>
      <c r="M251" s="133">
        <f>M125</f>
        <v>205824.14821511426</v>
      </c>
    </row>
    <row r="252" spans="2:13">
      <c r="B252" s="134" t="s">
        <v>112</v>
      </c>
      <c r="C252" s="133"/>
      <c r="D252" s="133">
        <f>D217*D159</f>
        <v>3664.8726310651405</v>
      </c>
      <c r="E252" s="133">
        <f>E217*E159</f>
        <v>5021.4121674444923</v>
      </c>
      <c r="F252" s="133">
        <f>F217*F159</f>
        <v>9599.7387396530776</v>
      </c>
      <c r="G252" s="133">
        <f>G217*G159</f>
        <v>13698.895108476137</v>
      </c>
      <c r="H252" s="133">
        <f>H217*H159</f>
        <v>16177.651619769842</v>
      </c>
      <c r="I252" s="133">
        <f>I217*I159</f>
        <v>22490.125078532004</v>
      </c>
      <c r="J252" s="133">
        <f>J217*J159</f>
        <v>31265.60586237548</v>
      </c>
      <c r="K252" s="133">
        <f>K217*K159</f>
        <v>41935.237404797961</v>
      </c>
      <c r="L252" s="133">
        <f>L217*L159</f>
        <v>53803.820545817034</v>
      </c>
      <c r="M252" s="133">
        <f>M217*M159</f>
        <v>67256.916274575909</v>
      </c>
    </row>
    <row r="253" spans="2:13">
      <c r="B253" s="134" t="s">
        <v>113</v>
      </c>
      <c r="C253" s="133"/>
      <c r="D253" s="133">
        <f>D251-D252</f>
        <v>4399.6515189348574</v>
      </c>
      <c r="E253" s="133">
        <f t="shared" ref="E253:M253" si="24">E251-E252</f>
        <v>6508.8603799199391</v>
      </c>
      <c r="F253" s="133">
        <f t="shared" si="24"/>
        <v>6910.7410223287934</v>
      </c>
      <c r="G253" s="133">
        <f t="shared" si="24"/>
        <v>9970.2847104375523</v>
      </c>
      <c r="H253" s="133">
        <f t="shared" si="24"/>
        <v>17783.991349512995</v>
      </c>
      <c r="I253" s="133">
        <f t="shared" si="24"/>
        <v>26271.924676522172</v>
      </c>
      <c r="J253" s="133">
        <f t="shared" si="24"/>
        <v>38781.493369104443</v>
      </c>
      <c r="K253" s="133">
        <f t="shared" si="24"/>
        <v>58724.800969706463</v>
      </c>
      <c r="L253" s="133">
        <f t="shared" si="24"/>
        <v>90886.490840594633</v>
      </c>
      <c r="M253" s="133">
        <f t="shared" si="24"/>
        <v>138567.23194053833</v>
      </c>
    </row>
    <row r="254" spans="2:13">
      <c r="C254" s="133"/>
      <c r="D254" s="133"/>
      <c r="E254" s="133"/>
      <c r="F254" s="133"/>
      <c r="G254" s="133"/>
      <c r="H254" s="133"/>
      <c r="I254" s="133"/>
      <c r="J254" s="133"/>
      <c r="K254" s="133"/>
      <c r="L254" s="133"/>
      <c r="M254" s="133"/>
    </row>
    <row r="255" spans="2:13">
      <c r="B255" s="134" t="s">
        <v>114</v>
      </c>
      <c r="C255" s="133"/>
      <c r="D255" s="133">
        <f>(D162-D181)*D217</f>
        <v>1157.5115080815219</v>
      </c>
      <c r="E255" s="133">
        <f>(E162-E181)*E217</f>
        <v>1512.5772457852374</v>
      </c>
      <c r="F255" s="133">
        <f>(F162-F181)*F217</f>
        <v>1227.18256278024</v>
      </c>
      <c r="G255" s="133">
        <f>(G162-G181)*G217</f>
        <v>1530.7830677578891</v>
      </c>
      <c r="H255" s="133">
        <f>(H162-H181)*H217</f>
        <v>1920.7674474102207</v>
      </c>
      <c r="I255" s="133">
        <f>(I162-I181)*I217</f>
        <v>2919.34896124539</v>
      </c>
      <c r="J255" s="133">
        <f>(J162-J181)*J217</f>
        <v>4644.3963261923418</v>
      </c>
      <c r="K255" s="133">
        <f>(K162-K181)*K217</f>
        <v>7439.7295758182372</v>
      </c>
      <c r="L255" s="133">
        <f>(L162-L181)*L217</f>
        <v>11877.817048780935</v>
      </c>
      <c r="M255" s="133">
        <f>(M162-M181)*M217</f>
        <v>18802.441115739839</v>
      </c>
    </row>
    <row r="256" spans="2:13">
      <c r="B256" s="134" t="s">
        <v>115</v>
      </c>
      <c r="C256" s="133"/>
      <c r="D256" s="133">
        <f>D253-D255</f>
        <v>3242.1400108533353</v>
      </c>
      <c r="E256" s="133">
        <f>E253-E255</f>
        <v>4996.2831341347019</v>
      </c>
      <c r="F256" s="133">
        <f t="shared" ref="F256:M256" si="25">F253-F255</f>
        <v>5683.5584595485534</v>
      </c>
      <c r="G256" s="133">
        <f t="shared" si="25"/>
        <v>8439.5016426796628</v>
      </c>
      <c r="H256" s="133">
        <f t="shared" si="25"/>
        <v>15863.223902102774</v>
      </c>
      <c r="I256" s="133">
        <f t="shared" si="25"/>
        <v>23352.575715276784</v>
      </c>
      <c r="J256" s="133">
        <f t="shared" si="25"/>
        <v>34137.097042912101</v>
      </c>
      <c r="K256" s="133">
        <f t="shared" si="25"/>
        <v>51285.071393888225</v>
      </c>
      <c r="L256" s="133">
        <f t="shared" si="25"/>
        <v>79008.673791813693</v>
      </c>
      <c r="M256" s="133">
        <f t="shared" si="25"/>
        <v>119764.79082479849</v>
      </c>
    </row>
    <row r="257" spans="2:13">
      <c r="C257" s="133"/>
      <c r="D257" s="133"/>
      <c r="E257" s="133"/>
      <c r="F257" s="133"/>
      <c r="G257" s="133"/>
      <c r="H257" s="133"/>
      <c r="I257" s="133"/>
      <c r="J257" s="133"/>
      <c r="K257" s="133"/>
      <c r="L257" s="133"/>
      <c r="M257" s="133"/>
    </row>
    <row r="258" spans="2:13">
      <c r="B258" s="134" t="s">
        <v>116</v>
      </c>
      <c r="C258" s="133"/>
      <c r="D258" s="133">
        <f t="shared" ref="D258:M258" si="26">D225*D206</f>
        <v>1349.0469000000003</v>
      </c>
      <c r="E258" s="133">
        <f t="shared" si="26"/>
        <v>1956.1180049999994</v>
      </c>
      <c r="F258" s="133">
        <f t="shared" si="26"/>
        <v>2836.3711072499991</v>
      </c>
      <c r="G258" s="133">
        <f t="shared" si="26"/>
        <v>4112.7381055124997</v>
      </c>
      <c r="H258" s="133">
        <f t="shared" si="26"/>
        <v>5963.4702529931237</v>
      </c>
      <c r="I258" s="133">
        <f t="shared" si="26"/>
        <v>10808.789833550036</v>
      </c>
      <c r="J258" s="133">
        <f t="shared" si="26"/>
        <v>15672.74525864755</v>
      </c>
      <c r="K258" s="133">
        <f t="shared" si="26"/>
        <v>22725.480625038952</v>
      </c>
      <c r="L258" s="133">
        <f t="shared" si="26"/>
        <v>32951.946906306475</v>
      </c>
      <c r="M258" s="133">
        <f t="shared" si="26"/>
        <v>47780.3230141444</v>
      </c>
    </row>
    <row r="259" spans="2:13">
      <c r="B259" s="134" t="s">
        <v>117</v>
      </c>
      <c r="C259" s="133"/>
      <c r="D259" s="133">
        <v>0</v>
      </c>
      <c r="E259" s="133">
        <v>0</v>
      </c>
      <c r="F259" s="133">
        <v>0</v>
      </c>
      <c r="G259" s="133">
        <v>0</v>
      </c>
      <c r="H259" s="133">
        <v>0</v>
      </c>
      <c r="I259" s="133">
        <v>0</v>
      </c>
      <c r="J259" s="133">
        <v>0</v>
      </c>
      <c r="K259" s="133">
        <v>0</v>
      </c>
      <c r="L259" s="133">
        <v>0</v>
      </c>
      <c r="M259" s="133">
        <v>0</v>
      </c>
    </row>
    <row r="260" spans="2:13">
      <c r="B260" s="134" t="s">
        <v>118</v>
      </c>
      <c r="C260" s="133"/>
      <c r="D260" s="133">
        <f>D256-D258</f>
        <v>1893.093110853335</v>
      </c>
      <c r="E260" s="133">
        <f t="shared" ref="E260:M260" si="27">E256-E258</f>
        <v>3040.1651291347025</v>
      </c>
      <c r="F260" s="133">
        <f t="shared" si="27"/>
        <v>2847.1873522985543</v>
      </c>
      <c r="G260" s="133">
        <f t="shared" si="27"/>
        <v>4326.7635371671631</v>
      </c>
      <c r="H260" s="133">
        <f t="shared" si="27"/>
        <v>9899.7536491096507</v>
      </c>
      <c r="I260" s="133">
        <f t="shared" si="27"/>
        <v>12543.785881726748</v>
      </c>
      <c r="J260" s="133">
        <f t="shared" si="27"/>
        <v>18464.351784264552</v>
      </c>
      <c r="K260" s="133">
        <f t="shared" si="27"/>
        <v>28559.590768849273</v>
      </c>
      <c r="L260" s="133">
        <f t="shared" si="27"/>
        <v>46056.726885507218</v>
      </c>
      <c r="M260" s="133">
        <f t="shared" si="27"/>
        <v>71984.467810654081</v>
      </c>
    </row>
    <row r="261" spans="2:13">
      <c r="B261" s="134" t="s">
        <v>119</v>
      </c>
      <c r="C261" s="133"/>
      <c r="D261" s="133">
        <f t="shared" ref="D261:M261" si="28">(D260/(1+$D$243)^D248)</f>
        <v>1676.5944672919284</v>
      </c>
      <c r="E261" s="133">
        <f t="shared" si="28"/>
        <v>2384.5656333348247</v>
      </c>
      <c r="F261" s="133">
        <f t="shared" si="28"/>
        <v>1977.8083525415093</v>
      </c>
      <c r="G261" s="133">
        <f t="shared" si="28"/>
        <v>2661.8732726955873</v>
      </c>
      <c r="H261" s="133">
        <f t="shared" si="28"/>
        <v>5393.9219211007676</v>
      </c>
      <c r="I261" s="133">
        <f t="shared" si="28"/>
        <v>6052.9202768292744</v>
      </c>
      <c r="J261" s="133">
        <f t="shared" si="28"/>
        <v>7890.8982086955521</v>
      </c>
      <c r="K261" s="133">
        <f t="shared" si="28"/>
        <v>10809.370653740705</v>
      </c>
      <c r="L261" s="133">
        <f t="shared" si="28"/>
        <v>15438.231651934671</v>
      </c>
      <c r="M261" s="133">
        <f t="shared" si="28"/>
        <v>21369.744730539074</v>
      </c>
    </row>
    <row r="262" spans="2:13">
      <c r="B262" s="134" t="s">
        <v>120</v>
      </c>
      <c r="C262" s="133">
        <f>SUM(D261:M261)</f>
        <v>75655.929168703893</v>
      </c>
      <c r="E262" s="135"/>
      <c r="F262" s="135"/>
      <c r="G262" s="135"/>
      <c r="H262" s="135"/>
      <c r="I262" s="135"/>
    </row>
    <row r="263" spans="2:13">
      <c r="B263" s="134" t="s">
        <v>121</v>
      </c>
      <c r="C263" s="133">
        <f>M260/D243</f>
        <v>557457.3515887406</v>
      </c>
      <c r="E263" s="135"/>
      <c r="F263" s="135"/>
      <c r="G263" s="135"/>
      <c r="H263" s="135"/>
      <c r="I263" s="135"/>
    </row>
    <row r="264" spans="2:13">
      <c r="B264" s="134" t="s">
        <v>122</v>
      </c>
      <c r="C264" s="133">
        <f>C263/(1+D243*M248)</f>
        <v>243293.04394393601</v>
      </c>
      <c r="E264" s="135"/>
      <c r="F264" s="135"/>
      <c r="G264" s="135"/>
      <c r="H264" s="135"/>
      <c r="I264" s="135"/>
    </row>
    <row r="265" spans="2:13">
      <c r="C265" s="133"/>
      <c r="D265" s="136"/>
      <c r="E265" s="136"/>
      <c r="F265" s="136"/>
      <c r="G265" s="136"/>
      <c r="H265" s="136"/>
    </row>
    <row r="266" spans="2:13">
      <c r="B266" s="134" t="s">
        <v>123</v>
      </c>
      <c r="C266" s="133">
        <f>C264+C262</f>
        <v>318948.97311263991</v>
      </c>
      <c r="D266" s="135"/>
      <c r="E266" s="135"/>
      <c r="F266" s="135"/>
      <c r="G266" s="135"/>
      <c r="H266" s="135"/>
    </row>
    <row r="268" spans="2:13">
      <c r="D268" s="242">
        <v>1</v>
      </c>
      <c r="E268" s="242">
        <v>2</v>
      </c>
      <c r="F268" s="242">
        <v>3</v>
      </c>
      <c r="G268" s="242">
        <v>4</v>
      </c>
      <c r="H268" s="242">
        <v>5</v>
      </c>
      <c r="I268" s="242">
        <v>6</v>
      </c>
      <c r="J268" s="242">
        <v>7</v>
      </c>
      <c r="K268" s="242">
        <v>8</v>
      </c>
      <c r="L268" s="242">
        <v>9</v>
      </c>
      <c r="M268" s="242">
        <v>10</v>
      </c>
    </row>
    <row r="269" spans="2:13">
      <c r="B269" s="151" t="s">
        <v>53</v>
      </c>
      <c r="C269" s="152"/>
      <c r="D269" s="152">
        <v>2021</v>
      </c>
      <c r="E269" s="152">
        <v>2022</v>
      </c>
      <c r="F269" s="152">
        <v>2023</v>
      </c>
      <c r="G269" s="152">
        <v>2024</v>
      </c>
      <c r="H269" s="152">
        <v>2025</v>
      </c>
      <c r="I269" s="152">
        <v>2026</v>
      </c>
      <c r="J269" s="152">
        <v>2027</v>
      </c>
      <c r="K269" s="152">
        <v>2028</v>
      </c>
      <c r="L269" s="152">
        <v>2029</v>
      </c>
      <c r="M269" s="152">
        <v>2030</v>
      </c>
    </row>
    <row r="271" spans="2:13">
      <c r="B271" s="134" t="s">
        <v>6</v>
      </c>
      <c r="C271" s="9"/>
      <c r="D271" s="9">
        <f>D131</f>
        <v>812.17554660296173</v>
      </c>
      <c r="E271" s="9">
        <f>E131</f>
        <v>1742.5990611597954</v>
      </c>
      <c r="F271" s="9">
        <f>F131</f>
        <v>22377.149669981023</v>
      </c>
      <c r="G271" s="9">
        <f>G131</f>
        <v>48346.775085955218</v>
      </c>
      <c r="H271" s="9">
        <f>H131</f>
        <v>92264.187965346558</v>
      </c>
      <c r="I271" s="9">
        <f>I131</f>
        <v>111990.86889262951</v>
      </c>
      <c r="J271" s="9">
        <f>J131</f>
        <v>121913.33915099222</v>
      </c>
      <c r="K271" s="9">
        <f>K131</f>
        <v>125902.42226813937</v>
      </c>
      <c r="L271" s="9">
        <f>L131</f>
        <v>127283.98954508296</v>
      </c>
      <c r="M271" s="9">
        <f>M131</f>
        <v>128689.3807310689</v>
      </c>
    </row>
    <row r="272" spans="2:13">
      <c r="B272" s="134" t="s">
        <v>112</v>
      </c>
      <c r="C272" s="9"/>
      <c r="D272" s="9">
        <f>D162*D218</f>
        <v>443.08744208466027</v>
      </c>
      <c r="E272" s="9">
        <f>E162*E218</f>
        <v>983.70042344413503</v>
      </c>
      <c r="F272" s="9">
        <f>F162*F218</f>
        <v>9366.3351045206819</v>
      </c>
      <c r="G272" s="9">
        <f>G162*G218</f>
        <v>20365.349206282113</v>
      </c>
      <c r="H272" s="9">
        <f>H162*H218</f>
        <v>48314.079567046734</v>
      </c>
      <c r="I272" s="9">
        <f>I162*I218</f>
        <v>60338.227920791462</v>
      </c>
      <c r="J272" s="9">
        <f>J162*J218</f>
        <v>67497.175554198824</v>
      </c>
      <c r="K272" s="9">
        <f>K162*K218</f>
        <v>73451.141174739532</v>
      </c>
      <c r="L272" s="9">
        <f>L162*L218</f>
        <v>79952.797385644095</v>
      </c>
      <c r="M272" s="9">
        <f>M162*M218</f>
        <v>86637.702245750421</v>
      </c>
    </row>
    <row r="273" spans="2:13">
      <c r="B273" s="134" t="s">
        <v>113</v>
      </c>
      <c r="C273" s="9"/>
      <c r="D273" s="9">
        <f t="shared" ref="D273:M273" si="29">D271-D272</f>
        <v>369.08810451830146</v>
      </c>
      <c r="E273" s="9">
        <f t="shared" si="29"/>
        <v>758.89863771566036</v>
      </c>
      <c r="F273" s="9">
        <f t="shared" si="29"/>
        <v>13010.814565460341</v>
      </c>
      <c r="G273" s="9">
        <f t="shared" si="29"/>
        <v>27981.425879673105</v>
      </c>
      <c r="H273" s="9">
        <f t="shared" si="29"/>
        <v>43950.108398299824</v>
      </c>
      <c r="I273" s="9">
        <f t="shared" si="29"/>
        <v>51652.640971838053</v>
      </c>
      <c r="J273" s="9">
        <f t="shared" si="29"/>
        <v>54416.163596793398</v>
      </c>
      <c r="K273" s="9">
        <f t="shared" si="29"/>
        <v>52451.281093399841</v>
      </c>
      <c r="L273" s="9">
        <f t="shared" si="29"/>
        <v>47331.19215943887</v>
      </c>
      <c r="M273" s="9">
        <f t="shared" si="29"/>
        <v>42051.67848531848</v>
      </c>
    </row>
    <row r="274" spans="2:13"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</row>
    <row r="275" spans="2:13">
      <c r="B275" s="134" t="s">
        <v>114</v>
      </c>
      <c r="C275" s="9"/>
      <c r="D275" s="9">
        <f>(D162-D181)*D218</f>
        <v>116.57259923703359</v>
      </c>
      <c r="E275" s="9">
        <f>(E162-E181)*E218</f>
        <v>228.59959967204017</v>
      </c>
      <c r="F275" s="9">
        <f>(F162-F181)*F218</f>
        <v>1663.2374271132626</v>
      </c>
      <c r="G275" s="9">
        <f>(G162-G181)*G218</f>
        <v>3126.7845040891607</v>
      </c>
      <c r="H275" s="9">
        <f>(H162-H181)*H218</f>
        <v>5218.1824349859417</v>
      </c>
      <c r="I275" s="9">
        <f>(I162-I181)*I218</f>
        <v>6704.8130341727347</v>
      </c>
      <c r="J275" s="9">
        <f>(J162-J181)*J218</f>
        <v>8083.3306543584413</v>
      </c>
      <c r="K275" s="9">
        <f>(K162-K181)*K218</f>
        <v>9305.3806628855746</v>
      </c>
      <c r="L275" s="9">
        <f>(L162-L181)*L218</f>
        <v>10448.909305460407</v>
      </c>
      <c r="M275" s="9">
        <f>(M162-M181)*M218</f>
        <v>11756.028261990225</v>
      </c>
    </row>
    <row r="276" spans="2:13">
      <c r="B276" s="134" t="s">
        <v>115</v>
      </c>
      <c r="C276" s="9"/>
      <c r="D276" s="9">
        <f>D273-D275</f>
        <v>252.51550528126788</v>
      </c>
      <c r="E276" s="9">
        <f t="shared" ref="E276:M276" si="30">E273-E275</f>
        <v>530.29903804362016</v>
      </c>
      <c r="F276" s="9">
        <f t="shared" si="30"/>
        <v>11347.577138347078</v>
      </c>
      <c r="G276" s="9">
        <f t="shared" si="30"/>
        <v>24854.641375583946</v>
      </c>
      <c r="H276" s="9">
        <f t="shared" si="30"/>
        <v>38731.925963313886</v>
      </c>
      <c r="I276" s="9">
        <f t="shared" si="30"/>
        <v>44947.827937665315</v>
      </c>
      <c r="J276" s="9">
        <f t="shared" si="30"/>
        <v>46332.832942434958</v>
      </c>
      <c r="K276" s="9">
        <f t="shared" si="30"/>
        <v>43145.900430514266</v>
      </c>
      <c r="L276" s="9">
        <f t="shared" si="30"/>
        <v>36882.28285397846</v>
      </c>
      <c r="M276" s="9">
        <f t="shared" si="30"/>
        <v>30295.650223328255</v>
      </c>
    </row>
    <row r="277" spans="2:13"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</row>
    <row r="278" spans="2:13">
      <c r="B278" s="134" t="s">
        <v>116</v>
      </c>
      <c r="C278" s="9"/>
      <c r="D278" s="9">
        <f t="shared" ref="D278:M278" si="31">D199*D226</f>
        <v>1349.0469000000003</v>
      </c>
      <c r="E278" s="9">
        <f t="shared" si="31"/>
        <v>1956.1180049999994</v>
      </c>
      <c r="F278" s="9">
        <f t="shared" si="31"/>
        <v>2836.3711072499991</v>
      </c>
      <c r="G278" s="9">
        <f t="shared" si="31"/>
        <v>4112.7381055124997</v>
      </c>
      <c r="H278" s="9">
        <f t="shared" si="31"/>
        <v>5963.4702529931237</v>
      </c>
      <c r="I278" s="9">
        <f t="shared" si="31"/>
        <v>6485.2739001300215</v>
      </c>
      <c r="J278" s="9">
        <f t="shared" si="31"/>
        <v>9403.6471551885297</v>
      </c>
      <c r="K278" s="9">
        <f t="shared" si="31"/>
        <v>13635.28837502337</v>
      </c>
      <c r="L278" s="9">
        <f t="shared" si="31"/>
        <v>19771.168143783885</v>
      </c>
      <c r="M278" s="9">
        <f t="shared" si="31"/>
        <v>28668.193808486638</v>
      </c>
    </row>
    <row r="279" spans="2:13">
      <c r="B279" s="134" t="s">
        <v>117</v>
      </c>
      <c r="C279" s="9"/>
      <c r="D279" s="9">
        <v>0</v>
      </c>
      <c r="E279" s="9">
        <v>0</v>
      </c>
      <c r="F279" s="9">
        <v>0</v>
      </c>
      <c r="G279" s="9">
        <v>0</v>
      </c>
      <c r="H279" s="9">
        <v>0</v>
      </c>
      <c r="I279" s="9">
        <v>0</v>
      </c>
      <c r="J279" s="9">
        <v>0</v>
      </c>
      <c r="K279" s="9">
        <v>0</v>
      </c>
      <c r="L279" s="9">
        <v>0</v>
      </c>
      <c r="M279" s="9">
        <v>0</v>
      </c>
    </row>
    <row r="280" spans="2:13">
      <c r="B280" s="134" t="s">
        <v>118</v>
      </c>
      <c r="C280" s="9"/>
      <c r="D280" s="9">
        <f t="shared" ref="D280:M280" si="32">D276-D278-D279</f>
        <v>-1096.5313947187324</v>
      </c>
      <c r="E280" s="9">
        <f t="shared" si="32"/>
        <v>-1425.8189669563792</v>
      </c>
      <c r="F280" s="9">
        <f t="shared" si="32"/>
        <v>8511.2060310970792</v>
      </c>
      <c r="G280" s="9">
        <f t="shared" si="32"/>
        <v>20741.903270071445</v>
      </c>
      <c r="H280" s="9">
        <f t="shared" si="32"/>
        <v>32768.455710320763</v>
      </c>
      <c r="I280" s="9">
        <f t="shared" si="32"/>
        <v>38462.554037535294</v>
      </c>
      <c r="J280" s="9">
        <f t="shared" si="32"/>
        <v>36929.185787246432</v>
      </c>
      <c r="K280" s="9">
        <f t="shared" si="32"/>
        <v>29510.612055490896</v>
      </c>
      <c r="L280" s="9">
        <f t="shared" si="32"/>
        <v>17111.114710194575</v>
      </c>
      <c r="M280" s="9">
        <f t="shared" si="32"/>
        <v>1627.4564148416175</v>
      </c>
    </row>
    <row r="281" spans="2:13">
      <c r="B281" s="134" t="s">
        <v>119</v>
      </c>
      <c r="C281" s="9"/>
      <c r="D281" s="133">
        <f>(D280/(1+$D$244)^D268)</f>
        <v>-966.36664012684673</v>
      </c>
      <c r="E281" s="133">
        <f t="shared" ref="E281:M281" si="33">(E280/(1+$D$244)^E268)</f>
        <v>-1107.4040444256834</v>
      </c>
      <c r="F281" s="133">
        <f t="shared" si="33"/>
        <v>5825.7746327004852</v>
      </c>
      <c r="G281" s="133">
        <f t="shared" si="33"/>
        <v>12512.152815697487</v>
      </c>
      <c r="H281" s="133">
        <f t="shared" si="33"/>
        <v>17420.486082285537</v>
      </c>
      <c r="I281" s="133">
        <f t="shared" si="33"/>
        <v>18020.352101327695</v>
      </c>
      <c r="J281" s="133">
        <f t="shared" si="33"/>
        <v>15248.100450643091</v>
      </c>
      <c r="K281" s="133">
        <f t="shared" si="33"/>
        <v>10738.536253217475</v>
      </c>
      <c r="L281" s="133">
        <f t="shared" si="33"/>
        <v>5487.3925877695601</v>
      </c>
      <c r="M281" s="133">
        <f t="shared" si="33"/>
        <v>459.95776486102392</v>
      </c>
    </row>
    <row r="282" spans="2:13">
      <c r="B282" s="134" t="s">
        <v>120</v>
      </c>
      <c r="C282" s="9">
        <f>SUM(D281:M281)</f>
        <v>83638.98200394983</v>
      </c>
      <c r="D282" s="132"/>
      <c r="E282" s="132"/>
      <c r="F282" s="132"/>
      <c r="G282" s="132"/>
      <c r="H282" s="132"/>
      <c r="I282" s="132"/>
      <c r="J282" s="132"/>
      <c r="K282" s="132"/>
      <c r="L282" s="132"/>
      <c r="M282" s="132"/>
    </row>
    <row r="283" spans="2:13">
      <c r="B283" s="134" t="s">
        <v>121</v>
      </c>
      <c r="C283" s="9">
        <f>M280/D244</f>
        <v>12082.530270920357</v>
      </c>
      <c r="D283" s="132"/>
      <c r="E283" s="132"/>
      <c r="F283" s="132"/>
      <c r="G283" s="132"/>
      <c r="H283" s="132"/>
      <c r="I283" s="132"/>
      <c r="J283" s="132"/>
      <c r="K283" s="132"/>
      <c r="L283" s="132"/>
      <c r="M283" s="132"/>
    </row>
    <row r="284" spans="2:13">
      <c r="B284" s="134" t="s">
        <v>122</v>
      </c>
      <c r="C284" s="9">
        <f>C283/(1+D244)^M268</f>
        <v>3414.8094944951476</v>
      </c>
      <c r="D284" s="132"/>
      <c r="E284" s="132"/>
      <c r="F284" s="132"/>
      <c r="G284" s="132"/>
      <c r="H284" s="132"/>
      <c r="I284" s="132"/>
      <c r="J284" s="132"/>
      <c r="K284" s="132"/>
      <c r="L284" s="132"/>
      <c r="M284" s="132"/>
    </row>
    <row r="285" spans="2:13">
      <c r="C285" s="9"/>
      <c r="D285" s="132"/>
      <c r="E285" s="132"/>
      <c r="F285" s="132"/>
      <c r="G285" s="132"/>
      <c r="H285" s="132"/>
      <c r="I285" s="132"/>
      <c r="J285" s="132"/>
      <c r="K285" s="132"/>
      <c r="L285" s="132"/>
      <c r="M285" s="132"/>
    </row>
    <row r="286" spans="2:13">
      <c r="B286" s="134" t="s">
        <v>124</v>
      </c>
      <c r="C286" s="9">
        <f>C284+C282</f>
        <v>87053.791498444974</v>
      </c>
      <c r="D286" s="132"/>
      <c r="E286" s="132"/>
      <c r="F286" s="132"/>
      <c r="G286" s="132"/>
      <c r="H286" s="132"/>
      <c r="I286" s="132"/>
      <c r="J286" s="132"/>
      <c r="K286" s="132"/>
      <c r="L286" s="132"/>
      <c r="M286" s="132"/>
    </row>
    <row r="288" spans="2:13">
      <c r="D288" s="242">
        <v>1</v>
      </c>
      <c r="E288" s="242">
        <v>2</v>
      </c>
      <c r="F288" s="242">
        <v>3</v>
      </c>
      <c r="G288" s="242">
        <v>4</v>
      </c>
      <c r="H288" s="242">
        <v>5</v>
      </c>
      <c r="I288" s="242">
        <v>6</v>
      </c>
      <c r="J288" s="242">
        <v>7</v>
      </c>
      <c r="K288" s="242">
        <v>8</v>
      </c>
      <c r="L288" s="242">
        <v>9</v>
      </c>
      <c r="M288" s="242">
        <v>10</v>
      </c>
    </row>
    <row r="289" spans="2:13">
      <c r="B289" s="151" t="s">
        <v>97</v>
      </c>
      <c r="C289" s="152"/>
      <c r="D289" s="152">
        <v>2021</v>
      </c>
      <c r="E289" s="152">
        <v>2022</v>
      </c>
      <c r="F289" s="152">
        <v>2023</v>
      </c>
      <c r="G289" s="152">
        <v>2024</v>
      </c>
      <c r="H289" s="152">
        <v>2025</v>
      </c>
      <c r="I289" s="152">
        <v>2026</v>
      </c>
      <c r="J289" s="152">
        <v>2027</v>
      </c>
      <c r="K289" s="152">
        <v>2028</v>
      </c>
      <c r="L289" s="152">
        <v>2029</v>
      </c>
      <c r="M289" s="152">
        <v>2030</v>
      </c>
    </row>
    <row r="291" spans="2:13">
      <c r="B291" s="134" t="s">
        <v>6</v>
      </c>
      <c r="C291" s="9"/>
      <c r="D291" s="9">
        <f>D136</f>
        <v>351.61505228724582</v>
      </c>
      <c r="E291" s="9">
        <f>E136</f>
        <v>527.08687810375159</v>
      </c>
      <c r="F291" s="9">
        <f>F136</f>
        <v>781.52102553768509</v>
      </c>
      <c r="G291" s="9">
        <f>G136</f>
        <v>2300.9010786337785</v>
      </c>
      <c r="H291" s="9">
        <f>H136</f>
        <v>3370.7966685934698</v>
      </c>
      <c r="I291" s="9">
        <f>I136</f>
        <v>7383.2179110525358</v>
      </c>
      <c r="J291" s="9">
        <f>J136</f>
        <v>10757.401127887912</v>
      </c>
      <c r="K291" s="9">
        <f>K136</f>
        <v>15649.966792299208</v>
      </c>
      <c r="L291" s="9">
        <f>L136</f>
        <v>22744.187005695589</v>
      </c>
      <c r="M291" s="9">
        <f>M136</f>
        <v>33030.806315120339</v>
      </c>
    </row>
    <row r="292" spans="2:13">
      <c r="B292" s="134" t="s">
        <v>112</v>
      </c>
      <c r="C292" s="9"/>
      <c r="D292" s="9">
        <f>D159*D219</f>
        <v>159.78926441655781</v>
      </c>
      <c r="E292" s="9">
        <f>E159*E219</f>
        <v>229.5453513469196</v>
      </c>
      <c r="F292" s="9">
        <f>F159*F219</f>
        <v>454.40215989259372</v>
      </c>
      <c r="G292" s="9">
        <f>G159*G219</f>
        <v>1331.681231556521</v>
      </c>
      <c r="H292" s="9">
        <f>H159*H219</f>
        <v>1605.6812750463193</v>
      </c>
      <c r="I292" s="9">
        <f>I159*I219</f>
        <v>3405.3017692189678</v>
      </c>
      <c r="J292" s="9">
        <f>J159*J219</f>
        <v>4801.5787585514117</v>
      </c>
      <c r="K292" s="9">
        <f>K159*K219</f>
        <v>6519.8174311296334</v>
      </c>
      <c r="L292" s="9">
        <f>L159*L219</f>
        <v>8457.5404143464511</v>
      </c>
      <c r="M292" s="9">
        <f>M159*M219</f>
        <v>10793.437961885598</v>
      </c>
    </row>
    <row r="293" spans="2:13">
      <c r="B293" s="134" t="s">
        <v>113</v>
      </c>
      <c r="C293" s="9"/>
      <c r="D293" s="9">
        <f>D291-D292</f>
        <v>191.825787870688</v>
      </c>
      <c r="E293" s="9">
        <f t="shared" ref="E293:M293" si="34">E291-E292</f>
        <v>297.54152675683201</v>
      </c>
      <c r="F293" s="9">
        <f t="shared" si="34"/>
        <v>327.11886564509138</v>
      </c>
      <c r="G293" s="9">
        <f t="shared" si="34"/>
        <v>969.21984707725755</v>
      </c>
      <c r="H293" s="9">
        <f t="shared" si="34"/>
        <v>1765.1153935471505</v>
      </c>
      <c r="I293" s="9">
        <f t="shared" si="34"/>
        <v>3977.916141833568</v>
      </c>
      <c r="J293" s="9">
        <f t="shared" si="34"/>
        <v>5955.8223693364998</v>
      </c>
      <c r="K293" s="9">
        <f t="shared" si="34"/>
        <v>9130.1493611695751</v>
      </c>
      <c r="L293" s="9">
        <f t="shared" si="34"/>
        <v>14286.646591349137</v>
      </c>
      <c r="M293" s="9">
        <f t="shared" si="34"/>
        <v>22237.368353234742</v>
      </c>
    </row>
    <row r="295" spans="2:13">
      <c r="B295" s="134" t="s">
        <v>114</v>
      </c>
      <c r="C295" s="9"/>
      <c r="D295" s="9">
        <f>(D162-D181)*D219</f>
        <v>50.467760014975376</v>
      </c>
      <c r="E295" s="9">
        <f>(E162-E181)*E219</f>
        <v>69.144906601010732</v>
      </c>
      <c r="F295" s="9">
        <f>(F162-F181)*F219</f>
        <v>58.088498263653975</v>
      </c>
      <c r="G295" s="9">
        <f>(G162-G181)*G219</f>
        <v>148.80872251196169</v>
      </c>
      <c r="H295" s="9">
        <f>(H162-H181)*H219</f>
        <v>190.64202867715017</v>
      </c>
      <c r="I295" s="9">
        <f>(I162-I181)*I219</f>
        <v>442.02796329425206</v>
      </c>
      <c r="J295" s="9">
        <f>(J162-J181)*J219</f>
        <v>713.25771981842001</v>
      </c>
      <c r="K295" s="9">
        <f>(K162-K181)*K219</f>
        <v>1156.6806717484019</v>
      </c>
      <c r="L295" s="9">
        <f>(L162-L181)*L219</f>
        <v>1867.100081466019</v>
      </c>
      <c r="M295" s="9">
        <f>(M162-M181)*M219</f>
        <v>3017.4291798665226</v>
      </c>
    </row>
    <row r="296" spans="2:13">
      <c r="B296" s="134" t="s">
        <v>115</v>
      </c>
      <c r="C296" s="9"/>
      <c r="D296" s="9">
        <f>D293-D295</f>
        <v>141.35802785571263</v>
      </c>
      <c r="E296" s="9">
        <f t="shared" ref="E296:L296" si="35">E293-E295</f>
        <v>228.39662015582127</v>
      </c>
      <c r="F296" s="9">
        <f t="shared" si="35"/>
        <v>269.03036738143737</v>
      </c>
      <c r="G296" s="9">
        <f t="shared" si="35"/>
        <v>820.41112456529584</v>
      </c>
      <c r="H296" s="9">
        <f t="shared" si="35"/>
        <v>1574.4733648700003</v>
      </c>
      <c r="I296" s="9">
        <f t="shared" si="35"/>
        <v>3535.888178539316</v>
      </c>
      <c r="J296" s="9">
        <f t="shared" si="35"/>
        <v>5242.5646495180799</v>
      </c>
      <c r="K296" s="9">
        <f t="shared" si="35"/>
        <v>7973.4686894211736</v>
      </c>
      <c r="L296" s="9">
        <f t="shared" si="35"/>
        <v>12419.546509883119</v>
      </c>
      <c r="M296" s="9">
        <f>M293-M295</f>
        <v>19219.939173368221</v>
      </c>
    </row>
    <row r="297" spans="2:13"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</row>
    <row r="298" spans="2:13">
      <c r="B298" s="134" t="s">
        <v>116</v>
      </c>
      <c r="C298" s="9"/>
      <c r="D298" s="9">
        <f>D206*D227</f>
        <v>674.52345000000014</v>
      </c>
      <c r="E298" s="9">
        <f t="shared" ref="E298:M298" si="36">E206*E227</f>
        <v>978.05900249999968</v>
      </c>
      <c r="F298" s="9">
        <f t="shared" si="36"/>
        <v>1418.1855536249996</v>
      </c>
      <c r="G298" s="9">
        <f t="shared" si="36"/>
        <v>2056.3690527562499</v>
      </c>
      <c r="H298" s="9">
        <f t="shared" si="36"/>
        <v>2981.7351264965619</v>
      </c>
      <c r="I298" s="9">
        <f t="shared" si="36"/>
        <v>4323.5159334200143</v>
      </c>
      <c r="J298" s="9">
        <f t="shared" si="36"/>
        <v>6269.0981034590204</v>
      </c>
      <c r="K298" s="9">
        <f t="shared" si="36"/>
        <v>9090.1922500155815</v>
      </c>
      <c r="L298" s="9">
        <f t="shared" si="36"/>
        <v>13180.77876252259</v>
      </c>
      <c r="M298" s="9">
        <f t="shared" si="36"/>
        <v>19112.129205657762</v>
      </c>
    </row>
    <row r="299" spans="2:13">
      <c r="B299" s="134" t="s">
        <v>117</v>
      </c>
      <c r="C299" s="9"/>
      <c r="D299" s="9">
        <v>0</v>
      </c>
      <c r="E299" s="9">
        <v>0</v>
      </c>
      <c r="F299" s="9">
        <v>0</v>
      </c>
      <c r="G299" s="9">
        <v>0</v>
      </c>
      <c r="H299" s="9">
        <v>0</v>
      </c>
      <c r="I299" s="9">
        <v>0</v>
      </c>
      <c r="J299" s="9">
        <v>0</v>
      </c>
      <c r="K299" s="9">
        <v>0</v>
      </c>
      <c r="L299" s="9">
        <v>0</v>
      </c>
      <c r="M299" s="9">
        <v>0</v>
      </c>
    </row>
    <row r="300" spans="2:13">
      <c r="B300" s="134" t="s">
        <v>118</v>
      </c>
      <c r="C300" s="9"/>
      <c r="D300" s="9">
        <f t="shared" ref="D300:M300" si="37">D296-D298-D299</f>
        <v>-533.1654221442875</v>
      </c>
      <c r="E300" s="9">
        <f t="shared" si="37"/>
        <v>-749.66238234417847</v>
      </c>
      <c r="F300" s="9">
        <f t="shared" si="37"/>
        <v>-1149.1551862435622</v>
      </c>
      <c r="G300" s="9">
        <f t="shared" si="37"/>
        <v>-1235.9579281909541</v>
      </c>
      <c r="H300" s="9">
        <f t="shared" si="37"/>
        <v>-1407.2617616265616</v>
      </c>
      <c r="I300" s="9">
        <f t="shared" si="37"/>
        <v>-787.62775488069838</v>
      </c>
      <c r="J300" s="9">
        <f t="shared" si="37"/>
        <v>-1026.5334539409405</v>
      </c>
      <c r="K300" s="9">
        <f t="shared" si="37"/>
        <v>-1116.7235605944079</v>
      </c>
      <c r="L300" s="9">
        <f t="shared" si="37"/>
        <v>-761.23225263947097</v>
      </c>
      <c r="M300" s="9">
        <f t="shared" si="37"/>
        <v>107.8099677104583</v>
      </c>
    </row>
    <row r="301" spans="2:13">
      <c r="B301" s="134" t="s">
        <v>119</v>
      </c>
      <c r="C301" s="9"/>
      <c r="D301" s="133">
        <f>(D300/(1+$D$245)^D288)</f>
        <v>-461.72341921289535</v>
      </c>
      <c r="E301" s="133">
        <f t="shared" ref="E301:M301" si="38">(E300/(1+$D$245)^E288)</f>
        <v>-562.21907071809585</v>
      </c>
      <c r="F301" s="133">
        <f t="shared" si="38"/>
        <v>-746.34299809667823</v>
      </c>
      <c r="G301" s="133">
        <f t="shared" si="38"/>
        <v>-695.15779372306315</v>
      </c>
      <c r="H301" s="133">
        <f t="shared" si="38"/>
        <v>-685.44801443493645</v>
      </c>
      <c r="I301" s="133">
        <f t="shared" si="38"/>
        <v>-332.23132206675587</v>
      </c>
      <c r="J301" s="133">
        <f t="shared" si="38"/>
        <v>-374.98387886947199</v>
      </c>
      <c r="K301" s="133">
        <f t="shared" si="38"/>
        <v>-353.26864778420259</v>
      </c>
      <c r="L301" s="133">
        <f t="shared" si="38"/>
        <v>-208.54343598896503</v>
      </c>
      <c r="M301" s="133">
        <f t="shared" si="38"/>
        <v>25.577505529565887</v>
      </c>
    </row>
    <row r="302" spans="2:13">
      <c r="B302" s="134" t="s">
        <v>120</v>
      </c>
      <c r="C302" s="9">
        <f>SUM(D301:M301)</f>
        <v>-4394.3410753654989</v>
      </c>
    </row>
    <row r="303" spans="2:13">
      <c r="B303" s="134" t="s">
        <v>121</v>
      </c>
      <c r="C303" s="9">
        <f>M300/D245</f>
        <v>696.76639615365116</v>
      </c>
    </row>
    <row r="304" spans="2:13">
      <c r="B304" s="134" t="s">
        <v>122</v>
      </c>
      <c r="C304" s="9">
        <f>C303/(1+D245)^M288</f>
        <v>165.30518215438531</v>
      </c>
    </row>
    <row r="305" spans="2:13">
      <c r="C305" s="9"/>
    </row>
    <row r="306" spans="2:13">
      <c r="B306" s="134" t="s">
        <v>125</v>
      </c>
      <c r="C306" s="9">
        <f>C302+C304</f>
        <v>-4229.0358932111139</v>
      </c>
    </row>
    <row r="308" spans="2:13">
      <c r="D308" s="242">
        <v>1</v>
      </c>
      <c r="E308" s="242">
        <v>2</v>
      </c>
      <c r="F308" s="242">
        <v>3</v>
      </c>
      <c r="G308" s="242">
        <v>4</v>
      </c>
      <c r="H308" s="242">
        <v>5</v>
      </c>
      <c r="I308" s="242">
        <v>6</v>
      </c>
      <c r="J308" s="242">
        <v>7</v>
      </c>
      <c r="K308" s="242">
        <v>8</v>
      </c>
      <c r="L308" s="242">
        <v>9</v>
      </c>
      <c r="M308" s="242">
        <v>10</v>
      </c>
    </row>
    <row r="309" spans="2:13">
      <c r="B309" s="151" t="s">
        <v>126</v>
      </c>
      <c r="C309" s="152"/>
      <c r="D309" s="152">
        <v>2021</v>
      </c>
      <c r="E309" s="152">
        <v>2022</v>
      </c>
      <c r="F309" s="152">
        <v>2023</v>
      </c>
      <c r="G309" s="152">
        <v>2024</v>
      </c>
      <c r="H309" s="152">
        <v>2025</v>
      </c>
      <c r="I309" s="152">
        <v>2026</v>
      </c>
      <c r="J309" s="152">
        <v>2027</v>
      </c>
      <c r="K309" s="152">
        <v>2028</v>
      </c>
      <c r="L309" s="152">
        <v>2029</v>
      </c>
      <c r="M309" s="152">
        <v>2030</v>
      </c>
    </row>
    <row r="311" spans="2:13">
      <c r="B311" s="134" t="s">
        <v>6</v>
      </c>
      <c r="C311" s="9"/>
      <c r="D311" s="9">
        <f>D140</f>
        <v>0</v>
      </c>
      <c r="E311" s="9">
        <f>E140</f>
        <v>731.25</v>
      </c>
      <c r="F311" s="9">
        <f>F140</f>
        <v>1119.6077063549828</v>
      </c>
      <c r="G311" s="9">
        <f>G140</f>
        <v>1741.4494765253255</v>
      </c>
      <c r="H311" s="9">
        <f>H140</f>
        <v>2753.3038629373164</v>
      </c>
      <c r="I311" s="9">
        <f>I140</f>
        <v>4427.4973497176397</v>
      </c>
      <c r="J311" s="9">
        <f>J140</f>
        <v>7245.9566226251836</v>
      </c>
      <c r="K311" s="9">
        <f>K140</f>
        <v>12076.715468956241</v>
      </c>
      <c r="L311" s="9">
        <f>L140</f>
        <v>20512.117879340301</v>
      </c>
      <c r="M311" s="9">
        <f>M140</f>
        <v>35529.120321368391</v>
      </c>
    </row>
    <row r="312" spans="2:13">
      <c r="B312" s="134" t="s">
        <v>112</v>
      </c>
      <c r="C312" s="9"/>
      <c r="D312" s="9">
        <f>D159*D220</f>
        <v>0</v>
      </c>
      <c r="E312" s="9">
        <f>E159*E220</f>
        <v>318.45800976171222</v>
      </c>
      <c r="F312" s="9">
        <f>F159*F220</f>
        <v>650.97693264244094</v>
      </c>
      <c r="G312" s="9">
        <f>G159*G220</f>
        <v>1007.8901718668</v>
      </c>
      <c r="H312" s="9">
        <f>H159*H220</f>
        <v>1311.538159041751</v>
      </c>
      <c r="I312" s="9">
        <f>I159*I220</f>
        <v>2042.0587255911603</v>
      </c>
      <c r="J312" s="9">
        <f>J159*J220</f>
        <v>3234.2413368211928</v>
      </c>
      <c r="K312" s="9">
        <f>K159*K220</f>
        <v>5031.1915079614064</v>
      </c>
      <c r="L312" s="9">
        <f>L159*L220</f>
        <v>7627.5342752377001</v>
      </c>
      <c r="M312" s="9">
        <f>M159*M220</f>
        <v>11609.809108823189</v>
      </c>
    </row>
    <row r="313" spans="2:13">
      <c r="B313" s="134" t="s">
        <v>113</v>
      </c>
      <c r="C313" s="9"/>
      <c r="D313" s="9">
        <f>D311-D312</f>
        <v>0</v>
      </c>
      <c r="E313" s="9">
        <f t="shared" ref="E313:L313" si="39">E311-E312</f>
        <v>412.79199023828778</v>
      </c>
      <c r="F313" s="9">
        <f t="shared" si="39"/>
        <v>468.6307737125419</v>
      </c>
      <c r="G313" s="9">
        <f t="shared" si="39"/>
        <v>733.55930465852555</v>
      </c>
      <c r="H313" s="9">
        <f t="shared" si="39"/>
        <v>1441.7657038955654</v>
      </c>
      <c r="I313" s="9">
        <f t="shared" si="39"/>
        <v>2385.4386241264792</v>
      </c>
      <c r="J313" s="9">
        <f t="shared" si="39"/>
        <v>4011.7152858039908</v>
      </c>
      <c r="K313" s="9">
        <f t="shared" si="39"/>
        <v>7045.5239609948349</v>
      </c>
      <c r="L313" s="9">
        <f t="shared" si="39"/>
        <v>12884.583604102601</v>
      </c>
      <c r="M313" s="9">
        <f>M311-M312</f>
        <v>23919.311212545203</v>
      </c>
    </row>
    <row r="314" spans="2:13"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</row>
    <row r="315" spans="2:13">
      <c r="B315" s="134" t="s">
        <v>114</v>
      </c>
      <c r="C315" s="9"/>
      <c r="D315" s="9">
        <f>(D162-D181)*D220</f>
        <v>0</v>
      </c>
      <c r="E315" s="9">
        <f>(E162-E181)*E220</f>
        <v>95.927664019813548</v>
      </c>
      <c r="F315" s="9">
        <f>(F162-F181)*F220</f>
        <v>83.217633539456145</v>
      </c>
      <c r="G315" s="9">
        <f>(G162-G181)*G220</f>
        <v>112.62668974658013</v>
      </c>
      <c r="H315" s="9">
        <f>(H162-H181)*H220</f>
        <v>155.71850977710471</v>
      </c>
      <c r="I315" s="9">
        <f>(I162-I181)*I220</f>
        <v>265.07109224782323</v>
      </c>
      <c r="J315" s="9">
        <f>(J162-J181)*J220</f>
        <v>480.4352312528797</v>
      </c>
      <c r="K315" s="9">
        <f>(K162-K181)*K220</f>
        <v>892.58357838945847</v>
      </c>
      <c r="L315" s="9">
        <f>(L162-L181)*L220</f>
        <v>1683.8666052985866</v>
      </c>
      <c r="M315" s="9">
        <f>(M162-M181)*M220</f>
        <v>3245.6550824074257</v>
      </c>
    </row>
    <row r="316" spans="2:13">
      <c r="B316" s="134" t="s">
        <v>115</v>
      </c>
      <c r="C316" s="9"/>
      <c r="D316" s="9">
        <f t="shared" ref="D316:M316" si="40">D181*D220</f>
        <v>0</v>
      </c>
      <c r="E316" s="9">
        <f t="shared" si="40"/>
        <v>316.86432621847422</v>
      </c>
      <c r="F316" s="9">
        <f t="shared" si="40"/>
        <v>385.41314017308571</v>
      </c>
      <c r="G316" s="9">
        <f t="shared" si="40"/>
        <v>620.93261491194551</v>
      </c>
      <c r="H316" s="9">
        <f t="shared" si="40"/>
        <v>1286.0471941184608</v>
      </c>
      <c r="I316" s="9">
        <f t="shared" si="40"/>
        <v>2120.3675318786563</v>
      </c>
      <c r="J316" s="9">
        <f t="shared" si="40"/>
        <v>3531.2800545511104</v>
      </c>
      <c r="K316" s="9">
        <f t="shared" si="40"/>
        <v>6152.9403826053758</v>
      </c>
      <c r="L316" s="9">
        <f t="shared" si="40"/>
        <v>11200.716998804013</v>
      </c>
      <c r="M316" s="9">
        <f t="shared" si="40"/>
        <v>20673.656130137777</v>
      </c>
    </row>
    <row r="317" spans="2:13"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</row>
    <row r="318" spans="2:13">
      <c r="B318" s="134" t="s">
        <v>116</v>
      </c>
      <c r="C318" s="9"/>
      <c r="D318" s="9">
        <f t="shared" ref="D318:M318" si="41">D199*D228</f>
        <v>0</v>
      </c>
      <c r="E318" s="9">
        <f t="shared" si="41"/>
        <v>0</v>
      </c>
      <c r="F318" s="9">
        <f t="shared" si="41"/>
        <v>0</v>
      </c>
      <c r="G318" s="9">
        <f t="shared" si="41"/>
        <v>0</v>
      </c>
      <c r="H318" s="9">
        <f t="shared" si="41"/>
        <v>0</v>
      </c>
      <c r="I318" s="9">
        <f t="shared" si="41"/>
        <v>0</v>
      </c>
      <c r="J318" s="9">
        <f t="shared" si="41"/>
        <v>0</v>
      </c>
      <c r="K318" s="9">
        <f t="shared" si="41"/>
        <v>0</v>
      </c>
      <c r="L318" s="9">
        <f t="shared" si="41"/>
        <v>0</v>
      </c>
      <c r="M318" s="9">
        <f t="shared" si="41"/>
        <v>0</v>
      </c>
    </row>
    <row r="319" spans="2:13">
      <c r="B319" s="134" t="s">
        <v>117</v>
      </c>
      <c r="C319" s="9"/>
      <c r="D319" s="9">
        <v>0</v>
      </c>
      <c r="E319" s="9">
        <v>0</v>
      </c>
      <c r="F319" s="9">
        <v>0</v>
      </c>
      <c r="G319" s="9">
        <v>0</v>
      </c>
      <c r="H319" s="9">
        <v>0</v>
      </c>
      <c r="I319" s="9">
        <v>0</v>
      </c>
      <c r="J319" s="9">
        <v>0</v>
      </c>
      <c r="K319" s="9">
        <v>0</v>
      </c>
      <c r="L319" s="9">
        <v>0</v>
      </c>
      <c r="M319" s="9">
        <v>0</v>
      </c>
    </row>
    <row r="320" spans="2:13">
      <c r="B320" s="134" t="s">
        <v>118</v>
      </c>
      <c r="C320" s="9"/>
      <c r="D320" s="9">
        <v>0</v>
      </c>
      <c r="E320" s="9">
        <f>E316-E318-E319</f>
        <v>316.86432621847422</v>
      </c>
      <c r="F320" s="9">
        <f>F316-F318-F319</f>
        <v>385.41314017308571</v>
      </c>
      <c r="G320" s="9">
        <f t="shared" ref="G320:M320" si="42">G316-G318-G319</f>
        <v>620.93261491194551</v>
      </c>
      <c r="H320" s="9">
        <f t="shared" si="42"/>
        <v>1286.0471941184608</v>
      </c>
      <c r="I320" s="9">
        <f t="shared" si="42"/>
        <v>2120.3675318786563</v>
      </c>
      <c r="J320" s="9">
        <f t="shared" si="42"/>
        <v>3531.2800545511104</v>
      </c>
      <c r="K320" s="9">
        <f t="shared" si="42"/>
        <v>6152.9403826053758</v>
      </c>
      <c r="L320" s="9">
        <f t="shared" si="42"/>
        <v>11200.716998804013</v>
      </c>
      <c r="M320" s="9">
        <f t="shared" si="42"/>
        <v>20673.656130137777</v>
      </c>
    </row>
    <row r="321" spans="2:13">
      <c r="B321" s="134" t="s">
        <v>119</v>
      </c>
      <c r="C321" s="9"/>
      <c r="D321" s="133">
        <f>(D320/(1+$D$246)^D308)</f>
        <v>0</v>
      </c>
      <c r="E321" s="133">
        <f t="shared" ref="E321:M321" si="43">(E320/(1+$D$246)^E308)</f>
        <v>235.81468103621154</v>
      </c>
      <c r="F321" s="133">
        <f t="shared" si="43"/>
        <v>247.4416227394309</v>
      </c>
      <c r="G321" s="133">
        <f t="shared" si="43"/>
        <v>343.90576480811677</v>
      </c>
      <c r="H321" s="133">
        <f t="shared" si="43"/>
        <v>614.46993148124386</v>
      </c>
      <c r="I321" s="133">
        <f t="shared" si="43"/>
        <v>873.98427987365733</v>
      </c>
      <c r="J321" s="133">
        <f t="shared" si="43"/>
        <v>1255.6638262606996</v>
      </c>
      <c r="K321" s="133">
        <f t="shared" si="43"/>
        <v>1887.4379139833563</v>
      </c>
      <c r="L321" s="133">
        <f t="shared" si="43"/>
        <v>2964.0432601517709</v>
      </c>
      <c r="M321" s="133">
        <f t="shared" si="43"/>
        <v>4719.5951673404043</v>
      </c>
    </row>
    <row r="322" spans="2:13">
      <c r="B322" s="134" t="s">
        <v>120</v>
      </c>
      <c r="C322" s="9">
        <f>SUM(D321:M321)</f>
        <v>13142.356447674891</v>
      </c>
    </row>
    <row r="323" spans="2:13">
      <c r="B323" s="134" t="s">
        <v>384</v>
      </c>
      <c r="C323" s="21">
        <v>0.02</v>
      </c>
    </row>
    <row r="324" spans="2:13">
      <c r="B324" s="134" t="s">
        <v>121</v>
      </c>
      <c r="C324" s="4">
        <f>M320/(D246-C323)</f>
        <v>148537.9191853613</v>
      </c>
    </row>
    <row r="325" spans="2:13">
      <c r="B325" s="134" t="s">
        <v>122</v>
      </c>
      <c r="C325" s="9">
        <f>C324/(1+D246)^M308</f>
        <v>33909.766184611428</v>
      </c>
    </row>
    <row r="326" spans="2:13">
      <c r="C326" s="9"/>
    </row>
    <row r="327" spans="2:13">
      <c r="B327" s="134" t="s">
        <v>127</v>
      </c>
      <c r="C327" s="9">
        <f>C325+C322</f>
        <v>47052.122632286322</v>
      </c>
    </row>
    <row r="329" spans="2:13">
      <c r="D329" s="242">
        <v>1</v>
      </c>
      <c r="E329" s="242">
        <v>2</v>
      </c>
      <c r="F329" s="242">
        <v>3</v>
      </c>
      <c r="G329" s="242">
        <v>4</v>
      </c>
      <c r="H329" s="242">
        <v>5</v>
      </c>
      <c r="I329" s="242">
        <v>6</v>
      </c>
      <c r="J329" s="242">
        <v>7</v>
      </c>
      <c r="K329" s="242">
        <v>8</v>
      </c>
      <c r="L329" s="242">
        <v>9</v>
      </c>
      <c r="M329" s="242">
        <v>10</v>
      </c>
    </row>
    <row r="330" spans="2:13">
      <c r="B330" s="151" t="s">
        <v>386</v>
      </c>
      <c r="C330" s="152"/>
      <c r="D330" s="152">
        <v>2021</v>
      </c>
      <c r="E330" s="152">
        <v>2022</v>
      </c>
      <c r="F330" s="152">
        <v>2023</v>
      </c>
      <c r="G330" s="152">
        <v>2024</v>
      </c>
      <c r="H330" s="152">
        <v>2025</v>
      </c>
      <c r="I330" s="152">
        <v>2026</v>
      </c>
      <c r="J330" s="152">
        <v>2027</v>
      </c>
      <c r="K330" s="152">
        <v>2028</v>
      </c>
      <c r="L330" s="152">
        <v>2029</v>
      </c>
      <c r="M330" s="152">
        <v>2030</v>
      </c>
    </row>
    <row r="332" spans="2:13">
      <c r="B332" s="134" t="s">
        <v>6</v>
      </c>
      <c r="C332" s="10"/>
      <c r="D332" s="4">
        <f>D145</f>
        <v>0</v>
      </c>
      <c r="E332" s="4">
        <f>E145</f>
        <v>7000</v>
      </c>
      <c r="F332" s="4">
        <f>F145</f>
        <v>3717.6122317741942</v>
      </c>
      <c r="G332" s="4">
        <f>G145</f>
        <v>5952.6733554767852</v>
      </c>
      <c r="H332" s="4">
        <f>H145</f>
        <v>9686.1274596703352</v>
      </c>
      <c r="I332" s="4">
        <f>I145</f>
        <v>16026.467565760362</v>
      </c>
      <c r="J332" s="4">
        <f>J145</f>
        <v>26980.122954328624</v>
      </c>
      <c r="K332" s="4">
        <f>K145</f>
        <v>46243.161605904126</v>
      </c>
      <c r="L332" s="4">
        <f>L145</f>
        <v>80749.151278890131</v>
      </c>
      <c r="M332" s="4">
        <f>M145</f>
        <v>143752.50200915779</v>
      </c>
    </row>
    <row r="333" spans="2:13">
      <c r="B333" s="134" t="s">
        <v>112</v>
      </c>
      <c r="C333" s="10"/>
      <c r="D333" s="4">
        <f>D162*D221</f>
        <v>0</v>
      </c>
      <c r="E333" s="4">
        <f>E159*E221</f>
        <v>3048.4869310522881</v>
      </c>
      <c r="F333" s="4">
        <f>F159*F221</f>
        <v>2161.5426489633983</v>
      </c>
      <c r="G333" s="4">
        <f>G159*G221</f>
        <v>3445.1995605921138</v>
      </c>
      <c r="H333" s="4">
        <f>H159*H221</f>
        <v>4613.9933727282196</v>
      </c>
      <c r="I333" s="4">
        <f>I159*I221</f>
        <v>7391.7577692399545</v>
      </c>
      <c r="J333" s="4">
        <f>J159*J221</f>
        <v>12042.60989624775</v>
      </c>
      <c r="K333" s="4">
        <f>K159*K221</f>
        <v>19265.023057881139</v>
      </c>
      <c r="L333" s="4">
        <f>L159*L221</f>
        <v>30026.978330523198</v>
      </c>
      <c r="M333" s="4">
        <f>M159*M221</f>
        <v>46973.837014430348</v>
      </c>
    </row>
    <row r="334" spans="2:13">
      <c r="B334" s="134" t="s">
        <v>113</v>
      </c>
      <c r="C334" s="10"/>
      <c r="D334" s="4">
        <f>D332-D333</f>
        <v>0</v>
      </c>
      <c r="E334" s="4">
        <f t="shared" ref="E334:M334" si="44">E332-E333</f>
        <v>3951.5130689477119</v>
      </c>
      <c r="F334" s="4">
        <f t="shared" si="44"/>
        <v>1556.069582810796</v>
      </c>
      <c r="G334" s="4">
        <f t="shared" si="44"/>
        <v>2507.4737948846714</v>
      </c>
      <c r="H334" s="4">
        <f t="shared" si="44"/>
        <v>5072.1340869421156</v>
      </c>
      <c r="I334" s="4">
        <f t="shared" si="44"/>
        <v>8634.7097965204084</v>
      </c>
      <c r="J334" s="4">
        <f t="shared" si="44"/>
        <v>14937.513058080875</v>
      </c>
      <c r="K334" s="4">
        <f t="shared" si="44"/>
        <v>26978.138548022987</v>
      </c>
      <c r="L334" s="4">
        <f t="shared" si="44"/>
        <v>50722.172948366933</v>
      </c>
      <c r="M334" s="4">
        <f t="shared" si="44"/>
        <v>96778.664994727442</v>
      </c>
    </row>
    <row r="335" spans="2:13">
      <c r="C335" s="10"/>
      <c r="D335" s="4"/>
      <c r="E335" s="4"/>
      <c r="F335" s="4"/>
      <c r="G335" s="4"/>
      <c r="H335" s="4"/>
      <c r="I335" s="4"/>
      <c r="J335" s="4"/>
      <c r="K335" s="4"/>
      <c r="L335" s="4"/>
      <c r="M335" s="4"/>
    </row>
    <row r="336" spans="2:13">
      <c r="B336" s="134" t="s">
        <v>114</v>
      </c>
      <c r="C336" s="10"/>
      <c r="D336" s="4">
        <v>0</v>
      </c>
      <c r="E336" s="4">
        <f>(E162-E181)*E221</f>
        <v>918.28191198453987</v>
      </c>
      <c r="F336" s="4">
        <f>(F162-F181)*F221</f>
        <v>276.32079574798445</v>
      </c>
      <c r="G336" s="4">
        <f>(G162-G181)*G221</f>
        <v>384.98383341428399</v>
      </c>
      <c r="H336" s="4">
        <f>(H162-H181)*H221</f>
        <v>547.81797019739133</v>
      </c>
      <c r="I336" s="4">
        <f>(I162-I181)*I221</f>
        <v>959.49312376241949</v>
      </c>
      <c r="J336" s="4">
        <f>(J162-J181)*J221</f>
        <v>1788.8875528622532</v>
      </c>
      <c r="K336" s="4">
        <f>(K162-K181)*K221</f>
        <v>3417.8073308377188</v>
      </c>
      <c r="L336" s="4">
        <f>(L162-L181)*L221</f>
        <v>6628.8035221207383</v>
      </c>
      <c r="M336" s="4">
        <f>(M162-M181)*M221</f>
        <v>13132.074043336092</v>
      </c>
    </row>
    <row r="337" spans="2:13">
      <c r="B337" s="134" t="s">
        <v>115</v>
      </c>
      <c r="C337" s="10"/>
      <c r="D337" s="4">
        <v>0</v>
      </c>
      <c r="E337" s="4">
        <f>E334-E336</f>
        <v>3033.231156963172</v>
      </c>
      <c r="F337" s="4">
        <f t="shared" ref="F337:M337" si="45">F334-F336</f>
        <v>1279.7487870628115</v>
      </c>
      <c r="G337" s="4">
        <f t="shared" si="45"/>
        <v>2122.4899614703872</v>
      </c>
      <c r="H337" s="4">
        <f t="shared" si="45"/>
        <v>4524.3161167447242</v>
      </c>
      <c r="I337" s="4">
        <f t="shared" si="45"/>
        <v>7675.2166727579888</v>
      </c>
      <c r="J337" s="4">
        <f t="shared" si="45"/>
        <v>13148.625505218621</v>
      </c>
      <c r="K337" s="4">
        <f t="shared" si="45"/>
        <v>23560.331217185267</v>
      </c>
      <c r="L337" s="4">
        <f t="shared" si="45"/>
        <v>44093.369426246194</v>
      </c>
      <c r="M337" s="4">
        <f t="shared" si="45"/>
        <v>83646.59095139135</v>
      </c>
    </row>
    <row r="338" spans="2:13">
      <c r="C338" s="10"/>
      <c r="D338" s="4"/>
      <c r="E338" s="4"/>
      <c r="F338" s="4"/>
      <c r="G338" s="4"/>
      <c r="H338" s="4"/>
      <c r="I338" s="4"/>
      <c r="J338" s="4"/>
      <c r="K338" s="4"/>
      <c r="L338" s="4"/>
      <c r="M338" s="4"/>
    </row>
    <row r="339" spans="2:13">
      <c r="B339" s="134" t="s">
        <v>116</v>
      </c>
      <c r="C339" s="10"/>
      <c r="D339" s="4">
        <v>0</v>
      </c>
      <c r="E339" s="4">
        <v>0</v>
      </c>
      <c r="F339" s="4">
        <v>0</v>
      </c>
      <c r="G339" s="4">
        <v>0</v>
      </c>
      <c r="H339" s="4">
        <v>0</v>
      </c>
      <c r="I339" s="4">
        <v>0</v>
      </c>
      <c r="J339" s="4">
        <v>0</v>
      </c>
      <c r="K339" s="4">
        <v>0</v>
      </c>
      <c r="L339" s="4">
        <v>0</v>
      </c>
      <c r="M339" s="4">
        <v>0</v>
      </c>
    </row>
    <row r="340" spans="2:13">
      <c r="B340" s="134" t="s">
        <v>117</v>
      </c>
      <c r="C340" s="10"/>
      <c r="D340" s="4">
        <v>0</v>
      </c>
      <c r="E340" s="4">
        <v>0</v>
      </c>
      <c r="F340" s="4">
        <v>0</v>
      </c>
      <c r="G340" s="4">
        <v>0</v>
      </c>
      <c r="H340" s="4">
        <v>0</v>
      </c>
      <c r="I340" s="4">
        <v>0</v>
      </c>
      <c r="J340" s="4">
        <v>0</v>
      </c>
      <c r="K340" s="4">
        <v>0</v>
      </c>
      <c r="L340" s="4">
        <v>0</v>
      </c>
      <c r="M340" s="4">
        <v>0</v>
      </c>
    </row>
    <row r="341" spans="2:13">
      <c r="B341" s="134" t="s">
        <v>118</v>
      </c>
      <c r="C341" s="10"/>
      <c r="D341" s="9">
        <f t="shared" ref="D341:M341" si="46">D337-D339-D340</f>
        <v>0</v>
      </c>
      <c r="E341" s="9">
        <f t="shared" si="46"/>
        <v>3033.231156963172</v>
      </c>
      <c r="F341" s="9">
        <f t="shared" si="46"/>
        <v>1279.7487870628115</v>
      </c>
      <c r="G341" s="9">
        <f t="shared" si="46"/>
        <v>2122.4899614703872</v>
      </c>
      <c r="H341" s="9">
        <f t="shared" si="46"/>
        <v>4524.3161167447242</v>
      </c>
      <c r="I341" s="9">
        <f t="shared" si="46"/>
        <v>7675.2166727579888</v>
      </c>
      <c r="J341" s="9">
        <f t="shared" si="46"/>
        <v>13148.625505218621</v>
      </c>
      <c r="K341" s="9">
        <f t="shared" si="46"/>
        <v>23560.331217185267</v>
      </c>
      <c r="L341" s="9">
        <f t="shared" si="46"/>
        <v>44093.369426246194</v>
      </c>
      <c r="M341" s="9">
        <f t="shared" si="46"/>
        <v>83646.59095139135</v>
      </c>
    </row>
    <row r="342" spans="2:13">
      <c r="B342" s="134" t="s">
        <v>119</v>
      </c>
      <c r="C342" s="10"/>
      <c r="D342" s="133">
        <f t="shared" ref="D342:M342" si="47">(D341/(1+$D$246)^D329)</f>
        <v>0</v>
      </c>
      <c r="E342" s="133">
        <f t="shared" si="47"/>
        <v>2257.3713056457855</v>
      </c>
      <c r="F342" s="133">
        <f t="shared" si="47"/>
        <v>821.61992823449089</v>
      </c>
      <c r="G342" s="133">
        <f t="shared" si="47"/>
        <v>1175.5487084545175</v>
      </c>
      <c r="H342" s="133">
        <f t="shared" si="47"/>
        <v>2161.706216513498</v>
      </c>
      <c r="I342" s="133">
        <f t="shared" si="47"/>
        <v>3163.6113153795277</v>
      </c>
      <c r="J342" s="133">
        <f t="shared" si="47"/>
        <v>4675.4302000696425</v>
      </c>
      <c r="K342" s="133">
        <f t="shared" si="47"/>
        <v>7227.2213998750767</v>
      </c>
      <c r="L342" s="133">
        <f t="shared" si="47"/>
        <v>11668.418591345755</v>
      </c>
      <c r="M342" s="133">
        <f t="shared" si="47"/>
        <v>19095.705371783952</v>
      </c>
    </row>
    <row r="343" spans="2:13">
      <c r="B343" s="134" t="s">
        <v>120</v>
      </c>
      <c r="C343" s="9">
        <f>SUM(D342:M342)</f>
        <v>52246.633037302243</v>
      </c>
    </row>
    <row r="344" spans="2:13">
      <c r="B344" s="134" t="s">
        <v>384</v>
      </c>
      <c r="C344" s="21">
        <v>0.02</v>
      </c>
    </row>
    <row r="345" spans="2:13">
      <c r="B345" s="134" t="s">
        <v>121</v>
      </c>
      <c r="C345" s="4">
        <f>M341/(D246-C344)</f>
        <v>600991.4496331492</v>
      </c>
    </row>
    <row r="346" spans="2:13">
      <c r="B346" s="134" t="s">
        <v>122</v>
      </c>
      <c r="C346" s="9">
        <f>C345/(1+D246)^M329</f>
        <v>137200.51854623799</v>
      </c>
    </row>
    <row r="347" spans="2:13">
      <c r="C347" s="4"/>
    </row>
    <row r="348" spans="2:13">
      <c r="B348" s="134" t="s">
        <v>387</v>
      </c>
      <c r="C348" s="4">
        <f>C346+C343</f>
        <v>189447.15158354022</v>
      </c>
    </row>
    <row r="349" spans="2:13">
      <c r="C349" s="4"/>
    </row>
    <row r="350" spans="2:13">
      <c r="B350" s="134" t="s">
        <v>128</v>
      </c>
      <c r="C350" s="241">
        <f>C348+C327+C306+C266+C286</f>
        <v>638273.00293370034</v>
      </c>
    </row>
    <row r="351" spans="2:13">
      <c r="B351" s="134" t="s">
        <v>402</v>
      </c>
      <c r="C351" s="240">
        <v>959.85</v>
      </c>
    </row>
    <row r="352" spans="2:13">
      <c r="B352" s="134" t="s">
        <v>334</v>
      </c>
      <c r="C352" s="241">
        <f>C350/C351</f>
        <v>664.97161320383429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B2:AB143"/>
  <sheetViews>
    <sheetView tabSelected="1" topLeftCell="A106" zoomScale="70" zoomScaleNormal="70" workbookViewId="0">
      <selection activeCell="D109" sqref="D109:W109"/>
    </sheetView>
  </sheetViews>
  <sheetFormatPr baseColWidth="10" defaultRowHeight="18" outlineLevelRow="1"/>
  <cols>
    <col min="1" max="1" width="11.42578125" style="138"/>
    <col min="2" max="2" width="16.140625" style="138" customWidth="1"/>
    <col min="3" max="3" width="18.28515625" style="138" customWidth="1"/>
    <col min="4" max="4" width="12.140625" style="138" customWidth="1"/>
    <col min="5" max="5" width="10.7109375" style="138" customWidth="1"/>
    <col min="6" max="6" width="12.85546875" style="138" customWidth="1"/>
    <col min="7" max="18" width="9.140625" style="138" customWidth="1"/>
    <col min="19" max="19" width="10.7109375" style="138" customWidth="1"/>
    <col min="20" max="20" width="9.140625" style="138" customWidth="1"/>
    <col min="21" max="27" width="10.7109375" style="138" customWidth="1"/>
    <col min="28" max="28" width="7.5703125" style="138" customWidth="1"/>
    <col min="29" max="16384" width="11.42578125" style="138"/>
  </cols>
  <sheetData>
    <row r="2" spans="2:14">
      <c r="B2" s="137" t="s">
        <v>163</v>
      </c>
    </row>
    <row r="4" spans="2:14">
      <c r="B4" s="137" t="s">
        <v>164</v>
      </c>
    </row>
    <row r="5" spans="2:14">
      <c r="B5" s="137" t="s">
        <v>165</v>
      </c>
    </row>
    <row r="9" spans="2:14">
      <c r="B9" s="156" t="s">
        <v>0</v>
      </c>
      <c r="C9" s="157"/>
      <c r="D9" s="158">
        <v>2021</v>
      </c>
      <c r="E9" s="158">
        <v>2022</v>
      </c>
      <c r="F9" s="158">
        <v>2023</v>
      </c>
      <c r="G9" s="158">
        <v>2024</v>
      </c>
      <c r="H9" s="158">
        <v>2025</v>
      </c>
      <c r="I9" s="158">
        <v>2026</v>
      </c>
      <c r="J9" s="158">
        <v>2027</v>
      </c>
      <c r="K9" s="158">
        <v>2028</v>
      </c>
      <c r="L9" s="158">
        <v>2029</v>
      </c>
      <c r="M9" s="158">
        <v>2030</v>
      </c>
    </row>
    <row r="10" spans="2:14">
      <c r="D10" s="159"/>
      <c r="E10" s="159"/>
      <c r="F10" s="159"/>
      <c r="G10" s="159"/>
      <c r="H10" s="159"/>
      <c r="I10" s="159"/>
      <c r="J10" s="159"/>
      <c r="K10" s="159"/>
      <c r="L10" s="159"/>
      <c r="M10" s="159"/>
    </row>
    <row r="11" spans="2:14" outlineLevel="1">
      <c r="B11" s="138" t="s">
        <v>28</v>
      </c>
      <c r="D11" s="160">
        <v>778006</v>
      </c>
      <c r="E11" s="160">
        <v>1072780</v>
      </c>
      <c r="F11" s="160">
        <v>1349069</v>
      </c>
      <c r="G11" s="160">
        <v>1628600</v>
      </c>
      <c r="H11" s="160">
        <v>1955877</v>
      </c>
      <c r="I11" s="160">
        <v>2396851</v>
      </c>
      <c r="J11" s="160">
        <v>2852017</v>
      </c>
      <c r="K11" s="160">
        <v>3109900</v>
      </c>
      <c r="L11" s="160">
        <v>3448831</v>
      </c>
      <c r="M11" s="160">
        <v>3801492</v>
      </c>
    </row>
    <row r="12" spans="2:14" outlineLevel="1">
      <c r="B12" s="138" t="s">
        <v>29</v>
      </c>
      <c r="D12" s="160">
        <v>51536</v>
      </c>
      <c r="E12" s="160">
        <v>52217</v>
      </c>
      <c r="F12" s="160">
        <v>53088</v>
      </c>
      <c r="G12" s="160">
        <v>54058</v>
      </c>
      <c r="H12" s="160">
        <v>53861</v>
      </c>
      <c r="I12" s="160">
        <v>53318</v>
      </c>
      <c r="J12" s="160">
        <v>52633</v>
      </c>
      <c r="K12" s="160">
        <v>52248</v>
      </c>
      <c r="L12" s="160">
        <v>52124</v>
      </c>
      <c r="M12" s="160">
        <v>52332</v>
      </c>
    </row>
    <row r="13" spans="2:14" outlineLevel="1">
      <c r="B13" s="138" t="s">
        <v>30</v>
      </c>
      <c r="D13" s="160">
        <v>41651</v>
      </c>
      <c r="E13" s="160">
        <v>57626</v>
      </c>
      <c r="F13" s="160">
        <v>73239</v>
      </c>
      <c r="G13" s="160">
        <v>89667</v>
      </c>
      <c r="H13" s="160">
        <v>106910</v>
      </c>
      <c r="I13" s="160">
        <v>128994</v>
      </c>
      <c r="J13" s="160">
        <v>150967</v>
      </c>
      <c r="K13" s="160">
        <v>163418</v>
      </c>
      <c r="L13" s="160">
        <v>180458</v>
      </c>
      <c r="M13" s="160">
        <v>199699</v>
      </c>
    </row>
    <row r="14" spans="2:14" outlineLevel="1">
      <c r="B14" s="138" t="s">
        <v>31</v>
      </c>
      <c r="D14" s="160">
        <v>11079</v>
      </c>
      <c r="E14" s="160">
        <v>15189</v>
      </c>
      <c r="F14" s="160">
        <v>19325</v>
      </c>
      <c r="G14" s="160">
        <v>23476</v>
      </c>
      <c r="H14" s="160">
        <v>27993</v>
      </c>
      <c r="I14" s="160">
        <v>32602</v>
      </c>
      <c r="J14" s="160">
        <v>36752</v>
      </c>
      <c r="K14" s="160">
        <v>39485</v>
      </c>
      <c r="L14" s="160">
        <v>42400</v>
      </c>
      <c r="M14" s="160">
        <v>45710</v>
      </c>
    </row>
    <row r="15" spans="2:14" outlineLevel="1">
      <c r="B15" s="138" t="s">
        <v>32</v>
      </c>
      <c r="D15" s="160">
        <v>2154</v>
      </c>
      <c r="E15" s="160">
        <v>4445</v>
      </c>
      <c r="F15" s="160">
        <v>5925</v>
      </c>
      <c r="G15" s="160">
        <v>7430</v>
      </c>
      <c r="H15" s="160">
        <v>9061</v>
      </c>
      <c r="I15" s="160">
        <v>10950</v>
      </c>
      <c r="J15" s="160">
        <v>12500</v>
      </c>
      <c r="K15" s="160">
        <v>13779</v>
      </c>
      <c r="L15" s="160">
        <v>14853</v>
      </c>
      <c r="M15" s="160">
        <v>15686</v>
      </c>
      <c r="N15" s="160"/>
    </row>
    <row r="16" spans="2:14" outlineLevel="1">
      <c r="B16" s="138" t="s">
        <v>33</v>
      </c>
      <c r="D16" s="160">
        <v>4445</v>
      </c>
      <c r="E16" s="160">
        <v>5925</v>
      </c>
      <c r="F16" s="160">
        <v>7430</v>
      </c>
      <c r="G16" s="160">
        <v>9061</v>
      </c>
      <c r="H16" s="160">
        <v>10950</v>
      </c>
      <c r="I16" s="160">
        <v>12500</v>
      </c>
      <c r="J16" s="160">
        <v>13779</v>
      </c>
      <c r="K16" s="160">
        <v>14853</v>
      </c>
      <c r="L16" s="160">
        <v>15686</v>
      </c>
      <c r="M16" s="160">
        <v>16711</v>
      </c>
      <c r="N16" s="160"/>
    </row>
    <row r="17" spans="2:14" ht="18.75" outlineLevel="1">
      <c r="B17" s="161" t="s">
        <v>16</v>
      </c>
      <c r="D17" s="160">
        <v>4308</v>
      </c>
      <c r="E17" s="160">
        <v>5350</v>
      </c>
      <c r="F17" s="160">
        <v>6392</v>
      </c>
      <c r="G17" s="160">
        <v>7671</v>
      </c>
      <c r="H17" s="160">
        <v>9117</v>
      </c>
      <c r="I17" s="160">
        <v>10745</v>
      </c>
      <c r="J17" s="160">
        <v>12125</v>
      </c>
      <c r="K17" s="160">
        <v>12943</v>
      </c>
      <c r="L17" s="160">
        <v>13994</v>
      </c>
      <c r="M17" s="160">
        <v>15356</v>
      </c>
      <c r="N17" s="160"/>
    </row>
    <row r="18" spans="2:14">
      <c r="B18" s="207" t="s">
        <v>8</v>
      </c>
      <c r="C18" s="207"/>
      <c r="D18" s="208">
        <v>2088</v>
      </c>
      <c r="E18" s="208">
        <v>4132</v>
      </c>
      <c r="F18" s="208">
        <v>6162</v>
      </c>
      <c r="G18" s="208">
        <v>7338</v>
      </c>
      <c r="H18" s="208">
        <v>8900</v>
      </c>
      <c r="I18" s="208">
        <v>9956</v>
      </c>
      <c r="J18" s="208">
        <v>11278</v>
      </c>
      <c r="K18" s="208">
        <v>12475</v>
      </c>
      <c r="L18" s="208">
        <v>13363</v>
      </c>
      <c r="M18" s="208">
        <v>14310</v>
      </c>
    </row>
    <row r="19" spans="2:14">
      <c r="D19" s="160"/>
      <c r="E19" s="160"/>
      <c r="F19" s="160"/>
      <c r="G19" s="160"/>
      <c r="H19" s="160"/>
      <c r="I19" s="160"/>
      <c r="J19" s="160"/>
      <c r="K19" s="160"/>
      <c r="L19" s="160"/>
      <c r="M19" s="160"/>
    </row>
    <row r="20" spans="2:14">
      <c r="B20" s="162" t="s">
        <v>106</v>
      </c>
      <c r="C20" s="163">
        <v>0.08</v>
      </c>
      <c r="D20" s="160"/>
      <c r="E20" s="160"/>
      <c r="F20" s="160"/>
      <c r="G20" s="160"/>
      <c r="H20" s="160"/>
      <c r="I20" s="160"/>
      <c r="J20" s="160"/>
      <c r="K20" s="160"/>
      <c r="L20" s="160"/>
      <c r="M20" s="160"/>
    </row>
    <row r="21" spans="2:14">
      <c r="B21" s="162" t="s">
        <v>133</v>
      </c>
      <c r="C21" s="164">
        <v>88</v>
      </c>
      <c r="D21" s="160"/>
      <c r="E21" s="160"/>
      <c r="F21" s="160"/>
      <c r="G21" s="160"/>
      <c r="H21" s="160"/>
      <c r="I21" s="160"/>
      <c r="J21" s="160"/>
      <c r="K21" s="160"/>
      <c r="L21" s="160"/>
      <c r="M21" s="160"/>
    </row>
    <row r="22" spans="2:14">
      <c r="B22" s="162" t="s">
        <v>134</v>
      </c>
      <c r="C22" s="165">
        <v>56509</v>
      </c>
      <c r="D22" s="160"/>
      <c r="E22" s="160"/>
      <c r="F22" s="160"/>
      <c r="G22" s="160"/>
      <c r="H22" s="160"/>
      <c r="I22" s="160"/>
      <c r="J22" s="160"/>
      <c r="K22" s="160"/>
      <c r="L22" s="160"/>
      <c r="M22" s="160"/>
    </row>
    <row r="23" spans="2:14">
      <c r="B23" s="162" t="s">
        <v>121</v>
      </c>
      <c r="C23" s="165">
        <v>484956</v>
      </c>
      <c r="D23" s="160"/>
      <c r="E23" s="160"/>
      <c r="F23" s="160"/>
      <c r="G23" s="160"/>
      <c r="H23" s="160"/>
      <c r="I23" s="160"/>
      <c r="J23" s="160"/>
      <c r="K23" s="160"/>
      <c r="L23" s="160"/>
      <c r="M23" s="160"/>
    </row>
    <row r="24" spans="2:14">
      <c r="B24" s="162" t="s">
        <v>135</v>
      </c>
      <c r="C24" s="165">
        <v>223193</v>
      </c>
      <c r="D24" s="160"/>
      <c r="E24" s="160"/>
      <c r="F24" s="160"/>
      <c r="G24" s="160"/>
      <c r="H24" s="160"/>
      <c r="I24" s="160"/>
      <c r="J24" s="160"/>
      <c r="K24" s="160"/>
      <c r="L24" s="160"/>
      <c r="M24" s="160"/>
    </row>
    <row r="25" spans="2:14">
      <c r="B25" s="162" t="s">
        <v>136</v>
      </c>
      <c r="C25" s="165">
        <v>279790</v>
      </c>
      <c r="D25" s="160"/>
      <c r="E25" s="160"/>
      <c r="F25" s="160"/>
      <c r="G25" s="160"/>
      <c r="H25" s="160"/>
      <c r="I25" s="160"/>
      <c r="J25" s="160"/>
      <c r="K25" s="160"/>
      <c r="L25" s="160"/>
      <c r="M25" s="160"/>
    </row>
    <row r="26" spans="2:14">
      <c r="B26" s="162" t="s">
        <v>137</v>
      </c>
      <c r="C26" s="163">
        <v>0.79800000000000004</v>
      </c>
      <c r="D26" s="160"/>
      <c r="E26" s="160"/>
      <c r="F26" s="160"/>
      <c r="G26" s="160"/>
      <c r="H26" s="160"/>
      <c r="I26" s="160"/>
      <c r="J26" s="160"/>
      <c r="K26" s="160"/>
      <c r="L26" s="160"/>
      <c r="M26" s="160"/>
    </row>
    <row r="27" spans="2:14">
      <c r="B27" s="162" t="s">
        <v>138</v>
      </c>
      <c r="C27" s="163">
        <v>0.20200000000000001</v>
      </c>
      <c r="D27" s="160"/>
      <c r="E27" s="160"/>
      <c r="F27" s="160"/>
      <c r="G27" s="160"/>
      <c r="H27" s="160"/>
      <c r="I27" s="160"/>
      <c r="J27" s="160"/>
      <c r="K27" s="160"/>
      <c r="L27" s="160"/>
      <c r="M27" s="160"/>
    </row>
    <row r="28" spans="2:14">
      <c r="B28" s="162"/>
      <c r="D28" s="160"/>
      <c r="E28" s="160"/>
      <c r="F28" s="160"/>
      <c r="G28" s="160"/>
      <c r="H28" s="160"/>
      <c r="I28" s="160"/>
      <c r="J28" s="160"/>
      <c r="K28" s="160"/>
      <c r="L28" s="160"/>
      <c r="M28" s="160"/>
    </row>
    <row r="29" spans="2:14">
      <c r="B29" s="138" t="s">
        <v>17</v>
      </c>
      <c r="C29" s="193">
        <v>279790</v>
      </c>
      <c r="D29" s="160"/>
      <c r="E29" s="160"/>
      <c r="F29" s="160"/>
      <c r="G29" s="160"/>
      <c r="H29" s="160"/>
      <c r="I29" s="160"/>
      <c r="J29" s="160"/>
      <c r="K29" s="160"/>
      <c r="L29" s="160"/>
      <c r="M29" s="160"/>
    </row>
    <row r="30" spans="2:14">
      <c r="B30" s="162" t="s">
        <v>146</v>
      </c>
      <c r="C30" s="193">
        <v>254</v>
      </c>
      <c r="D30" s="160"/>
      <c r="E30" s="160"/>
      <c r="F30" s="160"/>
      <c r="G30" s="160"/>
      <c r="H30" s="160"/>
      <c r="I30" s="160"/>
      <c r="J30" s="160"/>
      <c r="K30" s="160"/>
      <c r="L30" s="160"/>
      <c r="M30" s="160"/>
    </row>
    <row r="31" spans="2:14">
      <c r="D31" s="160"/>
      <c r="E31" s="160"/>
      <c r="F31" s="160"/>
      <c r="G31" s="160"/>
      <c r="H31" s="160"/>
      <c r="I31" s="160"/>
      <c r="J31" s="160"/>
      <c r="K31" s="160"/>
      <c r="L31" s="160"/>
      <c r="M31" s="160"/>
    </row>
    <row r="32" spans="2:14">
      <c r="D32" s="160"/>
      <c r="E32" s="160"/>
      <c r="F32" s="160"/>
      <c r="G32" s="160"/>
      <c r="H32" s="160"/>
      <c r="I32" s="160"/>
      <c r="J32" s="160"/>
      <c r="K32" s="160"/>
      <c r="L32" s="160"/>
      <c r="M32" s="160"/>
    </row>
    <row r="33" spans="2:23">
      <c r="B33" s="156" t="s">
        <v>1</v>
      </c>
      <c r="C33" s="157"/>
      <c r="D33" s="158">
        <v>2021</v>
      </c>
      <c r="E33" s="158">
        <v>2022</v>
      </c>
      <c r="F33" s="158">
        <v>2023</v>
      </c>
      <c r="G33" s="158">
        <v>2024</v>
      </c>
      <c r="H33" s="158">
        <v>2025</v>
      </c>
      <c r="I33" s="158">
        <v>2026</v>
      </c>
      <c r="J33" s="158">
        <v>2027</v>
      </c>
      <c r="K33" s="158">
        <v>2028</v>
      </c>
      <c r="L33" s="158">
        <v>2029</v>
      </c>
      <c r="M33" s="158">
        <v>2030</v>
      </c>
      <c r="N33" s="158">
        <v>2031</v>
      </c>
      <c r="O33" s="158">
        <v>2032</v>
      </c>
      <c r="P33" s="158">
        <v>2033</v>
      </c>
      <c r="Q33" s="158">
        <v>2034</v>
      </c>
      <c r="R33" s="158">
        <v>2035</v>
      </c>
      <c r="S33" s="158">
        <v>2036</v>
      </c>
      <c r="T33" s="158">
        <v>2037</v>
      </c>
      <c r="U33" s="158">
        <v>2038</v>
      </c>
      <c r="V33" s="158">
        <v>2039</v>
      </c>
      <c r="W33" s="158">
        <v>2040</v>
      </c>
    </row>
    <row r="34" spans="2:23">
      <c r="B34" s="137"/>
    </row>
    <row r="35" spans="2:23" outlineLevel="1">
      <c r="B35" s="138" t="s">
        <v>9</v>
      </c>
      <c r="D35" s="166">
        <v>206</v>
      </c>
      <c r="E35" s="166">
        <v>237</v>
      </c>
      <c r="F35" s="166">
        <v>272</v>
      </c>
      <c r="G35" s="166">
        <v>313</v>
      </c>
      <c r="H35" s="166">
        <v>351</v>
      </c>
      <c r="I35" s="166">
        <v>393</v>
      </c>
      <c r="J35" s="166">
        <v>440</v>
      </c>
      <c r="K35" s="166">
        <v>493</v>
      </c>
      <c r="L35" s="166">
        <v>552</v>
      </c>
      <c r="M35" s="166">
        <v>607</v>
      </c>
      <c r="N35" s="166">
        <v>668</v>
      </c>
      <c r="O35" s="166">
        <v>734</v>
      </c>
      <c r="P35" s="166">
        <v>808</v>
      </c>
      <c r="Q35" s="166">
        <v>889</v>
      </c>
      <c r="R35" s="166">
        <v>977</v>
      </c>
      <c r="S35" s="160">
        <v>1075</v>
      </c>
      <c r="T35" s="160">
        <v>1183</v>
      </c>
      <c r="U35" s="160">
        <v>1301</v>
      </c>
      <c r="V35" s="160">
        <v>1431</v>
      </c>
      <c r="W35" s="160">
        <v>1574</v>
      </c>
    </row>
    <row r="36" spans="2:23" outlineLevel="1">
      <c r="B36" s="138" t="s">
        <v>12</v>
      </c>
      <c r="D36" s="167">
        <v>2.4</v>
      </c>
      <c r="E36" s="167">
        <v>2.4</v>
      </c>
      <c r="F36" s="167">
        <v>2.4</v>
      </c>
      <c r="G36" s="167">
        <v>2.4</v>
      </c>
      <c r="H36" s="167">
        <v>2.5</v>
      </c>
      <c r="I36" s="167">
        <v>2.5</v>
      </c>
      <c r="J36" s="167">
        <v>2.5</v>
      </c>
      <c r="K36" s="167">
        <v>2.5</v>
      </c>
      <c r="L36" s="167">
        <v>2.6</v>
      </c>
      <c r="M36" s="167">
        <v>2.6</v>
      </c>
      <c r="N36" s="167">
        <v>2.6</v>
      </c>
      <c r="O36" s="167">
        <v>2.6</v>
      </c>
      <c r="P36" s="167">
        <v>2.7</v>
      </c>
      <c r="Q36" s="167">
        <v>2.7</v>
      </c>
      <c r="R36" s="167">
        <v>2.7</v>
      </c>
      <c r="S36" s="167">
        <v>2.8</v>
      </c>
      <c r="T36" s="167">
        <v>2.8</v>
      </c>
      <c r="U36" s="167">
        <v>2.8</v>
      </c>
      <c r="V36" s="167">
        <v>2.8</v>
      </c>
      <c r="W36" s="167">
        <v>2.9</v>
      </c>
    </row>
    <row r="37" spans="2:23" outlineLevel="1">
      <c r="B37" s="138" t="s">
        <v>14</v>
      </c>
      <c r="D37" s="166">
        <v>488</v>
      </c>
      <c r="E37" s="166">
        <v>567</v>
      </c>
      <c r="F37" s="166">
        <v>658</v>
      </c>
      <c r="G37" s="166">
        <v>764</v>
      </c>
      <c r="H37" s="166">
        <v>865</v>
      </c>
      <c r="I37" s="166">
        <v>978</v>
      </c>
      <c r="J37" s="160">
        <v>1106</v>
      </c>
      <c r="K37" s="160">
        <v>1252</v>
      </c>
      <c r="L37" s="160">
        <v>1416</v>
      </c>
      <c r="M37" s="160">
        <v>1573</v>
      </c>
      <c r="N37" s="160">
        <v>1748</v>
      </c>
      <c r="O37" s="160">
        <v>1942</v>
      </c>
      <c r="P37" s="160">
        <v>2157</v>
      </c>
      <c r="Q37" s="160">
        <v>2396</v>
      </c>
      <c r="R37" s="160">
        <v>2662</v>
      </c>
      <c r="S37" s="160">
        <v>2958</v>
      </c>
      <c r="T37" s="160">
        <v>3286</v>
      </c>
      <c r="U37" s="160">
        <v>3651</v>
      </c>
      <c r="V37" s="160">
        <v>4056</v>
      </c>
      <c r="W37" s="160">
        <v>4507</v>
      </c>
    </row>
    <row r="38" spans="2:23" outlineLevel="1"/>
    <row r="39" spans="2:23" outlineLevel="1">
      <c r="B39" s="138" t="s">
        <v>10</v>
      </c>
      <c r="D39" s="167">
        <v>2.7</v>
      </c>
      <c r="E39" s="167">
        <v>3.3</v>
      </c>
      <c r="F39" s="167">
        <v>4.2</v>
      </c>
      <c r="G39" s="167">
        <v>5.2</v>
      </c>
      <c r="H39" s="167">
        <v>6</v>
      </c>
      <c r="I39" s="167">
        <v>6.9</v>
      </c>
      <c r="J39" s="167">
        <v>7.9</v>
      </c>
      <c r="K39" s="167">
        <v>9.1</v>
      </c>
      <c r="L39" s="167">
        <v>10.5</v>
      </c>
      <c r="M39" s="167">
        <v>11.8</v>
      </c>
      <c r="N39" s="167">
        <v>13.2</v>
      </c>
      <c r="O39" s="167">
        <v>14.7</v>
      </c>
      <c r="P39" s="167">
        <v>16.5</v>
      </c>
      <c r="Q39" s="167">
        <v>18.5</v>
      </c>
      <c r="R39" s="167">
        <v>20.7</v>
      </c>
      <c r="S39" s="167">
        <v>23.2</v>
      </c>
      <c r="T39" s="167">
        <v>26</v>
      </c>
      <c r="U39" s="167">
        <v>29.1</v>
      </c>
      <c r="V39" s="167">
        <v>32.6</v>
      </c>
      <c r="W39" s="167">
        <v>36.5</v>
      </c>
    </row>
    <row r="40" spans="2:23" outlineLevel="1">
      <c r="B40" s="138" t="s">
        <v>11</v>
      </c>
      <c r="D40" s="166">
        <v>617</v>
      </c>
      <c r="E40" s="166">
        <v>586</v>
      </c>
      <c r="F40" s="166">
        <v>557</v>
      </c>
      <c r="G40" s="166">
        <v>529</v>
      </c>
      <c r="H40" s="166">
        <v>524</v>
      </c>
      <c r="I40" s="166">
        <v>519</v>
      </c>
      <c r="J40" s="166">
        <v>513</v>
      </c>
      <c r="K40" s="166">
        <v>508</v>
      </c>
      <c r="L40" s="166">
        <v>503</v>
      </c>
      <c r="M40" s="166">
        <v>498</v>
      </c>
      <c r="N40" s="166">
        <v>493</v>
      </c>
      <c r="O40" s="166">
        <v>488</v>
      </c>
      <c r="P40" s="166">
        <v>483</v>
      </c>
      <c r="Q40" s="166">
        <v>479</v>
      </c>
      <c r="R40" s="166">
        <v>474</v>
      </c>
      <c r="S40" s="166">
        <v>469</v>
      </c>
      <c r="T40" s="166">
        <v>464</v>
      </c>
      <c r="U40" s="166">
        <v>460</v>
      </c>
      <c r="V40" s="166">
        <v>455</v>
      </c>
      <c r="W40" s="166">
        <v>451</v>
      </c>
    </row>
    <row r="41" spans="2:23" outlineLevel="1">
      <c r="B41" s="138" t="s">
        <v>13</v>
      </c>
      <c r="D41" s="160">
        <v>1650</v>
      </c>
      <c r="E41" s="160">
        <v>1959</v>
      </c>
      <c r="F41" s="160">
        <v>2326</v>
      </c>
      <c r="G41" s="160">
        <v>2762</v>
      </c>
      <c r="H41" s="160">
        <v>3145</v>
      </c>
      <c r="I41" s="160">
        <v>3580</v>
      </c>
      <c r="J41" s="160">
        <v>4076</v>
      </c>
      <c r="K41" s="160">
        <v>4641</v>
      </c>
      <c r="L41" s="160">
        <v>5284</v>
      </c>
      <c r="M41" s="160">
        <v>5858</v>
      </c>
      <c r="N41" s="160">
        <v>6496</v>
      </c>
      <c r="O41" s="160">
        <v>7203</v>
      </c>
      <c r="P41" s="160">
        <v>7986</v>
      </c>
      <c r="Q41" s="160">
        <v>8855</v>
      </c>
      <c r="R41" s="160">
        <v>9818</v>
      </c>
      <c r="S41" s="160">
        <v>10887</v>
      </c>
      <c r="T41" s="160">
        <v>12071</v>
      </c>
      <c r="U41" s="160">
        <v>13385</v>
      </c>
      <c r="V41" s="160">
        <v>14841</v>
      </c>
      <c r="W41" s="160">
        <v>16455</v>
      </c>
    </row>
    <row r="42" spans="2:23" outlineLevel="1"/>
    <row r="43" spans="2:23" outlineLevel="1">
      <c r="B43" s="138" t="s">
        <v>34</v>
      </c>
      <c r="D43" s="160">
        <v>2137</v>
      </c>
      <c r="E43" s="160">
        <v>2525</v>
      </c>
      <c r="F43" s="160">
        <v>2984</v>
      </c>
      <c r="G43" s="160">
        <v>3527</v>
      </c>
      <c r="H43" s="160">
        <v>4009</v>
      </c>
      <c r="I43" s="160">
        <v>4558</v>
      </c>
      <c r="J43" s="160">
        <v>5183</v>
      </c>
      <c r="K43" s="160">
        <v>5892</v>
      </c>
      <c r="L43" s="160">
        <v>6699</v>
      </c>
      <c r="M43" s="160">
        <v>7431</v>
      </c>
      <c r="N43" s="160">
        <v>8243</v>
      </c>
      <c r="O43" s="160">
        <v>9144</v>
      </c>
      <c r="P43" s="160">
        <v>10143</v>
      </c>
      <c r="Q43" s="160">
        <v>11251</v>
      </c>
      <c r="R43" s="160">
        <v>12481</v>
      </c>
      <c r="S43" s="160">
        <v>13845</v>
      </c>
      <c r="T43" s="160">
        <v>15358</v>
      </c>
      <c r="U43" s="160">
        <v>17036</v>
      </c>
      <c r="V43" s="160">
        <v>18897</v>
      </c>
      <c r="W43" s="160">
        <v>20962</v>
      </c>
    </row>
    <row r="44" spans="2:23" outlineLevel="1">
      <c r="B44" s="138" t="s">
        <v>31</v>
      </c>
      <c r="D44" s="166">
        <v>214</v>
      </c>
      <c r="E44" s="166">
        <v>303</v>
      </c>
      <c r="F44" s="166">
        <v>448</v>
      </c>
      <c r="G44" s="166">
        <v>635</v>
      </c>
      <c r="H44" s="166">
        <v>802</v>
      </c>
      <c r="I44" s="166">
        <v>912</v>
      </c>
      <c r="J44" s="160">
        <v>1037</v>
      </c>
      <c r="K44" s="160">
        <v>1178</v>
      </c>
      <c r="L44" s="160">
        <v>1340</v>
      </c>
      <c r="M44" s="160">
        <v>1858</v>
      </c>
      <c r="N44" s="160">
        <v>2061</v>
      </c>
      <c r="O44" s="160">
        <v>2286</v>
      </c>
      <c r="P44" s="160">
        <v>2536</v>
      </c>
      <c r="Q44" s="160">
        <v>2813</v>
      </c>
      <c r="R44" s="160">
        <v>3120</v>
      </c>
      <c r="S44" s="160">
        <v>3461</v>
      </c>
      <c r="T44" s="160">
        <v>3839</v>
      </c>
      <c r="U44" s="160">
        <v>4259</v>
      </c>
      <c r="V44" s="160">
        <v>4724</v>
      </c>
      <c r="W44" s="160">
        <v>5241</v>
      </c>
    </row>
    <row r="45" spans="2:23" outlineLevel="1">
      <c r="B45" s="138" t="s">
        <v>35</v>
      </c>
      <c r="D45" s="168" t="s">
        <v>15</v>
      </c>
      <c r="E45" s="166">
        <v>51</v>
      </c>
      <c r="F45" s="166">
        <v>149</v>
      </c>
      <c r="G45" s="166">
        <v>282</v>
      </c>
      <c r="H45" s="166">
        <v>401</v>
      </c>
      <c r="I45" s="166">
        <v>456</v>
      </c>
      <c r="J45" s="166">
        <v>518</v>
      </c>
      <c r="K45" s="166">
        <v>589</v>
      </c>
      <c r="L45" s="166">
        <v>670</v>
      </c>
      <c r="M45" s="160">
        <v>1189</v>
      </c>
      <c r="N45" s="160">
        <v>1319</v>
      </c>
      <c r="O45" s="160">
        <v>1463</v>
      </c>
      <c r="P45" s="160">
        <v>1623</v>
      </c>
      <c r="Q45" s="160">
        <v>1800</v>
      </c>
      <c r="R45" s="160">
        <v>2122</v>
      </c>
      <c r="S45" s="160">
        <v>2354</v>
      </c>
      <c r="T45" s="160">
        <v>2611</v>
      </c>
      <c r="U45" s="160">
        <v>2896</v>
      </c>
      <c r="V45" s="160">
        <v>3213</v>
      </c>
      <c r="W45" s="160">
        <v>3564</v>
      </c>
    </row>
    <row r="46" spans="2:23">
      <c r="B46" s="207" t="s">
        <v>36</v>
      </c>
      <c r="C46" s="207"/>
      <c r="D46" s="209">
        <v>-21</v>
      </c>
      <c r="E46" s="209">
        <v>13</v>
      </c>
      <c r="F46" s="209">
        <v>82</v>
      </c>
      <c r="G46" s="209">
        <v>176</v>
      </c>
      <c r="H46" s="209">
        <v>261</v>
      </c>
      <c r="I46" s="209">
        <v>296</v>
      </c>
      <c r="J46" s="209">
        <v>337</v>
      </c>
      <c r="K46" s="209">
        <v>383</v>
      </c>
      <c r="L46" s="209">
        <v>435</v>
      </c>
      <c r="M46" s="209">
        <v>817</v>
      </c>
      <c r="N46" s="209">
        <v>907</v>
      </c>
      <c r="O46" s="208">
        <v>1006</v>
      </c>
      <c r="P46" s="160">
        <v>1116</v>
      </c>
      <c r="Q46" s="160">
        <v>1238</v>
      </c>
      <c r="R46" s="160">
        <v>1467</v>
      </c>
      <c r="S46" s="160">
        <v>1627</v>
      </c>
      <c r="T46" s="160">
        <v>1805</v>
      </c>
      <c r="U46" s="160">
        <v>2002</v>
      </c>
      <c r="V46" s="160">
        <v>2220</v>
      </c>
      <c r="W46" s="160">
        <v>2463</v>
      </c>
    </row>
    <row r="47" spans="2:23">
      <c r="B47" s="162"/>
      <c r="D47" s="166"/>
      <c r="E47" s="166"/>
      <c r="F47" s="166"/>
      <c r="G47" s="166"/>
      <c r="H47" s="166"/>
      <c r="I47" s="166"/>
      <c r="J47" s="166"/>
      <c r="K47" s="166"/>
      <c r="L47" s="166"/>
      <c r="M47" s="166"/>
      <c r="N47" s="166"/>
      <c r="O47" s="160"/>
      <c r="P47" s="160"/>
      <c r="Q47" s="160"/>
      <c r="R47" s="160"/>
      <c r="S47" s="160"/>
      <c r="T47" s="160"/>
      <c r="U47" s="160"/>
      <c r="V47" s="160"/>
      <c r="W47" s="160"/>
    </row>
    <row r="48" spans="2:23">
      <c r="D48" s="166"/>
      <c r="E48" s="166"/>
      <c r="F48" s="166"/>
      <c r="G48" s="166"/>
      <c r="H48" s="166"/>
      <c r="I48" s="166"/>
      <c r="J48" s="166"/>
      <c r="K48" s="166"/>
      <c r="L48" s="166"/>
      <c r="M48" s="166"/>
      <c r="N48" s="166"/>
      <c r="O48" s="160"/>
      <c r="P48" s="160"/>
      <c r="Q48" s="160"/>
      <c r="R48" s="160"/>
      <c r="S48" s="160"/>
      <c r="T48" s="160"/>
      <c r="U48" s="160"/>
      <c r="V48" s="160"/>
      <c r="W48" s="160"/>
    </row>
    <row r="49" spans="2:23">
      <c r="B49" s="169" t="s">
        <v>139</v>
      </c>
      <c r="C49" s="170">
        <v>9.5000000000000001E-2</v>
      </c>
      <c r="D49" s="166"/>
      <c r="E49" s="166"/>
      <c r="F49" s="166"/>
      <c r="G49" s="166"/>
      <c r="H49" s="166"/>
      <c r="I49" s="166"/>
      <c r="J49" s="166"/>
      <c r="K49" s="166"/>
      <c r="L49" s="166"/>
      <c r="M49" s="166"/>
      <c r="N49" s="166"/>
      <c r="O49" s="160"/>
      <c r="P49" s="160"/>
      <c r="Q49" s="160"/>
      <c r="R49" s="160"/>
      <c r="S49" s="160"/>
      <c r="T49" s="160"/>
      <c r="U49" s="160"/>
      <c r="V49" s="160"/>
      <c r="W49" s="160"/>
    </row>
    <row r="50" spans="2:23">
      <c r="B50" s="169" t="s">
        <v>140</v>
      </c>
      <c r="C50" s="170">
        <v>0.04</v>
      </c>
      <c r="D50" s="166"/>
      <c r="E50" s="166"/>
      <c r="F50" s="166"/>
      <c r="G50" s="166"/>
      <c r="H50" s="166"/>
      <c r="I50" s="166"/>
      <c r="J50" s="166"/>
      <c r="K50" s="166"/>
      <c r="L50" s="166"/>
      <c r="M50" s="166"/>
      <c r="N50" s="166"/>
      <c r="O50" s="160"/>
      <c r="P50" s="160"/>
      <c r="Q50" s="160"/>
      <c r="R50" s="160"/>
      <c r="S50" s="160"/>
      <c r="T50" s="160"/>
      <c r="U50" s="160"/>
      <c r="V50" s="160"/>
      <c r="W50" s="160"/>
    </row>
    <row r="51" spans="2:23">
      <c r="B51" s="169" t="s">
        <v>141</v>
      </c>
      <c r="C51" s="171">
        <v>5093</v>
      </c>
      <c r="D51" s="166"/>
      <c r="E51" s="166"/>
      <c r="F51" s="166"/>
      <c r="G51" s="166"/>
      <c r="H51" s="166"/>
      <c r="I51" s="166"/>
      <c r="J51" s="166"/>
      <c r="K51" s="166"/>
      <c r="L51" s="166"/>
      <c r="M51" s="166"/>
      <c r="N51" s="166"/>
      <c r="O51" s="160"/>
      <c r="P51" s="160"/>
      <c r="Q51" s="160"/>
      <c r="R51" s="160"/>
      <c r="S51" s="160"/>
      <c r="T51" s="160"/>
      <c r="U51" s="160"/>
      <c r="V51" s="160"/>
      <c r="W51" s="160"/>
    </row>
    <row r="52" spans="2:23">
      <c r="B52" s="169" t="s">
        <v>121</v>
      </c>
      <c r="C52" s="171">
        <v>44783</v>
      </c>
      <c r="D52" s="166"/>
      <c r="E52" s="166"/>
      <c r="F52" s="166"/>
      <c r="G52" s="166"/>
      <c r="H52" s="166"/>
      <c r="I52" s="166"/>
      <c r="J52" s="166"/>
      <c r="K52" s="166"/>
      <c r="L52" s="166"/>
      <c r="M52" s="166"/>
      <c r="N52" s="166"/>
      <c r="O52" s="160"/>
      <c r="P52" s="160"/>
      <c r="Q52" s="160"/>
      <c r="R52" s="160"/>
      <c r="S52" s="160"/>
      <c r="T52" s="160"/>
      <c r="U52" s="160"/>
      <c r="V52" s="160"/>
      <c r="W52" s="160"/>
    </row>
    <row r="53" spans="2:23">
      <c r="B53" s="169" t="s">
        <v>142</v>
      </c>
      <c r="C53" s="172">
        <v>16.8</v>
      </c>
      <c r="D53" s="166"/>
      <c r="E53" s="166"/>
      <c r="F53" s="166"/>
      <c r="G53" s="166"/>
      <c r="H53" s="166"/>
      <c r="I53" s="166"/>
      <c r="J53" s="166"/>
      <c r="K53" s="166"/>
      <c r="L53" s="166"/>
      <c r="M53" s="166"/>
      <c r="N53" s="166"/>
      <c r="O53" s="160"/>
      <c r="P53" s="160"/>
      <c r="Q53" s="160"/>
      <c r="R53" s="160"/>
      <c r="S53" s="160"/>
      <c r="T53" s="160"/>
      <c r="U53" s="160"/>
      <c r="V53" s="160"/>
      <c r="W53" s="160"/>
    </row>
    <row r="54" spans="2:23">
      <c r="B54" s="169" t="s">
        <v>143</v>
      </c>
      <c r="C54" s="171">
        <v>7984</v>
      </c>
      <c r="D54" s="166"/>
      <c r="E54" s="166"/>
      <c r="F54" s="166"/>
      <c r="G54" s="166"/>
      <c r="H54" s="166"/>
      <c r="I54" s="166"/>
      <c r="J54" s="166"/>
      <c r="K54" s="166"/>
      <c r="L54" s="166"/>
      <c r="M54" s="166"/>
      <c r="N54" s="166"/>
      <c r="O54" s="160"/>
      <c r="P54" s="160"/>
      <c r="Q54" s="160"/>
      <c r="R54" s="160"/>
      <c r="S54" s="160"/>
      <c r="T54" s="160"/>
      <c r="U54" s="160"/>
      <c r="V54" s="160"/>
      <c r="W54" s="160"/>
    </row>
    <row r="55" spans="2:23">
      <c r="B55" s="169" t="s">
        <v>144</v>
      </c>
      <c r="C55" s="173">
        <v>13077</v>
      </c>
      <c r="D55" s="166"/>
      <c r="E55" s="166"/>
      <c r="F55" s="166"/>
      <c r="G55" s="166"/>
      <c r="H55" s="166"/>
      <c r="I55" s="166"/>
      <c r="J55" s="166"/>
      <c r="K55" s="166"/>
      <c r="L55" s="166"/>
      <c r="M55" s="166"/>
      <c r="N55" s="166"/>
      <c r="O55" s="160"/>
      <c r="P55" s="160"/>
      <c r="Q55" s="160"/>
      <c r="R55" s="160"/>
      <c r="S55" s="160"/>
      <c r="T55" s="160"/>
      <c r="U55" s="160"/>
      <c r="V55" s="160"/>
      <c r="W55" s="160"/>
    </row>
    <row r="56" spans="2:23">
      <c r="B56" s="169" t="s">
        <v>145</v>
      </c>
      <c r="C56" s="174">
        <v>11.8</v>
      </c>
      <c r="D56" s="166"/>
      <c r="E56" s="166"/>
      <c r="F56" s="166"/>
      <c r="G56" s="166"/>
      <c r="H56" s="166"/>
      <c r="I56" s="166"/>
      <c r="J56" s="166"/>
      <c r="K56" s="166"/>
      <c r="L56" s="166"/>
      <c r="M56" s="166"/>
      <c r="N56" s="166"/>
      <c r="O56" s="160"/>
      <c r="P56" s="160"/>
      <c r="Q56" s="160"/>
      <c r="R56" s="160"/>
      <c r="S56" s="160"/>
      <c r="T56" s="160"/>
      <c r="U56" s="160"/>
      <c r="V56" s="160"/>
      <c r="W56" s="160"/>
    </row>
    <row r="58" spans="2:23">
      <c r="B58" s="156" t="s">
        <v>2</v>
      </c>
      <c r="C58" s="157"/>
      <c r="D58" s="158">
        <v>2021</v>
      </c>
      <c r="E58" s="158">
        <v>2022</v>
      </c>
      <c r="F58" s="158">
        <v>2023</v>
      </c>
      <c r="G58" s="158">
        <v>2024</v>
      </c>
      <c r="H58" s="158">
        <v>2025</v>
      </c>
      <c r="I58" s="158">
        <v>2026</v>
      </c>
      <c r="J58" s="158">
        <v>2027</v>
      </c>
      <c r="K58" s="158">
        <v>2028</v>
      </c>
      <c r="L58" s="158">
        <v>2029</v>
      </c>
      <c r="M58" s="158">
        <v>2030</v>
      </c>
      <c r="N58" s="157"/>
      <c r="O58" s="157"/>
      <c r="P58" s="157"/>
      <c r="Q58" s="157"/>
      <c r="R58" s="157"/>
      <c r="S58" s="157"/>
      <c r="T58" s="157"/>
      <c r="U58" s="157"/>
      <c r="V58" s="157"/>
      <c r="W58" s="157"/>
    </row>
    <row r="60" spans="2:23" outlineLevel="1">
      <c r="B60" s="162" t="s">
        <v>37</v>
      </c>
      <c r="D60" s="160">
        <v>1000</v>
      </c>
      <c r="E60" s="160">
        <v>5000</v>
      </c>
      <c r="F60" s="160">
        <v>15000</v>
      </c>
      <c r="G60" s="160">
        <v>30000</v>
      </c>
      <c r="H60" s="160">
        <v>57000</v>
      </c>
      <c r="I60" s="160">
        <v>102600</v>
      </c>
      <c r="J60" s="160">
        <v>174420</v>
      </c>
      <c r="K60" s="160">
        <v>291281</v>
      </c>
      <c r="L60" s="160">
        <v>407794</v>
      </c>
      <c r="M60" s="160">
        <v>501587</v>
      </c>
    </row>
    <row r="61" spans="2:23" outlineLevel="1">
      <c r="B61" s="162" t="s">
        <v>18</v>
      </c>
      <c r="D61" s="160">
        <v>43157</v>
      </c>
      <c r="E61" s="160">
        <v>44452</v>
      </c>
      <c r="F61" s="160">
        <v>46230</v>
      </c>
      <c r="G61" s="160">
        <v>48079</v>
      </c>
      <c r="H61" s="160">
        <v>50483</v>
      </c>
      <c r="I61" s="160">
        <v>53008</v>
      </c>
      <c r="J61" s="160">
        <v>55658</v>
      </c>
      <c r="K61" s="160">
        <v>58441</v>
      </c>
      <c r="L61" s="160">
        <v>61363</v>
      </c>
      <c r="M61" s="160">
        <v>63817</v>
      </c>
    </row>
    <row r="62" spans="2:23" outlineLevel="1">
      <c r="B62" s="162" t="s">
        <v>38</v>
      </c>
      <c r="D62" s="167">
        <v>0</v>
      </c>
      <c r="E62" s="167">
        <v>0.2</v>
      </c>
      <c r="F62" s="167">
        <v>0.7</v>
      </c>
      <c r="G62" s="167">
        <v>1.4</v>
      </c>
      <c r="H62" s="167">
        <v>2.9</v>
      </c>
      <c r="I62" s="167">
        <v>5.4</v>
      </c>
      <c r="J62" s="167">
        <v>9.6999999999999993</v>
      </c>
      <c r="K62" s="167">
        <v>17</v>
      </c>
      <c r="L62" s="167">
        <v>25</v>
      </c>
      <c r="M62" s="167">
        <v>32</v>
      </c>
    </row>
    <row r="63" spans="2:23" outlineLevel="1">
      <c r="B63" s="162" t="s">
        <v>19</v>
      </c>
      <c r="D63" s="175">
        <v>1.98</v>
      </c>
      <c r="E63" s="175">
        <v>1.96</v>
      </c>
      <c r="F63" s="175">
        <v>1.94</v>
      </c>
      <c r="G63" s="175">
        <v>1.92</v>
      </c>
      <c r="H63" s="175">
        <v>1.88</v>
      </c>
      <c r="I63" s="175">
        <v>1.85</v>
      </c>
      <c r="J63" s="175">
        <v>1.81</v>
      </c>
      <c r="K63" s="175">
        <v>1.77</v>
      </c>
      <c r="L63" s="175">
        <v>1.74</v>
      </c>
      <c r="M63" s="175">
        <v>1.7</v>
      </c>
    </row>
    <row r="64" spans="2:23" outlineLevel="1">
      <c r="B64" s="162" t="s">
        <v>20</v>
      </c>
      <c r="D64" s="166">
        <v>85</v>
      </c>
      <c r="E64" s="166">
        <v>436</v>
      </c>
      <c r="F64" s="160">
        <v>1346</v>
      </c>
      <c r="G64" s="160">
        <v>2771</v>
      </c>
      <c r="H64" s="160">
        <v>5418</v>
      </c>
      <c r="I64" s="160">
        <v>10035</v>
      </c>
      <c r="J64" s="160">
        <v>17554</v>
      </c>
      <c r="K64" s="160">
        <v>30165</v>
      </c>
      <c r="L64" s="160">
        <v>43456</v>
      </c>
      <c r="M64" s="160">
        <v>54477</v>
      </c>
    </row>
    <row r="65" spans="2:23" outlineLevel="1">
      <c r="B65" s="162" t="s">
        <v>21</v>
      </c>
      <c r="D65" s="166">
        <v>-9</v>
      </c>
      <c r="E65" s="166">
        <v>-35</v>
      </c>
      <c r="F65" s="166">
        <v>-67</v>
      </c>
      <c r="G65" s="166">
        <v>-83</v>
      </c>
      <c r="H65" s="166">
        <v>0</v>
      </c>
      <c r="I65" s="166">
        <v>301</v>
      </c>
      <c r="J65" s="160">
        <v>1053</v>
      </c>
      <c r="K65" s="160">
        <v>3017</v>
      </c>
      <c r="L65" s="160">
        <v>5215</v>
      </c>
      <c r="M65" s="160">
        <v>8009</v>
      </c>
    </row>
    <row r="66" spans="2:23" outlineLevel="1">
      <c r="B66" s="162" t="s">
        <v>27</v>
      </c>
      <c r="D66" s="176">
        <v>0.3</v>
      </c>
      <c r="E66" s="176">
        <v>0.3</v>
      </c>
      <c r="F66" s="176">
        <v>0.3</v>
      </c>
      <c r="G66" s="176">
        <v>0.3</v>
      </c>
      <c r="H66" s="176">
        <v>0.3</v>
      </c>
      <c r="I66" s="176">
        <v>0.3</v>
      </c>
      <c r="J66" s="176">
        <v>0.3</v>
      </c>
      <c r="K66" s="176">
        <v>0.3</v>
      </c>
      <c r="L66" s="176">
        <v>0.3</v>
      </c>
      <c r="M66" s="176">
        <v>0.3</v>
      </c>
      <c r="N66" s="176">
        <v>0.3</v>
      </c>
    </row>
    <row r="67" spans="2:23" ht="16.5" customHeight="1">
      <c r="B67" s="210" t="s">
        <v>22</v>
      </c>
      <c r="C67" s="207"/>
      <c r="D67" s="209">
        <v>0</v>
      </c>
      <c r="E67" s="209">
        <v>-6</v>
      </c>
      <c r="F67" s="209">
        <v>-24</v>
      </c>
      <c r="G67" s="209">
        <v>-47</v>
      </c>
      <c r="H67" s="209">
        <v>-58</v>
      </c>
      <c r="I67" s="209">
        <v>0</v>
      </c>
      <c r="J67" s="209">
        <v>211</v>
      </c>
      <c r="K67" s="209">
        <v>737</v>
      </c>
      <c r="L67" s="208">
        <v>2112</v>
      </c>
      <c r="M67" s="208">
        <v>3650</v>
      </c>
      <c r="N67" s="208">
        <v>5606</v>
      </c>
    </row>
    <row r="68" spans="2:23" ht="13.5" customHeight="1">
      <c r="B68" s="162"/>
      <c r="D68" s="166"/>
      <c r="E68" s="166"/>
      <c r="F68" s="166"/>
      <c r="G68" s="166"/>
      <c r="H68" s="166"/>
      <c r="I68" s="166"/>
      <c r="J68" s="166"/>
      <c r="K68" s="166"/>
      <c r="L68" s="160"/>
      <c r="M68" s="160"/>
      <c r="N68" s="160"/>
    </row>
    <row r="69" spans="2:23">
      <c r="B69" s="177" t="s">
        <v>147</v>
      </c>
      <c r="C69" s="178">
        <v>0.1</v>
      </c>
      <c r="D69" s="166"/>
      <c r="E69" s="166"/>
      <c r="F69" s="166"/>
      <c r="G69" s="166"/>
      <c r="H69" s="166"/>
      <c r="I69" s="166"/>
      <c r="J69" s="166"/>
      <c r="K69" s="166"/>
      <c r="L69" s="160"/>
      <c r="M69" s="160"/>
      <c r="N69" s="160"/>
    </row>
    <row r="70" spans="2:23">
      <c r="B70" s="177" t="s">
        <v>148</v>
      </c>
      <c r="C70" s="179">
        <v>2020</v>
      </c>
      <c r="D70" s="166"/>
      <c r="E70" s="166"/>
      <c r="F70" s="166"/>
      <c r="G70" s="166"/>
      <c r="H70" s="166"/>
      <c r="I70" s="166"/>
      <c r="J70" s="166"/>
      <c r="K70" s="166"/>
      <c r="L70" s="160"/>
      <c r="M70" s="160"/>
      <c r="N70" s="160"/>
    </row>
    <row r="71" spans="2:23">
      <c r="B71" s="177" t="s">
        <v>149</v>
      </c>
      <c r="C71" s="180">
        <v>4628</v>
      </c>
      <c r="D71" s="166"/>
      <c r="E71" s="166"/>
      <c r="F71" s="166"/>
      <c r="G71" s="166"/>
      <c r="H71" s="166"/>
      <c r="I71" s="166"/>
      <c r="J71" s="166"/>
      <c r="K71" s="166"/>
      <c r="L71" s="160"/>
      <c r="M71" s="160"/>
      <c r="N71" s="160"/>
    </row>
    <row r="72" spans="2:23">
      <c r="B72" s="177" t="s">
        <v>150</v>
      </c>
      <c r="C72" s="178">
        <v>0.04</v>
      </c>
      <c r="D72" s="166"/>
      <c r="E72" s="166"/>
      <c r="F72" s="166"/>
      <c r="G72" s="166"/>
      <c r="H72" s="166"/>
      <c r="I72" s="166"/>
      <c r="J72" s="166"/>
      <c r="K72" s="166"/>
      <c r="L72" s="160"/>
      <c r="M72" s="160"/>
      <c r="N72" s="160"/>
    </row>
    <row r="73" spans="2:23">
      <c r="B73" s="177" t="s">
        <v>151</v>
      </c>
      <c r="C73" s="180">
        <v>97171</v>
      </c>
      <c r="D73" s="166"/>
      <c r="E73" s="166"/>
      <c r="F73" s="166"/>
      <c r="G73" s="166"/>
      <c r="H73" s="166"/>
      <c r="I73" s="166"/>
      <c r="J73" s="166"/>
      <c r="K73" s="166"/>
      <c r="L73" s="160"/>
      <c r="M73" s="160"/>
      <c r="N73" s="160"/>
    </row>
    <row r="74" spans="2:23">
      <c r="B74" s="177" t="s">
        <v>152</v>
      </c>
      <c r="C74" s="181">
        <v>17.3</v>
      </c>
      <c r="D74" s="166"/>
      <c r="E74" s="166"/>
      <c r="F74" s="166"/>
      <c r="G74" s="166"/>
      <c r="H74" s="166"/>
      <c r="I74" s="166"/>
      <c r="J74" s="166"/>
      <c r="K74" s="166"/>
      <c r="L74" s="160"/>
      <c r="M74" s="160"/>
      <c r="N74" s="160"/>
    </row>
    <row r="75" spans="2:23">
      <c r="B75" s="177" t="s">
        <v>153</v>
      </c>
      <c r="C75" s="182">
        <v>42092</v>
      </c>
      <c r="D75" s="166"/>
      <c r="E75" s="166"/>
      <c r="F75" s="166"/>
      <c r="G75" s="166"/>
      <c r="H75" s="166"/>
      <c r="I75" s="166"/>
      <c r="J75" s="166"/>
      <c r="K75" s="166"/>
      <c r="L75" s="160"/>
      <c r="M75" s="160"/>
      <c r="N75" s="160"/>
    </row>
    <row r="76" spans="2:23">
      <c r="B76" s="177" t="s">
        <v>154</v>
      </c>
      <c r="C76" s="192">
        <v>38</v>
      </c>
    </row>
    <row r="78" spans="2:23">
      <c r="B78" s="156" t="s">
        <v>3</v>
      </c>
      <c r="C78" s="157"/>
      <c r="D78" s="158">
        <v>2021</v>
      </c>
      <c r="E78" s="158">
        <v>2022</v>
      </c>
      <c r="F78" s="158">
        <v>2023</v>
      </c>
      <c r="G78" s="158">
        <v>2024</v>
      </c>
      <c r="H78" s="158">
        <v>2025</v>
      </c>
      <c r="I78" s="158">
        <v>2026</v>
      </c>
      <c r="J78" s="158">
        <v>2027</v>
      </c>
      <c r="K78" s="158">
        <v>2028</v>
      </c>
      <c r="L78" s="158">
        <v>2029</v>
      </c>
      <c r="M78" s="158">
        <v>2030</v>
      </c>
      <c r="N78" s="158">
        <v>2031</v>
      </c>
      <c r="O78" s="158">
        <v>2032</v>
      </c>
      <c r="P78" s="158">
        <v>2033</v>
      </c>
      <c r="Q78" s="158">
        <v>2034</v>
      </c>
      <c r="R78" s="158">
        <v>2035</v>
      </c>
      <c r="S78" s="158">
        <v>2036</v>
      </c>
      <c r="T78" s="158">
        <v>2037</v>
      </c>
      <c r="U78" s="158">
        <v>2038</v>
      </c>
      <c r="V78" s="158">
        <v>2039</v>
      </c>
      <c r="W78" s="158">
        <v>2040</v>
      </c>
    </row>
    <row r="79" spans="2:23">
      <c r="B79" s="137"/>
    </row>
    <row r="80" spans="2:23" outlineLevel="1">
      <c r="B80" s="138" t="s">
        <v>40</v>
      </c>
      <c r="D80" s="171">
        <v>2053402</v>
      </c>
      <c r="E80" s="171">
        <v>3044045</v>
      </c>
      <c r="F80" s="171">
        <v>4271352</v>
      </c>
      <c r="G80" s="171">
        <v>5720555</v>
      </c>
      <c r="H80" s="171">
        <v>7424728</v>
      </c>
      <c r="I80" s="171">
        <v>9480042</v>
      </c>
      <c r="J80" s="171">
        <v>11877017</v>
      </c>
      <c r="K80" s="171">
        <v>14393066</v>
      </c>
      <c r="L80" s="171">
        <v>17122244</v>
      </c>
      <c r="M80" s="171">
        <v>20067624</v>
      </c>
      <c r="N80" s="171">
        <v>23169854</v>
      </c>
      <c r="O80" s="171">
        <v>26445421</v>
      </c>
      <c r="P80" s="171">
        <v>29911935</v>
      </c>
      <c r="Q80" s="171">
        <v>33588227</v>
      </c>
      <c r="R80" s="171">
        <v>37494454</v>
      </c>
      <c r="S80" s="171">
        <v>41652221</v>
      </c>
      <c r="T80" s="171">
        <v>46084700</v>
      </c>
      <c r="U80" s="171">
        <v>50816761</v>
      </c>
      <c r="V80" s="171">
        <v>55875123</v>
      </c>
      <c r="W80" s="171">
        <v>61288503</v>
      </c>
    </row>
    <row r="81" spans="2:23" outlineLevel="1">
      <c r="B81" s="169" t="s">
        <v>23</v>
      </c>
    </row>
    <row r="82" spans="2:23" outlineLevel="1">
      <c r="B82" s="137"/>
    </row>
    <row r="83" spans="2:23" outlineLevel="1">
      <c r="B83" s="169" t="s">
        <v>46</v>
      </c>
      <c r="D83" s="183">
        <v>23</v>
      </c>
      <c r="E83" s="183">
        <v>35</v>
      </c>
      <c r="F83" s="183">
        <v>50</v>
      </c>
      <c r="G83" s="183">
        <v>68</v>
      </c>
      <c r="H83" s="183">
        <v>90</v>
      </c>
      <c r="I83" s="183">
        <v>117</v>
      </c>
      <c r="J83" s="183">
        <v>150</v>
      </c>
      <c r="K83" s="183">
        <v>186</v>
      </c>
      <c r="L83" s="183">
        <v>225</v>
      </c>
      <c r="M83" s="183">
        <v>269</v>
      </c>
      <c r="N83" s="183">
        <v>317</v>
      </c>
      <c r="O83" s="183">
        <v>369</v>
      </c>
      <c r="P83" s="183">
        <v>426</v>
      </c>
      <c r="Q83" s="183">
        <v>488</v>
      </c>
      <c r="R83" s="183">
        <v>555</v>
      </c>
      <c r="S83" s="183">
        <v>629</v>
      </c>
      <c r="T83" s="183">
        <v>710</v>
      </c>
      <c r="U83" s="183">
        <v>798</v>
      </c>
      <c r="V83" s="183">
        <v>895</v>
      </c>
      <c r="W83" s="171">
        <v>1002</v>
      </c>
    </row>
    <row r="84" spans="2:23" outlineLevel="1">
      <c r="B84" s="169" t="s">
        <v>45</v>
      </c>
      <c r="D84" s="183">
        <v>9</v>
      </c>
      <c r="E84" s="183">
        <v>16</v>
      </c>
      <c r="F84" s="183">
        <v>25</v>
      </c>
      <c r="G84" s="183">
        <v>37</v>
      </c>
      <c r="H84" s="183">
        <v>54</v>
      </c>
      <c r="I84" s="183">
        <v>70</v>
      </c>
      <c r="J84" s="183">
        <v>90</v>
      </c>
      <c r="K84" s="183">
        <v>111</v>
      </c>
      <c r="L84" s="183">
        <v>135</v>
      </c>
      <c r="M84" s="183">
        <v>161</v>
      </c>
      <c r="N84" s="183">
        <v>192</v>
      </c>
      <c r="O84" s="183">
        <v>225</v>
      </c>
      <c r="P84" s="183">
        <v>264</v>
      </c>
      <c r="Q84" s="183">
        <v>307</v>
      </c>
      <c r="R84" s="183">
        <v>355</v>
      </c>
      <c r="S84" s="183">
        <v>403</v>
      </c>
      <c r="T84" s="183">
        <v>454</v>
      </c>
      <c r="U84" s="183">
        <v>511</v>
      </c>
      <c r="V84" s="183">
        <v>573</v>
      </c>
      <c r="W84" s="183">
        <v>641</v>
      </c>
    </row>
    <row r="85" spans="2:23" outlineLevel="1">
      <c r="B85" s="169" t="s">
        <v>41</v>
      </c>
      <c r="D85" s="183">
        <v>25</v>
      </c>
      <c r="E85" s="183">
        <v>25</v>
      </c>
      <c r="F85" s="183">
        <v>25</v>
      </c>
      <c r="G85" s="183">
        <v>25</v>
      </c>
      <c r="H85" s="183">
        <v>25</v>
      </c>
      <c r="I85" s="183">
        <v>25</v>
      </c>
      <c r="J85" s="183">
        <v>25</v>
      </c>
      <c r="K85" s="183">
        <v>25</v>
      </c>
      <c r="L85" s="183">
        <v>25</v>
      </c>
      <c r="M85" s="183">
        <v>25</v>
      </c>
      <c r="N85" s="183">
        <v>25</v>
      </c>
      <c r="O85" s="183">
        <v>25</v>
      </c>
      <c r="P85" s="183">
        <v>25</v>
      </c>
      <c r="Q85" s="183">
        <v>25</v>
      </c>
      <c r="R85" s="183">
        <v>25</v>
      </c>
      <c r="S85" s="183">
        <v>25</v>
      </c>
      <c r="T85" s="183">
        <v>25</v>
      </c>
      <c r="U85" s="183">
        <v>25</v>
      </c>
      <c r="V85" s="183">
        <v>25</v>
      </c>
      <c r="W85" s="183">
        <v>25</v>
      </c>
    </row>
    <row r="86" spans="2:23" outlineLevel="1">
      <c r="B86" s="169" t="s">
        <v>42</v>
      </c>
      <c r="D86" s="172">
        <v>0.4</v>
      </c>
      <c r="E86" s="172">
        <v>0.6</v>
      </c>
      <c r="F86" s="172">
        <v>1</v>
      </c>
      <c r="G86" s="172">
        <v>1.5</v>
      </c>
      <c r="H86" s="172">
        <v>2.2000000000000002</v>
      </c>
      <c r="I86" s="172">
        <v>2.8</v>
      </c>
      <c r="J86" s="172">
        <v>3.6</v>
      </c>
      <c r="K86" s="172">
        <v>4.5</v>
      </c>
      <c r="L86" s="172">
        <v>5.4</v>
      </c>
      <c r="M86" s="172">
        <v>6.5</v>
      </c>
      <c r="N86" s="172">
        <v>7.7</v>
      </c>
      <c r="O86" s="172">
        <v>9</v>
      </c>
      <c r="P86" s="172">
        <v>10.6</v>
      </c>
      <c r="Q86" s="172">
        <v>12.3</v>
      </c>
      <c r="R86" s="172">
        <v>14.2</v>
      </c>
      <c r="S86" s="172">
        <v>16.100000000000001</v>
      </c>
      <c r="T86" s="172">
        <v>18.2</v>
      </c>
      <c r="U86" s="172">
        <v>20.399999999999999</v>
      </c>
      <c r="V86" s="172">
        <v>22.9</v>
      </c>
      <c r="W86" s="172">
        <v>25.6</v>
      </c>
    </row>
    <row r="87" spans="2:23" outlineLevel="1">
      <c r="B87" s="169" t="s">
        <v>43</v>
      </c>
      <c r="D87" s="184">
        <v>0.1</v>
      </c>
      <c r="E87" s="184">
        <v>0.1</v>
      </c>
      <c r="F87" s="184">
        <v>0.1</v>
      </c>
      <c r="G87" s="184">
        <v>0.09</v>
      </c>
      <c r="H87" s="184">
        <v>0.09</v>
      </c>
      <c r="I87" s="184">
        <v>0.09</v>
      </c>
      <c r="J87" s="184">
        <v>0.09</v>
      </c>
      <c r="K87" s="184">
        <v>0.09</v>
      </c>
      <c r="L87" s="184">
        <v>0.09</v>
      </c>
      <c r="M87" s="184">
        <v>0.09</v>
      </c>
      <c r="N87" s="184">
        <v>0.09</v>
      </c>
      <c r="O87" s="184">
        <v>0.09</v>
      </c>
      <c r="P87" s="184">
        <v>0.1</v>
      </c>
      <c r="Q87" s="184">
        <v>0.1</v>
      </c>
      <c r="R87" s="184">
        <v>0.1</v>
      </c>
      <c r="S87" s="184">
        <v>0.1</v>
      </c>
      <c r="T87" s="184">
        <v>0.11</v>
      </c>
      <c r="U87" s="184">
        <v>0.11</v>
      </c>
      <c r="V87" s="184">
        <v>0.11</v>
      </c>
      <c r="W87" s="184">
        <v>0.11</v>
      </c>
    </row>
    <row r="88" spans="2:23" outlineLevel="1">
      <c r="B88" s="169" t="s">
        <v>44</v>
      </c>
      <c r="D88" s="184">
        <v>2.4300000000000002</v>
      </c>
      <c r="E88" s="184">
        <v>2.41</v>
      </c>
      <c r="F88" s="184">
        <v>2.39</v>
      </c>
      <c r="G88" s="184">
        <v>2.37</v>
      </c>
      <c r="H88" s="184">
        <v>2.35</v>
      </c>
      <c r="I88" s="184">
        <v>2.3199999999999998</v>
      </c>
      <c r="J88" s="184">
        <v>2.2999999999999998</v>
      </c>
      <c r="K88" s="184">
        <v>2.2799999999999998</v>
      </c>
      <c r="L88" s="184">
        <v>2.2599999999999998</v>
      </c>
      <c r="M88" s="184">
        <v>2.2400000000000002</v>
      </c>
      <c r="N88" s="184">
        <v>2.2999999999999998</v>
      </c>
      <c r="O88" s="184">
        <v>2.37</v>
      </c>
      <c r="P88" s="184">
        <v>2.42</v>
      </c>
      <c r="Q88" s="184">
        <v>2.48</v>
      </c>
      <c r="R88" s="184">
        <v>2.5299999999999998</v>
      </c>
      <c r="S88" s="184">
        <v>2.58</v>
      </c>
      <c r="T88" s="184">
        <v>2.63</v>
      </c>
      <c r="U88" s="184">
        <v>2.67</v>
      </c>
      <c r="V88" s="184">
        <v>2.71</v>
      </c>
      <c r="W88" s="184">
        <v>2.75</v>
      </c>
    </row>
    <row r="89" spans="2:23" outlineLevel="1">
      <c r="B89" s="169"/>
    </row>
    <row r="90" spans="2:23" outlineLevel="1">
      <c r="B90" s="169"/>
    </row>
    <row r="91" spans="2:23" outlineLevel="1">
      <c r="B91" s="162" t="s">
        <v>24</v>
      </c>
      <c r="D91" s="160">
        <v>821361</v>
      </c>
      <c r="E91" s="160">
        <v>1369820</v>
      </c>
      <c r="F91" s="160">
        <v>2135676</v>
      </c>
      <c r="G91" s="160">
        <v>3146305</v>
      </c>
      <c r="H91" s="160">
        <v>4454837</v>
      </c>
      <c r="I91" s="160">
        <v>5688025</v>
      </c>
      <c r="J91" s="160">
        <v>7126210</v>
      </c>
      <c r="K91" s="160">
        <v>8635839</v>
      </c>
      <c r="L91" s="160">
        <v>10273346</v>
      </c>
      <c r="M91" s="160">
        <v>12040574</v>
      </c>
      <c r="N91" s="160">
        <v>14017762</v>
      </c>
      <c r="O91" s="160">
        <v>16131707</v>
      </c>
      <c r="P91" s="160">
        <v>18545400</v>
      </c>
      <c r="Q91" s="160">
        <v>21160583</v>
      </c>
      <c r="R91" s="160">
        <v>23996451</v>
      </c>
      <c r="S91" s="160">
        <v>26657422</v>
      </c>
      <c r="T91" s="160">
        <v>29494208</v>
      </c>
      <c r="U91" s="160">
        <v>32522727</v>
      </c>
      <c r="V91" s="160">
        <v>35760079</v>
      </c>
      <c r="W91" s="160">
        <v>39224642</v>
      </c>
    </row>
    <row r="92" spans="2:23" outlineLevel="1">
      <c r="B92" s="162" t="s">
        <v>47</v>
      </c>
      <c r="D92" s="167">
        <v>91</v>
      </c>
      <c r="E92" s="167">
        <v>92</v>
      </c>
      <c r="F92" s="167">
        <v>93</v>
      </c>
      <c r="G92" s="167">
        <v>94</v>
      </c>
      <c r="H92" s="167">
        <v>95</v>
      </c>
      <c r="I92" s="167">
        <v>96</v>
      </c>
      <c r="J92" s="167">
        <v>97</v>
      </c>
      <c r="K92" s="167">
        <v>98</v>
      </c>
      <c r="L92" s="167">
        <v>99</v>
      </c>
      <c r="M92" s="167">
        <v>100</v>
      </c>
      <c r="N92" s="167">
        <v>105</v>
      </c>
      <c r="O92" s="167">
        <v>110</v>
      </c>
      <c r="P92" s="167">
        <v>115</v>
      </c>
      <c r="Q92" s="167">
        <v>120</v>
      </c>
      <c r="R92" s="167">
        <v>125</v>
      </c>
      <c r="S92" s="167">
        <v>130</v>
      </c>
      <c r="T92" s="167">
        <v>135</v>
      </c>
      <c r="U92" s="167">
        <v>140</v>
      </c>
      <c r="V92" s="167">
        <v>145</v>
      </c>
      <c r="W92" s="167">
        <v>150</v>
      </c>
    </row>
    <row r="93" spans="2:23">
      <c r="B93" s="210" t="s">
        <v>48</v>
      </c>
      <c r="C93" s="207"/>
      <c r="D93" s="209">
        <v>897</v>
      </c>
      <c r="E93" s="208">
        <v>1512</v>
      </c>
      <c r="F93" s="208">
        <v>2383</v>
      </c>
      <c r="G93" s="208">
        <v>3549</v>
      </c>
      <c r="H93" s="208">
        <v>5079</v>
      </c>
      <c r="I93" s="208">
        <v>6553</v>
      </c>
      <c r="J93" s="208">
        <v>8295</v>
      </c>
      <c r="K93" s="208">
        <v>10156</v>
      </c>
      <c r="L93" s="208">
        <v>12205</v>
      </c>
      <c r="M93" s="208">
        <v>14449</v>
      </c>
      <c r="N93" s="208">
        <v>17662</v>
      </c>
      <c r="O93" s="208">
        <v>21294</v>
      </c>
      <c r="P93" s="208">
        <v>25593</v>
      </c>
      <c r="Q93" s="208">
        <v>30471</v>
      </c>
      <c r="R93" s="208">
        <v>35995</v>
      </c>
      <c r="S93" s="208">
        <v>41586</v>
      </c>
      <c r="T93" s="208">
        <v>47781</v>
      </c>
      <c r="U93" s="208">
        <v>54638</v>
      </c>
      <c r="V93" s="208">
        <v>62223</v>
      </c>
      <c r="W93" s="208">
        <v>70604</v>
      </c>
    </row>
    <row r="94" spans="2:23">
      <c r="B94" s="162"/>
      <c r="D94" s="166"/>
      <c r="E94" s="160"/>
      <c r="F94" s="160"/>
      <c r="G94" s="160"/>
      <c r="H94" s="160"/>
      <c r="I94" s="160"/>
      <c r="J94" s="160"/>
      <c r="K94" s="160"/>
      <c r="L94" s="160"/>
      <c r="M94" s="160"/>
      <c r="N94" s="160"/>
      <c r="O94" s="160"/>
      <c r="P94" s="160"/>
      <c r="Q94" s="160"/>
      <c r="R94" s="160"/>
      <c r="S94" s="160"/>
      <c r="T94" s="160"/>
      <c r="U94" s="160"/>
      <c r="V94" s="160"/>
      <c r="W94" s="160"/>
    </row>
    <row r="95" spans="2:23">
      <c r="B95" s="169" t="s">
        <v>139</v>
      </c>
      <c r="C95" s="185">
        <v>0.08</v>
      </c>
      <c r="D95" s="166"/>
      <c r="E95" s="160"/>
      <c r="F95" s="160"/>
      <c r="G95" s="160"/>
      <c r="H95" s="160"/>
      <c r="I95" s="160"/>
      <c r="J95" s="160"/>
      <c r="K95" s="160"/>
      <c r="L95" s="160"/>
      <c r="M95" s="160"/>
      <c r="N95" s="160"/>
      <c r="O95" s="160"/>
      <c r="P95" s="160"/>
      <c r="Q95" s="160"/>
      <c r="R95" s="160"/>
      <c r="S95" s="160"/>
      <c r="T95" s="160"/>
      <c r="U95" s="160"/>
      <c r="V95" s="160"/>
      <c r="W95" s="160"/>
    </row>
    <row r="96" spans="2:23">
      <c r="B96" s="169" t="s">
        <v>140</v>
      </c>
      <c r="C96" s="185">
        <v>0.04</v>
      </c>
      <c r="D96" s="166"/>
      <c r="E96" s="160"/>
      <c r="F96" s="160"/>
      <c r="G96" s="160"/>
      <c r="H96" s="160"/>
      <c r="I96" s="160"/>
      <c r="J96" s="160"/>
      <c r="K96" s="160"/>
      <c r="L96" s="160"/>
      <c r="M96" s="160"/>
      <c r="N96" s="160"/>
      <c r="O96" s="160"/>
      <c r="P96" s="160"/>
      <c r="Q96" s="160"/>
      <c r="R96" s="160"/>
      <c r="S96" s="160"/>
      <c r="T96" s="160"/>
      <c r="U96" s="160"/>
      <c r="V96" s="160"/>
      <c r="W96" s="160"/>
    </row>
    <row r="97" spans="2:23">
      <c r="B97" s="169" t="s">
        <v>141</v>
      </c>
      <c r="C97" s="186">
        <v>62142</v>
      </c>
      <c r="D97" s="166"/>
      <c r="E97" s="160"/>
      <c r="F97" s="160"/>
      <c r="G97" s="160"/>
      <c r="H97" s="160"/>
      <c r="I97" s="160"/>
      <c r="J97" s="160"/>
      <c r="K97" s="160"/>
      <c r="L97" s="160"/>
      <c r="M97" s="160"/>
      <c r="N97" s="160"/>
      <c r="O97" s="160"/>
      <c r="P97" s="160"/>
      <c r="Q97" s="160"/>
      <c r="R97" s="160"/>
      <c r="S97" s="160"/>
      <c r="T97" s="160"/>
      <c r="U97" s="160"/>
      <c r="V97" s="160"/>
      <c r="W97" s="160"/>
    </row>
    <row r="98" spans="2:23">
      <c r="B98" s="169" t="s">
        <v>121</v>
      </c>
      <c r="C98" s="186">
        <v>725901</v>
      </c>
      <c r="D98" s="166"/>
      <c r="E98" s="160"/>
      <c r="F98" s="160"/>
      <c r="G98" s="160"/>
      <c r="H98" s="160"/>
      <c r="I98" s="160"/>
      <c r="J98" s="160"/>
      <c r="K98" s="160"/>
      <c r="L98" s="160"/>
      <c r="M98" s="160"/>
      <c r="N98" s="160"/>
      <c r="O98" s="160"/>
      <c r="P98" s="160"/>
      <c r="Q98" s="160"/>
      <c r="R98" s="160"/>
      <c r="S98" s="160"/>
      <c r="T98" s="160"/>
      <c r="U98" s="160"/>
      <c r="V98" s="160"/>
      <c r="W98" s="160"/>
    </row>
    <row r="99" spans="2:23">
      <c r="B99" s="169" t="s">
        <v>143</v>
      </c>
      <c r="C99" s="186">
        <v>168200</v>
      </c>
      <c r="D99" s="166"/>
      <c r="E99" s="160"/>
      <c r="F99" s="160"/>
      <c r="G99" s="160"/>
      <c r="H99" s="160"/>
      <c r="I99" s="160"/>
      <c r="J99" s="160"/>
      <c r="K99" s="160"/>
      <c r="L99" s="160"/>
      <c r="M99" s="160"/>
      <c r="N99" s="160"/>
      <c r="O99" s="160"/>
      <c r="P99" s="160"/>
      <c r="Q99" s="160"/>
      <c r="R99" s="160"/>
      <c r="S99" s="160"/>
      <c r="T99" s="160"/>
      <c r="U99" s="160"/>
      <c r="V99" s="160"/>
      <c r="W99" s="160"/>
    </row>
    <row r="100" spans="2:23">
      <c r="B100" s="169" t="s">
        <v>155</v>
      </c>
      <c r="C100" s="186">
        <v>230342</v>
      </c>
      <c r="D100" s="166"/>
      <c r="E100" s="160"/>
      <c r="F100" s="160"/>
      <c r="G100" s="160"/>
      <c r="H100" s="160"/>
      <c r="I100" s="160"/>
      <c r="J100" s="160"/>
      <c r="K100" s="160"/>
      <c r="L100" s="160"/>
      <c r="M100" s="160"/>
      <c r="N100" s="160"/>
      <c r="O100" s="160"/>
      <c r="P100" s="160"/>
      <c r="Q100" s="160"/>
      <c r="R100" s="160"/>
      <c r="S100" s="160"/>
      <c r="T100" s="160"/>
      <c r="U100" s="160"/>
      <c r="V100" s="160"/>
      <c r="W100" s="160"/>
    </row>
    <row r="101" spans="2:23">
      <c r="B101" s="169" t="s">
        <v>156</v>
      </c>
      <c r="C101" s="187">
        <v>0.8</v>
      </c>
      <c r="D101" s="166"/>
      <c r="E101" s="160"/>
      <c r="F101" s="160"/>
      <c r="G101" s="160"/>
      <c r="H101" s="160"/>
      <c r="I101" s="160"/>
      <c r="J101" s="160"/>
      <c r="K101" s="160"/>
      <c r="L101" s="160"/>
      <c r="M101" s="160"/>
      <c r="N101" s="160"/>
      <c r="O101" s="160"/>
      <c r="P101" s="160"/>
      <c r="Q101" s="160"/>
      <c r="R101" s="160"/>
      <c r="S101" s="160"/>
      <c r="T101" s="160"/>
      <c r="U101" s="160"/>
      <c r="V101" s="160"/>
      <c r="W101" s="160"/>
    </row>
    <row r="102" spans="2:23">
      <c r="B102" s="169" t="s">
        <v>157</v>
      </c>
      <c r="C102" s="190">
        <v>184273</v>
      </c>
      <c r="D102" s="166"/>
      <c r="E102" s="160"/>
      <c r="F102" s="160"/>
      <c r="G102" s="160"/>
      <c r="H102" s="160"/>
      <c r="I102" s="160"/>
      <c r="J102" s="160"/>
      <c r="K102" s="160"/>
      <c r="L102" s="160"/>
      <c r="M102" s="160"/>
      <c r="N102" s="160"/>
      <c r="O102" s="160"/>
      <c r="P102" s="160"/>
      <c r="Q102" s="160"/>
      <c r="R102" s="160"/>
      <c r="S102" s="160"/>
      <c r="T102" s="160"/>
      <c r="U102" s="160"/>
      <c r="V102" s="160"/>
      <c r="W102" s="160"/>
    </row>
    <row r="103" spans="2:23">
      <c r="B103" s="169" t="s">
        <v>158</v>
      </c>
      <c r="C103" s="191">
        <v>167</v>
      </c>
      <c r="D103" s="166"/>
      <c r="E103" s="160"/>
      <c r="F103" s="160"/>
      <c r="G103" s="160"/>
      <c r="H103" s="160"/>
      <c r="I103" s="160"/>
      <c r="J103" s="160"/>
      <c r="K103" s="160"/>
      <c r="L103" s="160"/>
      <c r="M103" s="160"/>
      <c r="N103" s="160"/>
      <c r="O103" s="160"/>
      <c r="P103" s="160"/>
      <c r="Q103" s="160"/>
      <c r="R103" s="160"/>
      <c r="S103" s="160"/>
      <c r="T103" s="160"/>
      <c r="U103" s="160"/>
      <c r="V103" s="160"/>
      <c r="W103" s="160"/>
    </row>
    <row r="104" spans="2:23">
      <c r="B104" s="169"/>
      <c r="C104" s="188"/>
      <c r="D104" s="166"/>
      <c r="E104" s="160"/>
      <c r="F104" s="160"/>
      <c r="G104" s="160"/>
      <c r="H104" s="160"/>
      <c r="I104" s="160"/>
      <c r="J104" s="160"/>
      <c r="K104" s="160"/>
      <c r="L104" s="160"/>
      <c r="M104" s="160"/>
      <c r="N104" s="160"/>
      <c r="O104" s="160"/>
      <c r="P104" s="160"/>
      <c r="Q104" s="160"/>
      <c r="R104" s="160"/>
      <c r="S104" s="160"/>
      <c r="T104" s="160"/>
      <c r="U104" s="160"/>
      <c r="V104" s="160"/>
      <c r="W104" s="160"/>
    </row>
    <row r="105" spans="2:23">
      <c r="B105" s="137"/>
      <c r="D105" s="189"/>
    </row>
    <row r="106" spans="2:23">
      <c r="B106" s="157" t="s">
        <v>4</v>
      </c>
      <c r="C106" s="157"/>
      <c r="D106" s="158">
        <v>2021</v>
      </c>
      <c r="E106" s="158">
        <v>2022</v>
      </c>
      <c r="F106" s="158">
        <v>2023</v>
      </c>
      <c r="G106" s="158">
        <v>2024</v>
      </c>
      <c r="H106" s="158">
        <v>2025</v>
      </c>
      <c r="I106" s="158">
        <v>2026</v>
      </c>
      <c r="J106" s="158">
        <v>2027</v>
      </c>
      <c r="K106" s="158">
        <v>2028</v>
      </c>
      <c r="L106" s="158">
        <v>2029</v>
      </c>
      <c r="M106" s="158">
        <v>2030</v>
      </c>
      <c r="N106" s="158">
        <v>2031</v>
      </c>
      <c r="O106" s="158">
        <v>2032</v>
      </c>
      <c r="P106" s="158">
        <v>2033</v>
      </c>
      <c r="Q106" s="158">
        <v>2034</v>
      </c>
      <c r="R106" s="158">
        <v>2035</v>
      </c>
      <c r="S106" s="158">
        <v>2036</v>
      </c>
      <c r="T106" s="158">
        <v>2037</v>
      </c>
      <c r="U106" s="158">
        <v>2038</v>
      </c>
      <c r="V106" s="158">
        <v>2039</v>
      </c>
      <c r="W106" s="158">
        <v>2040</v>
      </c>
    </row>
    <row r="107" spans="2:23">
      <c r="B107" s="137"/>
    </row>
    <row r="108" spans="2:23">
      <c r="B108" s="162" t="s">
        <v>25</v>
      </c>
      <c r="D108" s="167">
        <v>2.1</v>
      </c>
      <c r="E108" s="167">
        <v>3</v>
      </c>
      <c r="F108" s="167">
        <v>4.3</v>
      </c>
      <c r="G108" s="167">
        <v>5.7</v>
      </c>
      <c r="H108" s="167">
        <v>7.4</v>
      </c>
      <c r="I108" s="167">
        <v>9.5</v>
      </c>
      <c r="J108" s="167">
        <v>11.9</v>
      </c>
      <c r="K108" s="167">
        <v>14.4</v>
      </c>
      <c r="L108" s="167">
        <v>17.100000000000001</v>
      </c>
      <c r="M108" s="167">
        <v>20.100000000000001</v>
      </c>
      <c r="N108" s="167">
        <v>23.2</v>
      </c>
      <c r="O108" s="167">
        <v>26.4</v>
      </c>
      <c r="P108" s="167">
        <v>29.9</v>
      </c>
      <c r="Q108" s="167">
        <v>33.6</v>
      </c>
      <c r="R108" s="167">
        <v>37.5</v>
      </c>
      <c r="S108" s="167">
        <v>41.7</v>
      </c>
      <c r="T108" s="167">
        <v>46.1</v>
      </c>
      <c r="U108" s="167">
        <v>50.8</v>
      </c>
      <c r="V108" s="167">
        <v>55.9</v>
      </c>
      <c r="W108" s="167">
        <v>61.3</v>
      </c>
    </row>
    <row r="109" spans="2:23">
      <c r="B109" s="162" t="s">
        <v>26</v>
      </c>
      <c r="D109" s="138">
        <v>1.01</v>
      </c>
      <c r="E109" s="138">
        <v>1.02</v>
      </c>
      <c r="F109" s="138">
        <v>1.03</v>
      </c>
      <c r="G109" s="138">
        <v>1.0409999999999999</v>
      </c>
      <c r="H109" s="138">
        <v>1.0509999999999999</v>
      </c>
      <c r="I109" s="138">
        <v>1.0620000000000001</v>
      </c>
      <c r="J109" s="138">
        <v>1.0720000000000001</v>
      </c>
      <c r="K109" s="138">
        <v>1.083</v>
      </c>
      <c r="L109" s="138">
        <v>1.0940000000000001</v>
      </c>
      <c r="M109" s="138">
        <v>1.105</v>
      </c>
      <c r="N109" s="138">
        <v>1.1160000000000001</v>
      </c>
      <c r="O109" s="138">
        <v>1.127</v>
      </c>
      <c r="P109" s="138">
        <v>1.1379999999999999</v>
      </c>
      <c r="Q109" s="138">
        <v>1.149</v>
      </c>
      <c r="R109" s="138">
        <v>1.161</v>
      </c>
      <c r="S109" s="138">
        <v>1.173</v>
      </c>
      <c r="T109" s="138">
        <v>1.1839999999999999</v>
      </c>
      <c r="U109" s="138">
        <v>1.196</v>
      </c>
      <c r="V109" s="138">
        <v>1.208</v>
      </c>
      <c r="W109" s="138">
        <v>1.22</v>
      </c>
    </row>
    <row r="118" spans="2:23">
      <c r="B118" s="137" t="s">
        <v>50</v>
      </c>
    </row>
    <row r="121" spans="2:23">
      <c r="B121" s="157" t="s">
        <v>39</v>
      </c>
      <c r="C121" s="157"/>
      <c r="D121" s="158">
        <v>2021</v>
      </c>
      <c r="E121" s="158">
        <v>2022</v>
      </c>
      <c r="F121" s="158">
        <v>2023</v>
      </c>
      <c r="G121" s="158">
        <v>2024</v>
      </c>
      <c r="H121" s="158">
        <v>2025</v>
      </c>
      <c r="I121" s="158">
        <v>2026</v>
      </c>
      <c r="J121" s="158">
        <v>2027</v>
      </c>
      <c r="K121" s="158">
        <v>2028</v>
      </c>
      <c r="L121" s="158">
        <v>2029</v>
      </c>
      <c r="M121" s="158">
        <v>2030</v>
      </c>
      <c r="N121" s="158">
        <v>2031</v>
      </c>
      <c r="O121" s="158">
        <v>2032</v>
      </c>
      <c r="P121" s="158">
        <v>2033</v>
      </c>
      <c r="Q121" s="158">
        <v>2034</v>
      </c>
      <c r="R121" s="158">
        <v>2035</v>
      </c>
      <c r="S121" s="158">
        <v>2036</v>
      </c>
      <c r="T121" s="158">
        <v>2037</v>
      </c>
      <c r="U121" s="158">
        <v>2038</v>
      </c>
      <c r="V121" s="158">
        <v>2039</v>
      </c>
      <c r="W121" s="158">
        <v>2040</v>
      </c>
    </row>
    <row r="124" spans="2:23">
      <c r="B124" s="137" t="s">
        <v>49</v>
      </c>
    </row>
    <row r="130" spans="2:28">
      <c r="B130" s="138" t="s">
        <v>409</v>
      </c>
      <c r="C130" s="138" t="s">
        <v>410</v>
      </c>
      <c r="D130" s="138" t="s">
        <v>411</v>
      </c>
      <c r="E130" s="138" t="s">
        <v>412</v>
      </c>
      <c r="F130" s="138" t="s">
        <v>413</v>
      </c>
      <c r="G130" s="138" t="s">
        <v>414</v>
      </c>
      <c r="H130" s="138" t="s">
        <v>415</v>
      </c>
      <c r="I130" s="138" t="s">
        <v>416</v>
      </c>
      <c r="J130" s="138" t="s">
        <v>417</v>
      </c>
      <c r="K130" s="138" t="s">
        <v>418</v>
      </c>
      <c r="L130" s="138" t="s">
        <v>419</v>
      </c>
      <c r="M130" s="138" t="s">
        <v>420</v>
      </c>
      <c r="N130" s="138" t="s">
        <v>421</v>
      </c>
      <c r="O130" s="138" t="s">
        <v>422</v>
      </c>
      <c r="P130" s="138" t="s">
        <v>423</v>
      </c>
      <c r="Q130" s="138" t="s">
        <v>424</v>
      </c>
      <c r="R130" s="138" t="s">
        <v>425</v>
      </c>
      <c r="S130" s="138" t="s">
        <v>426</v>
      </c>
      <c r="T130" s="138" t="s">
        <v>427</v>
      </c>
      <c r="U130" s="138" t="s">
        <v>428</v>
      </c>
      <c r="V130" s="138" t="s">
        <v>429</v>
      </c>
      <c r="W130" s="138" t="s">
        <v>430</v>
      </c>
      <c r="X130" s="138" t="s">
        <v>431</v>
      </c>
      <c r="Y130" s="138" t="s">
        <v>432</v>
      </c>
      <c r="Z130" s="138" t="s">
        <v>433</v>
      </c>
      <c r="AA130" s="138" t="s">
        <v>434</v>
      </c>
      <c r="AB130" s="138" t="s">
        <v>435</v>
      </c>
    </row>
    <row r="131" spans="2:28">
      <c r="B131" s="138" t="s">
        <v>409</v>
      </c>
      <c r="C131" s="138" t="s">
        <v>4</v>
      </c>
      <c r="D131" s="138" t="s">
        <v>436</v>
      </c>
      <c r="E131" s="138" t="s">
        <v>437</v>
      </c>
      <c r="F131" s="138" t="s">
        <v>438</v>
      </c>
      <c r="G131" s="138" t="s">
        <v>439</v>
      </c>
      <c r="H131" s="138" t="s">
        <v>440</v>
      </c>
      <c r="I131" s="138" t="s">
        <v>441</v>
      </c>
      <c r="J131" s="138" t="s">
        <v>442</v>
      </c>
      <c r="K131" s="138" t="s">
        <v>443</v>
      </c>
      <c r="L131" s="138" t="s">
        <v>444</v>
      </c>
      <c r="M131" s="138" t="s">
        <v>445</v>
      </c>
      <c r="N131" s="138" t="s">
        <v>446</v>
      </c>
      <c r="O131" s="138" t="s">
        <v>447</v>
      </c>
      <c r="P131" s="138" t="s">
        <v>448</v>
      </c>
      <c r="Q131" s="138" t="s">
        <v>449</v>
      </c>
      <c r="R131" s="138" t="s">
        <v>450</v>
      </c>
      <c r="S131" s="138" t="s">
        <v>451</v>
      </c>
      <c r="T131" s="138" t="s">
        <v>452</v>
      </c>
      <c r="U131" s="138" t="s">
        <v>453</v>
      </c>
      <c r="V131" s="138" t="s">
        <v>454</v>
      </c>
      <c r="W131" s="138" t="s">
        <v>455</v>
      </c>
      <c r="X131" s="138" t="s">
        <v>456</v>
      </c>
      <c r="Y131" s="138" t="s">
        <v>457</v>
      </c>
      <c r="Z131" s="138" t="s">
        <v>458</v>
      </c>
      <c r="AA131" s="138" t="s">
        <v>459</v>
      </c>
    </row>
    <row r="132" spans="2:28">
      <c r="B132" s="138" t="s">
        <v>409</v>
      </c>
      <c r="C132" s="138" t="s">
        <v>4</v>
      </c>
      <c r="D132" s="138" t="s">
        <v>460</v>
      </c>
      <c r="E132" s="138" t="s">
        <v>461</v>
      </c>
      <c r="F132" s="138" t="s">
        <v>462</v>
      </c>
      <c r="G132" s="138" t="s">
        <v>15</v>
      </c>
      <c r="H132" s="138" t="s">
        <v>463</v>
      </c>
      <c r="I132" s="138" t="s">
        <v>463</v>
      </c>
      <c r="J132" s="138" t="s">
        <v>464</v>
      </c>
      <c r="K132" s="138" t="s">
        <v>465</v>
      </c>
      <c r="L132" s="138" t="s">
        <v>466</v>
      </c>
      <c r="M132" s="138" t="s">
        <v>467</v>
      </c>
      <c r="N132" s="138" t="s">
        <v>468</v>
      </c>
      <c r="O132" s="138" t="s">
        <v>469</v>
      </c>
      <c r="P132" s="138" t="s">
        <v>470</v>
      </c>
      <c r="Q132" s="138" t="s">
        <v>471</v>
      </c>
      <c r="R132" s="138" t="s">
        <v>472</v>
      </c>
      <c r="S132" s="138" t="s">
        <v>473</v>
      </c>
      <c r="T132" s="138" t="s">
        <v>474</v>
      </c>
      <c r="U132" s="138" t="s">
        <v>475</v>
      </c>
      <c r="V132" s="138" t="s">
        <v>476</v>
      </c>
      <c r="W132" s="138" t="s">
        <v>477</v>
      </c>
      <c r="X132" s="138" t="s">
        <v>478</v>
      </c>
      <c r="Y132" s="138" t="s">
        <v>479</v>
      </c>
      <c r="Z132" s="138" t="s">
        <v>480</v>
      </c>
      <c r="AA132" s="138" t="s">
        <v>481</v>
      </c>
    </row>
    <row r="133" spans="2:28">
      <c r="B133" s="138" t="s">
        <v>482</v>
      </c>
      <c r="C133" s="138" t="s">
        <v>483</v>
      </c>
      <c r="D133" s="138" t="s">
        <v>484</v>
      </c>
      <c r="E133" s="138" t="s">
        <v>485</v>
      </c>
      <c r="F133" s="138" t="s">
        <v>460</v>
      </c>
      <c r="G133" s="138" t="s">
        <v>486</v>
      </c>
      <c r="H133" s="138">
        <v>1</v>
      </c>
      <c r="I133" s="138">
        <v>1.01</v>
      </c>
      <c r="J133" s="138">
        <v>1.02</v>
      </c>
      <c r="K133" s="138">
        <v>1.03</v>
      </c>
      <c r="L133" s="138">
        <v>1.0409999999999999</v>
      </c>
      <c r="M133" s="138">
        <v>1.0509999999999999</v>
      </c>
      <c r="N133" s="138">
        <v>1.0620000000000001</v>
      </c>
      <c r="O133" s="138">
        <v>1.0720000000000001</v>
      </c>
      <c r="P133" s="138">
        <v>1.083</v>
      </c>
      <c r="Q133" s="138">
        <v>1.0940000000000001</v>
      </c>
      <c r="R133" s="138">
        <v>1.105</v>
      </c>
      <c r="S133" s="138">
        <v>1.1160000000000001</v>
      </c>
      <c r="T133" s="138">
        <v>1.127</v>
      </c>
      <c r="U133" s="138">
        <v>1.1379999999999999</v>
      </c>
      <c r="V133" s="138">
        <v>1.149</v>
      </c>
      <c r="W133" s="138">
        <v>1.161</v>
      </c>
      <c r="X133" s="138">
        <v>1.173</v>
      </c>
      <c r="Y133" s="138">
        <v>1.1839999999999999</v>
      </c>
      <c r="Z133" s="138">
        <v>1.196</v>
      </c>
      <c r="AA133" s="138">
        <v>1.208</v>
      </c>
      <c r="AB133" s="138">
        <v>1.22</v>
      </c>
    </row>
    <row r="134" spans="2:28">
      <c r="B134" s="138" t="s">
        <v>487</v>
      </c>
      <c r="C134" s="138" t="s">
        <v>488</v>
      </c>
      <c r="D134" s="138" t="s">
        <v>441</v>
      </c>
      <c r="E134" s="138" t="s">
        <v>441</v>
      </c>
      <c r="F134" s="138" t="s">
        <v>441</v>
      </c>
      <c r="G134" s="138" t="s">
        <v>441</v>
      </c>
      <c r="H134" s="138" t="s">
        <v>441</v>
      </c>
      <c r="I134" s="138" t="s">
        <v>441</v>
      </c>
      <c r="J134" s="138" t="s">
        <v>441</v>
      </c>
      <c r="K134" s="138" t="s">
        <v>441</v>
      </c>
      <c r="L134" s="138" t="s">
        <v>441</v>
      </c>
      <c r="M134" s="138" t="s">
        <v>441</v>
      </c>
      <c r="N134" s="138" t="s">
        <v>441</v>
      </c>
      <c r="O134" s="138" t="s">
        <v>441</v>
      </c>
      <c r="P134" s="138" t="s">
        <v>441</v>
      </c>
      <c r="Q134" s="138" t="s">
        <v>441</v>
      </c>
      <c r="R134" s="138" t="s">
        <v>441</v>
      </c>
      <c r="S134" s="138" t="s">
        <v>441</v>
      </c>
      <c r="T134" s="138" t="s">
        <v>441</v>
      </c>
      <c r="U134" s="138" t="s">
        <v>441</v>
      </c>
      <c r="V134" s="138" t="s">
        <v>441</v>
      </c>
      <c r="W134" s="138" t="s">
        <v>441</v>
      </c>
    </row>
    <row r="135" spans="2:28">
      <c r="B135" s="138" t="s">
        <v>482</v>
      </c>
      <c r="C135" s="138" t="s">
        <v>483</v>
      </c>
      <c r="D135" s="138" t="s">
        <v>484</v>
      </c>
      <c r="E135" s="138">
        <v>0</v>
      </c>
      <c r="F135" s="138">
        <v>10</v>
      </c>
      <c r="G135" s="138">
        <v>31</v>
      </c>
      <c r="H135" s="138">
        <v>138</v>
      </c>
      <c r="I135" s="138">
        <v>313</v>
      </c>
      <c r="J135" s="138">
        <v>576</v>
      </c>
      <c r="K135" s="138">
        <v>956</v>
      </c>
      <c r="L135" s="138">
        <v>1.48</v>
      </c>
      <c r="M135" s="138">
        <v>2.1429999999999998</v>
      </c>
      <c r="N135" s="138">
        <v>2.9729999999999999</v>
      </c>
      <c r="O135" s="138">
        <v>3.99</v>
      </c>
      <c r="P135" s="138">
        <v>5.48</v>
      </c>
      <c r="Q135" s="138">
        <v>7.2709999999999999</v>
      </c>
      <c r="R135" s="138">
        <v>9.3960000000000008</v>
      </c>
      <c r="S135" s="138">
        <v>11.891999999999999</v>
      </c>
      <c r="T135" s="138">
        <v>14.8</v>
      </c>
      <c r="U135" s="138">
        <v>18.169</v>
      </c>
      <c r="V135" s="138">
        <v>22.05</v>
      </c>
      <c r="W135" s="138">
        <v>26.501999999999999</v>
      </c>
      <c r="X135" s="138">
        <v>31.591999999999999</v>
      </c>
      <c r="Y135" s="138">
        <v>37.392000000000003</v>
      </c>
    </row>
    <row r="136" spans="2:28">
      <c r="B136" s="138" t="s">
        <v>489</v>
      </c>
      <c r="C136" s="138" t="s">
        <v>490</v>
      </c>
      <c r="D136" s="138" t="s">
        <v>491</v>
      </c>
      <c r="E136" s="138" t="s">
        <v>492</v>
      </c>
      <c r="F136" s="138" t="s">
        <v>493</v>
      </c>
      <c r="G136" s="138" t="s">
        <v>15</v>
      </c>
      <c r="H136" s="138">
        <v>8</v>
      </c>
      <c r="I136" s="138">
        <v>23</v>
      </c>
      <c r="J136" s="138">
        <v>101</v>
      </c>
      <c r="K136" s="138">
        <v>227</v>
      </c>
      <c r="L136" s="138">
        <v>414</v>
      </c>
      <c r="M136" s="138">
        <v>683</v>
      </c>
      <c r="N136" s="138">
        <v>1.048</v>
      </c>
      <c r="O136" s="138">
        <v>1.504</v>
      </c>
      <c r="P136" s="138">
        <v>2.069</v>
      </c>
      <c r="Q136" s="138">
        <v>2.7530000000000001</v>
      </c>
      <c r="R136" s="138">
        <v>3.77</v>
      </c>
      <c r="S136" s="138">
        <v>4.9880000000000004</v>
      </c>
      <c r="T136" s="138">
        <v>6.4269999999999996</v>
      </c>
      <c r="U136" s="138">
        <v>8.11</v>
      </c>
      <c r="V136" s="138">
        <v>10.064</v>
      </c>
      <c r="W136" s="138">
        <v>12.318</v>
      </c>
      <c r="X136" s="138">
        <v>14.906000000000001</v>
      </c>
      <c r="Y136" s="138">
        <v>17.861999999999998</v>
      </c>
      <c r="Z136" s="138">
        <v>21.228999999999999</v>
      </c>
      <c r="AA136" s="138">
        <v>25.053000000000001</v>
      </c>
    </row>
    <row r="137" spans="2:28">
      <c r="B137" s="138" t="s">
        <v>494</v>
      </c>
      <c r="C137" s="138" t="s">
        <v>495</v>
      </c>
      <c r="D137" s="138" t="s">
        <v>438</v>
      </c>
      <c r="E137" s="176">
        <v>0.75</v>
      </c>
      <c r="F137" s="176">
        <v>0.74</v>
      </c>
      <c r="G137" s="176">
        <v>0.74</v>
      </c>
      <c r="H137" s="176">
        <v>0.73</v>
      </c>
      <c r="I137" s="176">
        <v>0.73</v>
      </c>
      <c r="J137" s="176">
        <v>0.72</v>
      </c>
      <c r="K137" s="176">
        <v>0.71</v>
      </c>
      <c r="L137" s="176">
        <v>0.71</v>
      </c>
      <c r="M137" s="176">
        <v>0.7</v>
      </c>
      <c r="N137" s="176">
        <v>0.7</v>
      </c>
      <c r="O137" s="176">
        <v>0.69</v>
      </c>
      <c r="P137" s="176">
        <v>0.69</v>
      </c>
      <c r="Q137" s="176">
        <v>0.69</v>
      </c>
      <c r="R137" s="176">
        <v>0.68</v>
      </c>
      <c r="S137" s="176">
        <v>0.68</v>
      </c>
      <c r="T137" s="176">
        <v>0.68</v>
      </c>
      <c r="U137" s="176">
        <v>0.68</v>
      </c>
      <c r="V137" s="176">
        <v>0.68</v>
      </c>
      <c r="W137" s="176">
        <v>0.67</v>
      </c>
      <c r="X137" s="176">
        <v>0.67</v>
      </c>
      <c r="Y137" s="176">
        <v>0.67</v>
      </c>
    </row>
    <row r="138" spans="2:28">
      <c r="B138" s="138" t="s">
        <v>496</v>
      </c>
      <c r="C138" s="138" t="s">
        <v>497</v>
      </c>
      <c r="D138" s="138" t="s">
        <v>498</v>
      </c>
      <c r="E138" s="138" t="s">
        <v>499</v>
      </c>
      <c r="F138" s="138" t="s">
        <v>15</v>
      </c>
      <c r="G138" s="138">
        <v>2</v>
      </c>
      <c r="H138" s="138">
        <v>6</v>
      </c>
      <c r="I138" s="138">
        <v>26</v>
      </c>
      <c r="J138" s="138">
        <v>59</v>
      </c>
      <c r="K138" s="138">
        <v>106</v>
      </c>
      <c r="L138" s="138">
        <v>174</v>
      </c>
      <c r="M138" s="138">
        <v>265</v>
      </c>
      <c r="N138" s="138">
        <v>377</v>
      </c>
      <c r="O138" s="138">
        <v>514</v>
      </c>
      <c r="P138" s="138">
        <v>678</v>
      </c>
      <c r="Q138" s="138">
        <v>926</v>
      </c>
      <c r="R138" s="138">
        <v>1.222</v>
      </c>
      <c r="S138" s="138">
        <v>1.569</v>
      </c>
      <c r="T138" s="138">
        <v>1.974</v>
      </c>
      <c r="U138" s="138">
        <v>2.4420000000000002</v>
      </c>
      <c r="V138" s="138">
        <v>2.98</v>
      </c>
      <c r="W138" s="138">
        <v>3.5939999999999999</v>
      </c>
      <c r="X138" s="138">
        <v>4.2930000000000001</v>
      </c>
      <c r="Y138" s="138">
        <v>5.0860000000000003</v>
      </c>
      <c r="Z138" s="138">
        <v>5.9829999999999997</v>
      </c>
    </row>
    <row r="139" spans="2:28">
      <c r="B139" s="138" t="s">
        <v>500</v>
      </c>
      <c r="C139" s="138" t="s">
        <v>495</v>
      </c>
      <c r="D139" s="138" t="s">
        <v>438</v>
      </c>
      <c r="E139" s="176">
        <v>0.2</v>
      </c>
      <c r="F139" s="176">
        <v>0.2</v>
      </c>
      <c r="G139" s="176">
        <v>0.19</v>
      </c>
      <c r="H139" s="176">
        <v>0.19</v>
      </c>
      <c r="I139" s="176">
        <v>0.19</v>
      </c>
      <c r="J139" s="176">
        <v>0.19</v>
      </c>
      <c r="K139" s="176">
        <v>0.18</v>
      </c>
      <c r="L139" s="176">
        <v>0.18</v>
      </c>
      <c r="M139" s="176">
        <v>0.18</v>
      </c>
      <c r="N139" s="176">
        <v>0.17</v>
      </c>
      <c r="O139" s="176">
        <v>0.17</v>
      </c>
      <c r="P139" s="176">
        <v>0.17</v>
      </c>
      <c r="Q139" s="176">
        <v>0.17</v>
      </c>
      <c r="R139" s="176">
        <v>0.17</v>
      </c>
      <c r="S139" s="176">
        <v>0.17</v>
      </c>
      <c r="T139" s="176">
        <v>0.17</v>
      </c>
      <c r="U139" s="176">
        <v>0.16</v>
      </c>
      <c r="V139" s="176">
        <v>0.16</v>
      </c>
      <c r="W139" s="176">
        <v>0.16</v>
      </c>
      <c r="X139" s="176">
        <v>0.16</v>
      </c>
      <c r="Y139" s="176">
        <v>0.16</v>
      </c>
    </row>
    <row r="140" spans="2:28">
      <c r="B140" s="138" t="s">
        <v>501</v>
      </c>
      <c r="C140" s="138" t="s">
        <v>502</v>
      </c>
      <c r="D140" s="138" t="s">
        <v>503</v>
      </c>
      <c r="E140" s="138" t="s">
        <v>15</v>
      </c>
      <c r="F140" s="138">
        <v>1</v>
      </c>
      <c r="G140" s="138">
        <v>2</v>
      </c>
      <c r="H140" s="138">
        <v>11</v>
      </c>
      <c r="I140" s="138">
        <v>27</v>
      </c>
      <c r="J140" s="138">
        <v>55</v>
      </c>
      <c r="K140" s="138">
        <v>99</v>
      </c>
      <c r="L140" s="138">
        <v>167</v>
      </c>
      <c r="M140" s="138">
        <v>261</v>
      </c>
      <c r="N140" s="138">
        <v>389</v>
      </c>
      <c r="O140" s="138">
        <v>559</v>
      </c>
      <c r="P140" s="138">
        <v>784</v>
      </c>
      <c r="Q140" s="138">
        <v>1.0620000000000001</v>
      </c>
      <c r="R140" s="138">
        <v>1.4</v>
      </c>
      <c r="S140" s="138">
        <v>1.8080000000000001</v>
      </c>
      <c r="T140" s="138">
        <v>2.294</v>
      </c>
      <c r="U140" s="138">
        <v>2.871</v>
      </c>
      <c r="V140" s="138">
        <v>3.55</v>
      </c>
      <c r="W140" s="138">
        <v>4.3460000000000001</v>
      </c>
      <c r="X140" s="138">
        <v>5.2759999999999998</v>
      </c>
      <c r="Y140" s="138">
        <v>6.3570000000000002</v>
      </c>
    </row>
    <row r="141" spans="2:28">
      <c r="B141" s="138" t="s">
        <v>502</v>
      </c>
      <c r="C141" s="138" t="s">
        <v>504</v>
      </c>
      <c r="D141" s="138" t="s">
        <v>438</v>
      </c>
      <c r="E141" s="138" t="s">
        <v>505</v>
      </c>
      <c r="F141" s="138" t="s">
        <v>506</v>
      </c>
      <c r="G141" s="138" t="s">
        <v>507</v>
      </c>
      <c r="H141" s="138" t="s">
        <v>508</v>
      </c>
      <c r="I141" s="138" t="s">
        <v>445</v>
      </c>
      <c r="J141" s="138" t="s">
        <v>509</v>
      </c>
      <c r="K141" s="138" t="s">
        <v>510</v>
      </c>
      <c r="L141" s="138" t="s">
        <v>511</v>
      </c>
      <c r="M141" s="138" t="s">
        <v>512</v>
      </c>
      <c r="N141" s="138" t="s">
        <v>513</v>
      </c>
      <c r="O141" s="138" t="s">
        <v>514</v>
      </c>
      <c r="P141" s="138" t="s">
        <v>515</v>
      </c>
      <c r="Q141" s="138" t="s">
        <v>516</v>
      </c>
      <c r="R141" s="138" t="s">
        <v>517</v>
      </c>
      <c r="S141" s="138" t="s">
        <v>518</v>
      </c>
      <c r="T141" s="138" t="s">
        <v>519</v>
      </c>
      <c r="U141" s="138" t="s">
        <v>520</v>
      </c>
      <c r="V141" s="138" t="s">
        <v>521</v>
      </c>
      <c r="W141" s="138" t="s">
        <v>522</v>
      </c>
      <c r="X141" s="138" t="s">
        <v>523</v>
      </c>
    </row>
    <row r="142" spans="2:28">
      <c r="B142" s="138" t="s">
        <v>524</v>
      </c>
      <c r="C142" s="138" t="s">
        <v>525</v>
      </c>
      <c r="D142" s="138" t="s">
        <v>438</v>
      </c>
      <c r="E142" s="138" t="s">
        <v>526</v>
      </c>
      <c r="F142" s="138" t="s">
        <v>526</v>
      </c>
      <c r="G142" s="138" t="s">
        <v>526</v>
      </c>
      <c r="H142" s="138" t="s">
        <v>526</v>
      </c>
      <c r="I142" s="138" t="s">
        <v>526</v>
      </c>
      <c r="J142" s="138" t="s">
        <v>526</v>
      </c>
      <c r="K142" s="138" t="s">
        <v>526</v>
      </c>
      <c r="L142" s="138" t="s">
        <v>526</v>
      </c>
      <c r="M142" s="138" t="s">
        <v>526</v>
      </c>
      <c r="N142" s="138" t="s">
        <v>526</v>
      </c>
      <c r="O142" s="138" t="s">
        <v>526</v>
      </c>
      <c r="P142" s="138" t="s">
        <v>526</v>
      </c>
      <c r="Q142" s="138" t="s">
        <v>526</v>
      </c>
      <c r="R142" s="138" t="s">
        <v>526</v>
      </c>
      <c r="S142" s="138" t="s">
        <v>526</v>
      </c>
      <c r="T142" s="138" t="s">
        <v>526</v>
      </c>
      <c r="U142" s="138" t="s">
        <v>526</v>
      </c>
      <c r="V142" s="138" t="s">
        <v>526</v>
      </c>
      <c r="W142" s="138" t="s">
        <v>526</v>
      </c>
      <c r="X142" s="138" t="s">
        <v>526</v>
      </c>
      <c r="Y142" s="138" t="s">
        <v>526</v>
      </c>
    </row>
    <row r="143" spans="2:28">
      <c r="B143" s="138" t="s">
        <v>22</v>
      </c>
      <c r="C143" s="138" t="s">
        <v>15</v>
      </c>
      <c r="D143" s="138">
        <v>0</v>
      </c>
      <c r="E143" s="138">
        <v>2</v>
      </c>
      <c r="F143" s="138">
        <v>8</v>
      </c>
      <c r="G143" s="138">
        <v>20</v>
      </c>
      <c r="H143" s="138">
        <v>41</v>
      </c>
      <c r="I143" s="138">
        <v>75</v>
      </c>
      <c r="J143" s="138">
        <v>125</v>
      </c>
      <c r="K143" s="138">
        <v>196</v>
      </c>
      <c r="L143" s="138">
        <v>292</v>
      </c>
      <c r="M143" s="138">
        <v>419</v>
      </c>
      <c r="N143" s="138">
        <v>588</v>
      </c>
      <c r="O143" s="138">
        <v>796</v>
      </c>
      <c r="P143" s="138">
        <v>1.05</v>
      </c>
      <c r="Q143" s="138">
        <v>1.3560000000000001</v>
      </c>
      <c r="R143" s="138">
        <v>1.7210000000000001</v>
      </c>
      <c r="S143" s="138">
        <v>2.153</v>
      </c>
      <c r="T143" s="138">
        <v>2.6619999999999999</v>
      </c>
      <c r="U143" s="138">
        <v>3.26</v>
      </c>
      <c r="V143" s="138">
        <v>3.9569999999999999</v>
      </c>
      <c r="W143" s="138">
        <v>4.7670000000000003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2:G265"/>
  <sheetViews>
    <sheetView topLeftCell="A221" zoomScale="85" zoomScaleNormal="85" workbookViewId="0">
      <selection activeCell="B33" sqref="B33"/>
    </sheetView>
  </sheetViews>
  <sheetFormatPr baseColWidth="10" defaultRowHeight="14.25"/>
  <cols>
    <col min="1" max="1" width="11.42578125" style="11"/>
    <col min="2" max="2" width="85.85546875" style="11" bestFit="1" customWidth="1"/>
    <col min="3" max="3" width="14.140625" style="11" bestFit="1" customWidth="1"/>
    <col min="4" max="4" width="28.140625" style="11" bestFit="1" customWidth="1"/>
    <col min="5" max="5" width="22.28515625" style="11" customWidth="1"/>
    <col min="6" max="6" width="15.28515625" style="11" customWidth="1"/>
    <col min="7" max="7" width="13.5703125" style="11" customWidth="1"/>
    <col min="8" max="16384" width="11.42578125" style="11"/>
  </cols>
  <sheetData>
    <row r="2" spans="2:6" ht="15">
      <c r="B2" s="13" t="s">
        <v>211</v>
      </c>
    </row>
    <row r="4" spans="2:6" ht="15">
      <c r="B4" s="13" t="s">
        <v>212</v>
      </c>
    </row>
    <row r="5" spans="2:6" ht="15">
      <c r="B5" s="13" t="s">
        <v>213</v>
      </c>
    </row>
    <row r="8" spans="2:6" ht="15">
      <c r="B8" s="22" t="s">
        <v>337</v>
      </c>
      <c r="C8" s="14"/>
      <c r="D8" s="14"/>
      <c r="E8" s="14"/>
      <c r="F8" s="14"/>
    </row>
    <row r="9" spans="2:6" ht="15">
      <c r="B9" s="23"/>
      <c r="C9" s="24"/>
      <c r="D9" s="24"/>
      <c r="E9" s="24"/>
      <c r="F9" s="24"/>
    </row>
    <row r="10" spans="2:6">
      <c r="B10" s="36"/>
      <c r="C10" s="36" t="s">
        <v>166</v>
      </c>
      <c r="D10" s="25" t="s">
        <v>167</v>
      </c>
      <c r="E10" s="37" t="s">
        <v>168</v>
      </c>
      <c r="F10" s="36" t="s">
        <v>169</v>
      </c>
    </row>
    <row r="11" spans="2:6" ht="15">
      <c r="B11" s="38" t="s">
        <v>170</v>
      </c>
      <c r="C11" s="39"/>
      <c r="D11" s="39"/>
      <c r="E11" s="39"/>
      <c r="F11" s="39"/>
    </row>
    <row r="12" spans="2:6">
      <c r="B12" s="40" t="s">
        <v>171</v>
      </c>
      <c r="C12" s="41">
        <v>0.2</v>
      </c>
      <c r="D12" s="41">
        <v>0.4</v>
      </c>
      <c r="E12" s="41">
        <v>0.6</v>
      </c>
      <c r="F12" s="41">
        <v>0.8</v>
      </c>
    </row>
    <row r="13" spans="2:6">
      <c r="B13" s="36" t="s">
        <v>172</v>
      </c>
      <c r="C13" s="42">
        <v>4000</v>
      </c>
      <c r="D13" s="42">
        <v>13000</v>
      </c>
      <c r="E13" s="42">
        <v>5000</v>
      </c>
      <c r="F13" s="42">
        <v>17000</v>
      </c>
    </row>
    <row r="14" spans="2:6" ht="18" customHeight="1">
      <c r="B14" s="26" t="s">
        <v>173</v>
      </c>
      <c r="C14" s="43">
        <v>0</v>
      </c>
      <c r="D14" s="43">
        <v>0.2</v>
      </c>
      <c r="E14" s="43">
        <v>0.6</v>
      </c>
      <c r="F14" s="43">
        <v>0.7</v>
      </c>
    </row>
    <row r="15" spans="2:6" ht="22.5" customHeight="1">
      <c r="B15" s="37" t="s">
        <v>174</v>
      </c>
      <c r="C15" s="44">
        <v>0</v>
      </c>
      <c r="D15" s="25"/>
      <c r="E15" s="45">
        <v>0.5</v>
      </c>
      <c r="F15" s="44">
        <v>1</v>
      </c>
    </row>
    <row r="16" spans="2:6">
      <c r="B16" s="36" t="s">
        <v>175</v>
      </c>
      <c r="C16" s="41">
        <v>0.05</v>
      </c>
      <c r="D16" s="41">
        <v>0.4</v>
      </c>
      <c r="E16" s="41">
        <v>0.6</v>
      </c>
      <c r="F16" s="41">
        <v>0.9</v>
      </c>
    </row>
    <row r="17" spans="2:6">
      <c r="B17" s="36"/>
      <c r="C17" s="41"/>
      <c r="D17" s="41"/>
      <c r="E17" s="41"/>
      <c r="F17" s="41"/>
    </row>
    <row r="18" spans="2:6" ht="15">
      <c r="B18" s="46" t="s">
        <v>176</v>
      </c>
      <c r="C18" s="47"/>
      <c r="D18" s="47"/>
      <c r="E18" s="47"/>
      <c r="F18" s="47"/>
    </row>
    <row r="19" spans="2:6">
      <c r="B19" s="48" t="s">
        <v>177</v>
      </c>
      <c r="C19" s="49">
        <v>500000000000</v>
      </c>
      <c r="D19" s="49">
        <v>700000000000</v>
      </c>
      <c r="E19" s="49">
        <v>1000000000000</v>
      </c>
      <c r="F19" s="49">
        <v>2000000000000</v>
      </c>
    </row>
    <row r="20" spans="2:6">
      <c r="B20" s="50" t="s">
        <v>178</v>
      </c>
      <c r="C20" s="51">
        <v>0</v>
      </c>
      <c r="D20" s="51">
        <v>0</v>
      </c>
      <c r="E20" s="51">
        <v>0</v>
      </c>
      <c r="F20" s="51">
        <v>0</v>
      </c>
    </row>
    <row r="21" spans="2:6">
      <c r="B21" s="52" t="s">
        <v>179</v>
      </c>
      <c r="C21" s="49">
        <v>3000000000</v>
      </c>
      <c r="D21" s="49">
        <v>3000000000</v>
      </c>
      <c r="E21" s="49">
        <v>3000000000</v>
      </c>
      <c r="F21" s="49">
        <v>3000000000</v>
      </c>
    </row>
    <row r="22" spans="2:6">
      <c r="B22" s="36" t="s">
        <v>180</v>
      </c>
      <c r="C22" s="41">
        <v>0</v>
      </c>
      <c r="D22" s="41">
        <v>0.4</v>
      </c>
      <c r="E22" s="41">
        <v>0.8</v>
      </c>
      <c r="F22" s="41">
        <v>0.95</v>
      </c>
    </row>
    <row r="23" spans="2:6">
      <c r="B23" s="36"/>
      <c r="C23" s="41"/>
      <c r="D23" s="41"/>
      <c r="E23" s="41"/>
      <c r="F23" s="41"/>
    </row>
    <row r="24" spans="2:6" ht="15">
      <c r="B24" s="53" t="s">
        <v>181</v>
      </c>
      <c r="C24" s="47"/>
      <c r="D24" s="47"/>
      <c r="E24" s="47"/>
      <c r="F24" s="47"/>
    </row>
    <row r="25" spans="2:6">
      <c r="B25" s="36" t="s">
        <v>182</v>
      </c>
      <c r="C25" s="43">
        <v>0.1</v>
      </c>
      <c r="D25" s="43">
        <v>0.13500000000000001</v>
      </c>
      <c r="E25" s="43">
        <v>0.16499999999999998</v>
      </c>
      <c r="F25" s="43">
        <v>0.2</v>
      </c>
    </row>
    <row r="26" spans="2:6">
      <c r="B26" s="36" t="s">
        <v>183</v>
      </c>
      <c r="C26" s="43">
        <v>0.2</v>
      </c>
      <c r="D26" s="43">
        <v>0.5</v>
      </c>
      <c r="E26" s="43">
        <v>1.1000000000000001</v>
      </c>
      <c r="F26" s="43">
        <v>5</v>
      </c>
    </row>
    <row r="27" spans="2:6">
      <c r="B27" s="36" t="s">
        <v>184</v>
      </c>
      <c r="C27" s="43">
        <v>0.7</v>
      </c>
      <c r="D27" s="43">
        <v>0.95</v>
      </c>
      <c r="E27" s="43">
        <v>0.99</v>
      </c>
      <c r="F27" s="41">
        <v>1</v>
      </c>
    </row>
    <row r="28" spans="2:6">
      <c r="B28" s="36" t="s">
        <v>185</v>
      </c>
      <c r="C28" s="43">
        <v>0.1</v>
      </c>
      <c r="D28" s="43">
        <v>0.15</v>
      </c>
      <c r="E28" s="43">
        <v>0.3</v>
      </c>
      <c r="F28" s="43">
        <v>0.7</v>
      </c>
    </row>
    <row r="29" spans="2:6">
      <c r="B29" s="36" t="s">
        <v>186</v>
      </c>
      <c r="C29" s="43">
        <v>0.15</v>
      </c>
      <c r="D29" s="43">
        <v>0.2</v>
      </c>
      <c r="E29" s="43">
        <v>0.2</v>
      </c>
      <c r="F29" s="41">
        <v>0.25</v>
      </c>
    </row>
    <row r="30" spans="2:6">
      <c r="B30" s="36" t="s">
        <v>187</v>
      </c>
      <c r="C30" s="54">
        <v>0.02</v>
      </c>
      <c r="D30" s="54">
        <v>3.5000000000000003E-2</v>
      </c>
      <c r="E30" s="54">
        <v>0.08</v>
      </c>
      <c r="F30" s="54">
        <v>0.08</v>
      </c>
    </row>
    <row r="31" spans="2:6">
      <c r="B31" s="36"/>
      <c r="C31" s="54"/>
      <c r="D31" s="54"/>
      <c r="E31" s="54"/>
      <c r="F31" s="54"/>
    </row>
    <row r="32" spans="2:6" ht="15">
      <c r="B32" s="46" t="s">
        <v>188</v>
      </c>
      <c r="C32" s="27"/>
      <c r="D32" s="27"/>
      <c r="E32" s="27"/>
      <c r="F32" s="27"/>
    </row>
    <row r="33" spans="2:6">
      <c r="B33" s="32" t="s">
        <v>189</v>
      </c>
      <c r="C33" s="41">
        <v>0</v>
      </c>
      <c r="D33" s="41">
        <v>0.2</v>
      </c>
      <c r="E33" s="41">
        <v>0.6</v>
      </c>
      <c r="F33" s="41">
        <v>1</v>
      </c>
    </row>
    <row r="34" spans="2:6">
      <c r="B34" s="32" t="s">
        <v>190</v>
      </c>
      <c r="C34" s="41">
        <v>0.1</v>
      </c>
      <c r="D34" s="41">
        <v>0.12</v>
      </c>
      <c r="E34" s="41">
        <v>0.14000000000000001</v>
      </c>
      <c r="F34" s="41">
        <v>0.15</v>
      </c>
    </row>
    <row r="35" spans="2:6">
      <c r="B35" s="32" t="s">
        <v>191</v>
      </c>
      <c r="C35" s="55">
        <v>0.14000000000000001</v>
      </c>
      <c r="D35" s="55">
        <v>0.17</v>
      </c>
      <c r="E35" s="55">
        <v>0.19</v>
      </c>
      <c r="F35" s="55">
        <v>0.24</v>
      </c>
    </row>
    <row r="36" spans="2:6">
      <c r="B36" s="32" t="s">
        <v>192</v>
      </c>
      <c r="C36" s="56">
        <v>0.1</v>
      </c>
      <c r="D36" s="56">
        <v>0.26</v>
      </c>
      <c r="E36" s="56">
        <v>0.3</v>
      </c>
      <c r="F36" s="56">
        <v>0.4</v>
      </c>
    </row>
    <row r="37" spans="2:6">
      <c r="B37" s="32" t="s">
        <v>193</v>
      </c>
      <c r="C37" s="41">
        <v>0.65</v>
      </c>
      <c r="D37" s="41">
        <v>0.75</v>
      </c>
      <c r="E37" s="41">
        <v>0.7</v>
      </c>
      <c r="F37" s="41">
        <v>0.8</v>
      </c>
    </row>
    <row r="38" spans="2:6">
      <c r="B38" s="32" t="s">
        <v>194</v>
      </c>
      <c r="C38" s="41">
        <v>0</v>
      </c>
      <c r="D38" s="41">
        <v>0.02</v>
      </c>
      <c r="E38" s="41">
        <v>0.1</v>
      </c>
      <c r="F38" s="41">
        <v>0.25</v>
      </c>
    </row>
    <row r="39" spans="2:6">
      <c r="B39" s="32" t="s">
        <v>195</v>
      </c>
      <c r="C39" s="57">
        <v>10000</v>
      </c>
      <c r="D39" s="57">
        <v>11500</v>
      </c>
      <c r="E39" s="57">
        <v>13500</v>
      </c>
      <c r="F39" s="57">
        <v>15000</v>
      </c>
    </row>
    <row r="40" spans="2:6">
      <c r="B40" s="32"/>
      <c r="C40" s="57"/>
      <c r="D40" s="57"/>
      <c r="E40" s="57"/>
      <c r="F40" s="57"/>
    </row>
    <row r="41" spans="2:6" ht="15">
      <c r="B41" s="46" t="s">
        <v>196</v>
      </c>
      <c r="C41" s="27"/>
      <c r="D41" s="27"/>
      <c r="E41" s="27"/>
      <c r="F41" s="27"/>
    </row>
    <row r="42" spans="2:6">
      <c r="B42" s="58" t="s">
        <v>197</v>
      </c>
      <c r="C42" s="42">
        <v>0</v>
      </c>
      <c r="D42" s="42">
        <v>20000</v>
      </c>
      <c r="E42" s="42">
        <v>40000</v>
      </c>
      <c r="F42" s="42">
        <v>60000</v>
      </c>
    </row>
    <row r="43" spans="2:6">
      <c r="B43" s="26" t="s">
        <v>198</v>
      </c>
      <c r="C43" s="43">
        <v>0.2</v>
      </c>
      <c r="D43" s="43">
        <v>0.25</v>
      </c>
      <c r="E43" s="43">
        <v>0.4</v>
      </c>
      <c r="F43" s="43">
        <v>0.5</v>
      </c>
    </row>
    <row r="44" spans="2:6">
      <c r="B44" s="26"/>
      <c r="C44" s="43"/>
      <c r="D44" s="43"/>
      <c r="E44" s="43"/>
      <c r="F44" s="43"/>
    </row>
    <row r="45" spans="2:6" ht="15">
      <c r="B45" s="53" t="s">
        <v>199</v>
      </c>
      <c r="C45" s="47"/>
      <c r="D45" s="47"/>
      <c r="E45" s="47"/>
      <c r="F45" s="47"/>
    </row>
    <row r="46" spans="2:6">
      <c r="B46" s="36" t="s">
        <v>200</v>
      </c>
      <c r="C46" s="42">
        <v>30000</v>
      </c>
      <c r="D46" s="42">
        <v>90000</v>
      </c>
      <c r="E46" s="42">
        <v>130000</v>
      </c>
      <c r="F46" s="42">
        <v>160000</v>
      </c>
    </row>
    <row r="47" spans="2:6">
      <c r="B47" s="36" t="s">
        <v>201</v>
      </c>
      <c r="C47" s="119">
        <v>0.2</v>
      </c>
      <c r="D47" s="119">
        <v>0.4</v>
      </c>
      <c r="E47" s="119">
        <v>0.6</v>
      </c>
      <c r="F47" s="119">
        <v>0.7</v>
      </c>
    </row>
    <row r="48" spans="2:6">
      <c r="B48" s="36" t="s">
        <v>202</v>
      </c>
      <c r="C48" s="119">
        <v>0.05</v>
      </c>
      <c r="D48" s="119">
        <v>0.1</v>
      </c>
      <c r="E48" s="119">
        <v>0.2</v>
      </c>
      <c r="F48" s="119">
        <v>0.35</v>
      </c>
    </row>
    <row r="49" spans="2:7">
      <c r="B49" s="36" t="s">
        <v>203</v>
      </c>
      <c r="C49" s="119">
        <v>0.15</v>
      </c>
      <c r="D49" s="119">
        <v>0.25</v>
      </c>
      <c r="E49" s="119">
        <v>0.3</v>
      </c>
      <c r="F49" s="41">
        <v>0.5</v>
      </c>
    </row>
    <row r="50" spans="2:7">
      <c r="B50" s="36"/>
      <c r="C50" s="119"/>
      <c r="D50" s="119"/>
      <c r="E50" s="119"/>
      <c r="F50" s="41"/>
    </row>
    <row r="51" spans="2:7" ht="15">
      <c r="B51" s="38" t="s">
        <v>204</v>
      </c>
      <c r="C51" s="47"/>
      <c r="D51" s="47"/>
      <c r="E51" s="47"/>
      <c r="F51" s="47"/>
    </row>
    <row r="52" spans="2:7" ht="24" customHeight="1">
      <c r="B52" s="59" t="s">
        <v>205</v>
      </c>
      <c r="C52" s="43">
        <v>0.08</v>
      </c>
      <c r="D52" s="43">
        <v>0.11</v>
      </c>
      <c r="E52" s="43">
        <v>9.0000000000000011E-2</v>
      </c>
      <c r="F52" s="43">
        <v>0.12</v>
      </c>
    </row>
    <row r="53" spans="2:7" ht="18" customHeight="1">
      <c r="B53" s="59" t="s">
        <v>206</v>
      </c>
      <c r="C53" s="41">
        <v>0.03</v>
      </c>
      <c r="D53" s="41">
        <v>0.06</v>
      </c>
      <c r="E53" s="41">
        <v>0.04</v>
      </c>
      <c r="F53" s="41">
        <v>0.09</v>
      </c>
    </row>
    <row r="54" spans="2:7">
      <c r="B54" s="60" t="s">
        <v>207</v>
      </c>
      <c r="C54" s="119">
        <v>0.2</v>
      </c>
      <c r="D54" s="119">
        <v>0.4</v>
      </c>
      <c r="E54" s="119">
        <v>0.6</v>
      </c>
      <c r="F54" s="119">
        <v>0.8</v>
      </c>
    </row>
    <row r="55" spans="2:7">
      <c r="B55" s="60" t="s">
        <v>208</v>
      </c>
      <c r="C55" s="120">
        <v>13</v>
      </c>
      <c r="D55" s="120">
        <v>13</v>
      </c>
      <c r="E55" s="120">
        <v>13</v>
      </c>
      <c r="F55" s="120">
        <v>13</v>
      </c>
    </row>
    <row r="56" spans="2:7">
      <c r="B56" s="60" t="s">
        <v>209</v>
      </c>
      <c r="C56" s="120">
        <v>10</v>
      </c>
      <c r="D56" s="120">
        <v>10</v>
      </c>
      <c r="E56" s="120">
        <v>10</v>
      </c>
      <c r="F56" s="120">
        <v>10</v>
      </c>
    </row>
    <row r="57" spans="2:7">
      <c r="B57" s="60" t="s">
        <v>210</v>
      </c>
      <c r="C57" s="120">
        <v>19</v>
      </c>
      <c r="D57" s="120">
        <v>19</v>
      </c>
      <c r="E57" s="120">
        <v>19</v>
      </c>
      <c r="F57" s="120">
        <v>19</v>
      </c>
    </row>
    <row r="59" spans="2:7" ht="15">
      <c r="B59" s="22" t="s">
        <v>338</v>
      </c>
      <c r="C59" s="14"/>
      <c r="D59" s="14"/>
      <c r="E59" s="14"/>
      <c r="F59" s="14"/>
      <c r="G59" s="28"/>
    </row>
    <row r="61" spans="2:7" ht="15">
      <c r="B61" s="236" t="s">
        <v>214</v>
      </c>
      <c r="C61" s="237"/>
      <c r="D61" s="237"/>
      <c r="E61" s="237"/>
      <c r="F61" s="237"/>
      <c r="G61" s="237"/>
    </row>
    <row r="62" spans="2:7" ht="42" customHeight="1">
      <c r="B62" s="61" t="s">
        <v>215</v>
      </c>
      <c r="C62" s="194" t="s">
        <v>216</v>
      </c>
      <c r="D62" s="202" t="s">
        <v>217</v>
      </c>
      <c r="E62" s="195" t="s">
        <v>218</v>
      </c>
      <c r="F62" s="202" t="s">
        <v>219</v>
      </c>
      <c r="G62" s="202" t="s">
        <v>220</v>
      </c>
    </row>
    <row r="63" spans="2:7">
      <c r="B63" s="62" t="s">
        <v>221</v>
      </c>
      <c r="C63" s="196">
        <v>95000</v>
      </c>
      <c r="D63" s="197">
        <v>540</v>
      </c>
      <c r="E63" s="198">
        <v>54</v>
      </c>
      <c r="F63" s="199">
        <v>54</v>
      </c>
      <c r="G63" s="67">
        <v>95000</v>
      </c>
    </row>
    <row r="64" spans="2:7">
      <c r="B64" s="62" t="s">
        <v>222</v>
      </c>
      <c r="C64" s="196">
        <v>50000</v>
      </c>
      <c r="D64" s="197">
        <v>4400</v>
      </c>
      <c r="E64" s="198">
        <v>440</v>
      </c>
      <c r="F64" s="199">
        <v>494</v>
      </c>
      <c r="G64" s="67">
        <v>54434.306569343069</v>
      </c>
    </row>
    <row r="65" spans="2:7">
      <c r="B65" s="62" t="s">
        <v>223</v>
      </c>
      <c r="C65" s="196">
        <v>53000</v>
      </c>
      <c r="D65" s="197">
        <v>6700</v>
      </c>
      <c r="E65" s="198">
        <v>670</v>
      </c>
      <c r="F65" s="199">
        <v>1164</v>
      </c>
      <c r="G65" s="67">
        <v>53459.11214953271</v>
      </c>
    </row>
    <row r="66" spans="2:7">
      <c r="B66" s="62" t="s">
        <v>224</v>
      </c>
      <c r="C66" s="196">
        <v>55000</v>
      </c>
      <c r="D66" s="197">
        <v>2700</v>
      </c>
      <c r="E66" s="198">
        <v>270</v>
      </c>
      <c r="F66" s="199">
        <v>1434</v>
      </c>
      <c r="G66" s="67">
        <v>54161.474888747616</v>
      </c>
    </row>
    <row r="67" spans="2:7">
      <c r="B67" s="62" t="s">
        <v>225</v>
      </c>
      <c r="C67" s="196">
        <v>27000</v>
      </c>
      <c r="D67" s="200">
        <v>40000</v>
      </c>
      <c r="E67" s="198">
        <v>4000</v>
      </c>
      <c r="F67" s="199">
        <v>5434</v>
      </c>
      <c r="G67" s="67">
        <v>36959.207459207457</v>
      </c>
    </row>
    <row r="68" spans="2:7">
      <c r="B68" s="65" t="s">
        <v>226</v>
      </c>
      <c r="C68" s="201">
        <v>15000</v>
      </c>
      <c r="D68" s="200">
        <v>1000000</v>
      </c>
      <c r="E68" s="198">
        <v>100000</v>
      </c>
      <c r="F68" s="199">
        <v>105434</v>
      </c>
      <c r="G68" s="67">
        <v>16652.516357640288</v>
      </c>
    </row>
    <row r="69" spans="2:7">
      <c r="B69" s="65"/>
      <c r="C69" s="66"/>
      <c r="D69" s="67"/>
      <c r="E69" s="64"/>
      <c r="F69" s="63"/>
      <c r="G69" s="64"/>
    </row>
    <row r="70" spans="2:7">
      <c r="B70" s="29"/>
      <c r="C70" s="29"/>
      <c r="D70" s="29"/>
      <c r="E70" s="29"/>
      <c r="F70" s="29"/>
      <c r="G70" s="29"/>
    </row>
    <row r="71" spans="2:7" ht="15">
      <c r="B71" s="236" t="s">
        <v>227</v>
      </c>
      <c r="C71" s="237"/>
      <c r="D71" s="237"/>
      <c r="E71" s="237"/>
      <c r="F71" s="237"/>
      <c r="G71" s="29"/>
    </row>
    <row r="72" spans="2:7" ht="15">
      <c r="B72" s="203" t="s">
        <v>228</v>
      </c>
      <c r="C72" s="203" t="s">
        <v>229</v>
      </c>
      <c r="D72" s="203" t="s">
        <v>230</v>
      </c>
      <c r="E72" s="203" t="s">
        <v>231</v>
      </c>
      <c r="F72" s="71" t="s">
        <v>232</v>
      </c>
      <c r="G72" s="29"/>
    </row>
    <row r="73" spans="2:7" ht="28.5">
      <c r="B73" s="205">
        <v>4</v>
      </c>
      <c r="C73" s="204">
        <v>1</v>
      </c>
      <c r="D73" s="70">
        <v>1</v>
      </c>
      <c r="E73" s="70">
        <v>4</v>
      </c>
      <c r="F73" s="71" t="s">
        <v>233</v>
      </c>
      <c r="G73" s="29"/>
    </row>
    <row r="74" spans="2:7">
      <c r="B74" s="205">
        <v>3</v>
      </c>
      <c r="C74" s="204">
        <v>10</v>
      </c>
      <c r="D74" s="70">
        <v>11</v>
      </c>
      <c r="E74" s="70">
        <v>3.0833333333333335</v>
      </c>
      <c r="F74" s="71"/>
      <c r="G74" s="29"/>
    </row>
    <row r="75" spans="2:7" ht="28.5">
      <c r="B75" s="205">
        <v>2</v>
      </c>
      <c r="C75" s="204">
        <v>30</v>
      </c>
      <c r="D75" s="70">
        <v>41</v>
      </c>
      <c r="E75" s="70">
        <v>2.2452830188679247</v>
      </c>
      <c r="F75" s="71" t="s">
        <v>234</v>
      </c>
      <c r="G75" s="29"/>
    </row>
    <row r="76" spans="2:7">
      <c r="B76" s="205">
        <v>1</v>
      </c>
      <c r="C76" s="204">
        <v>100</v>
      </c>
      <c r="D76" s="70">
        <v>141</v>
      </c>
      <c r="E76" s="70">
        <v>1.3402061855670102</v>
      </c>
      <c r="F76" s="71"/>
      <c r="G76" s="29"/>
    </row>
    <row r="77" spans="2:7">
      <c r="B77" s="205">
        <v>0.75</v>
      </c>
      <c r="C77" s="204">
        <v>250</v>
      </c>
      <c r="D77" s="70">
        <v>391</v>
      </c>
      <c r="E77" s="70">
        <v>0.9457264957264957</v>
      </c>
      <c r="F77" s="71"/>
      <c r="G77" s="29"/>
    </row>
    <row r="78" spans="2:7">
      <c r="B78" s="205">
        <v>0.5</v>
      </c>
      <c r="C78" s="204">
        <v>1000</v>
      </c>
      <c r="D78" s="70">
        <v>1391</v>
      </c>
      <c r="E78" s="70">
        <v>0.63195850202429149</v>
      </c>
      <c r="F78" s="71"/>
      <c r="G78" s="29"/>
    </row>
    <row r="79" spans="2:7">
      <c r="B79" s="205">
        <v>0.25</v>
      </c>
      <c r="C79" s="204">
        <v>15000</v>
      </c>
      <c r="D79" s="70">
        <v>16391</v>
      </c>
      <c r="E79" s="70">
        <v>0.29109272064027875</v>
      </c>
      <c r="F79" s="71"/>
      <c r="G79" s="29"/>
    </row>
    <row r="80" spans="2:7">
      <c r="B80" s="68"/>
      <c r="C80" s="69"/>
      <c r="D80" s="70"/>
      <c r="E80" s="70"/>
      <c r="F80" s="71"/>
      <c r="G80" s="29"/>
    </row>
    <row r="81" spans="2:7">
      <c r="B81" s="68"/>
      <c r="C81" s="69"/>
      <c r="D81" s="70"/>
      <c r="E81" s="70"/>
      <c r="F81" s="71"/>
      <c r="G81" s="29"/>
    </row>
    <row r="82" spans="2:7">
      <c r="B82" s="72" t="s">
        <v>339</v>
      </c>
      <c r="C82" s="73"/>
      <c r="D82" s="74"/>
      <c r="E82" s="74"/>
      <c r="F82" s="75"/>
      <c r="G82" s="30"/>
    </row>
    <row r="84" spans="2:7" ht="15">
      <c r="B84" s="76"/>
      <c r="C84" s="153">
        <v>2020</v>
      </c>
      <c r="D84" s="153">
        <v>2025</v>
      </c>
    </row>
    <row r="86" spans="2:7" ht="15">
      <c r="B86" s="121" t="s">
        <v>235</v>
      </c>
      <c r="C86" s="122"/>
      <c r="D86" s="122"/>
    </row>
    <row r="87" spans="2:7">
      <c r="B87" s="77" t="s">
        <v>236</v>
      </c>
      <c r="C87" s="78"/>
      <c r="D87" s="78">
        <v>0.50429958534778818</v>
      </c>
    </row>
    <row r="88" spans="2:7">
      <c r="B88" s="31" t="s">
        <v>237</v>
      </c>
      <c r="C88" s="79"/>
      <c r="D88" s="79">
        <v>12764.1960323316</v>
      </c>
    </row>
    <row r="89" spans="2:7">
      <c r="B89" s="77" t="s">
        <v>238</v>
      </c>
      <c r="C89" s="78"/>
      <c r="D89" s="78">
        <v>0.77603776498517418</v>
      </c>
    </row>
    <row r="90" spans="2:7">
      <c r="B90" s="32" t="s">
        <v>173</v>
      </c>
      <c r="C90" s="78"/>
      <c r="D90" s="78">
        <v>0.33803463776245546</v>
      </c>
    </row>
    <row r="91" spans="2:7">
      <c r="B91" s="80" t="s">
        <v>239</v>
      </c>
      <c r="C91" s="78"/>
      <c r="D91" s="78">
        <v>0</v>
      </c>
    </row>
    <row r="92" spans="2:7">
      <c r="B92" s="80" t="s">
        <v>240</v>
      </c>
      <c r="C92" s="81"/>
      <c r="D92" s="81">
        <v>0</v>
      </c>
    </row>
    <row r="93" spans="2:7">
      <c r="B93" s="80"/>
      <c r="C93" s="81"/>
      <c r="D93" s="81"/>
    </row>
    <row r="94" spans="2:7" ht="15">
      <c r="B94" s="121" t="s">
        <v>176</v>
      </c>
      <c r="C94" s="122"/>
      <c r="D94" s="122"/>
    </row>
    <row r="95" spans="2:7">
      <c r="B95" s="82" t="s">
        <v>241</v>
      </c>
      <c r="C95" s="78"/>
      <c r="D95" s="78">
        <v>9.9955879714477947E-2</v>
      </c>
    </row>
    <row r="96" spans="2:7">
      <c r="B96" s="82" t="s">
        <v>242</v>
      </c>
      <c r="C96" s="83"/>
      <c r="D96" s="83">
        <v>503347350869.54968</v>
      </c>
    </row>
    <row r="97" spans="2:4">
      <c r="B97" s="82" t="s">
        <v>178</v>
      </c>
      <c r="C97" s="83"/>
      <c r="D97" s="83">
        <v>0</v>
      </c>
    </row>
    <row r="98" spans="2:4">
      <c r="B98" s="82" t="s">
        <v>179</v>
      </c>
      <c r="C98" s="83"/>
      <c r="D98" s="83">
        <v>3000000000</v>
      </c>
    </row>
    <row r="99" spans="2:4">
      <c r="B99" s="82"/>
      <c r="C99" s="83"/>
      <c r="D99" s="83"/>
    </row>
    <row r="100" spans="2:4" ht="15">
      <c r="B100" s="121" t="s">
        <v>243</v>
      </c>
      <c r="C100" s="123"/>
      <c r="D100" s="123"/>
    </row>
    <row r="101" spans="2:4">
      <c r="B101" s="77" t="s">
        <v>182</v>
      </c>
      <c r="C101" s="78"/>
      <c r="D101" s="78">
        <v>0.14267657758237479</v>
      </c>
    </row>
    <row r="102" spans="2:4">
      <c r="B102" s="77" t="s">
        <v>184</v>
      </c>
      <c r="C102" s="78"/>
      <c r="D102" s="78">
        <v>0.93862104894125409</v>
      </c>
    </row>
    <row r="103" spans="2:4">
      <c r="B103" s="77" t="s">
        <v>185</v>
      </c>
      <c r="C103" s="78"/>
      <c r="D103" s="78">
        <v>0.28024169624188827</v>
      </c>
    </row>
    <row r="104" spans="2:4">
      <c r="B104" s="77" t="s">
        <v>186</v>
      </c>
      <c r="C104" s="78"/>
      <c r="D104" s="78">
        <v>0.2</v>
      </c>
    </row>
    <row r="105" spans="2:4">
      <c r="B105" s="77" t="s">
        <v>187</v>
      </c>
      <c r="C105" s="78"/>
      <c r="D105" s="78">
        <v>4.9725059301614132E-2</v>
      </c>
    </row>
    <row r="106" spans="2:4">
      <c r="B106" s="77"/>
      <c r="C106" s="78"/>
      <c r="D106" s="78"/>
    </row>
    <row r="107" spans="2:4" ht="15">
      <c r="B107" s="121" t="s">
        <v>244</v>
      </c>
      <c r="C107" s="124"/>
      <c r="D107" s="124"/>
    </row>
    <row r="108" spans="2:4">
      <c r="B108" s="77" t="s">
        <v>245</v>
      </c>
      <c r="C108" s="84"/>
      <c r="D108" s="84">
        <v>0.47396357336029576</v>
      </c>
    </row>
    <row r="109" spans="2:4">
      <c r="B109" s="77" t="s">
        <v>190</v>
      </c>
      <c r="C109" s="85"/>
      <c r="D109" s="85">
        <v>0.1199053383816942</v>
      </c>
    </row>
    <row r="110" spans="2:4">
      <c r="B110" s="77" t="s">
        <v>191</v>
      </c>
      <c r="C110" s="85"/>
      <c r="D110" s="85">
        <v>0.19360090575333885</v>
      </c>
    </row>
    <row r="111" spans="2:4">
      <c r="B111" s="77" t="s">
        <v>192</v>
      </c>
      <c r="C111" s="85"/>
      <c r="D111" s="85">
        <v>0.28567088212903918</v>
      </c>
    </row>
    <row r="112" spans="2:4">
      <c r="B112" s="77" t="s">
        <v>193</v>
      </c>
      <c r="C112" s="78"/>
      <c r="D112" s="78">
        <v>0.69872751044207304</v>
      </c>
    </row>
    <row r="113" spans="2:4">
      <c r="B113" s="77" t="s">
        <v>194</v>
      </c>
      <c r="C113" s="78"/>
      <c r="D113" s="78">
        <v>9.0506906848560331E-2</v>
      </c>
    </row>
    <row r="114" spans="2:4">
      <c r="B114" s="77" t="s">
        <v>195</v>
      </c>
      <c r="C114" s="86"/>
      <c r="D114" s="86">
        <v>13183.723769857201</v>
      </c>
    </row>
    <row r="115" spans="2:4">
      <c r="B115" s="77"/>
      <c r="C115" s="86"/>
      <c r="D115" s="86"/>
    </row>
    <row r="116" spans="2:4" ht="15">
      <c r="B116" s="121" t="s">
        <v>196</v>
      </c>
      <c r="C116" s="123"/>
      <c r="D116" s="123"/>
    </row>
    <row r="117" spans="2:4">
      <c r="B117" s="82" t="s">
        <v>197</v>
      </c>
      <c r="C117" s="86"/>
      <c r="D117" s="86">
        <v>25886.946292466855</v>
      </c>
    </row>
    <row r="118" spans="2:4">
      <c r="B118" s="77" t="s">
        <v>198</v>
      </c>
      <c r="C118" s="78"/>
      <c r="D118" s="78">
        <v>0.2</v>
      </c>
    </row>
    <row r="119" spans="2:4">
      <c r="B119" s="77"/>
      <c r="C119" s="78"/>
      <c r="D119" s="78"/>
    </row>
    <row r="120" spans="2:4" ht="15">
      <c r="B120" s="121" t="s">
        <v>246</v>
      </c>
      <c r="C120" s="123"/>
      <c r="D120" s="123"/>
    </row>
    <row r="121" spans="2:4">
      <c r="B121" s="80" t="s">
        <v>200</v>
      </c>
      <c r="C121" s="86"/>
      <c r="D121" s="86">
        <v>101881.66900017952</v>
      </c>
    </row>
    <row r="122" spans="2:4">
      <c r="B122" s="80" t="s">
        <v>247</v>
      </c>
      <c r="C122" s="78"/>
      <c r="D122" s="78">
        <v>0.59266166983742807</v>
      </c>
    </row>
    <row r="123" spans="2:4">
      <c r="B123" s="80" t="s">
        <v>248</v>
      </c>
      <c r="C123" s="78"/>
      <c r="D123" s="78">
        <v>0.19233464486936586</v>
      </c>
    </row>
    <row r="124" spans="2:4">
      <c r="B124" s="80" t="s">
        <v>249</v>
      </c>
      <c r="C124" s="78"/>
      <c r="D124" s="78">
        <v>0.22353726668722124</v>
      </c>
    </row>
    <row r="125" spans="2:4">
      <c r="B125" s="80"/>
      <c r="C125" s="78"/>
      <c r="D125" s="78"/>
    </row>
    <row r="126" spans="2:4" ht="15">
      <c r="B126" s="121" t="s">
        <v>250</v>
      </c>
      <c r="C126" s="123"/>
      <c r="D126" s="123"/>
    </row>
    <row r="127" spans="2:4">
      <c r="B127" s="80" t="s">
        <v>205</v>
      </c>
      <c r="C127" s="78"/>
      <c r="D127" s="78">
        <v>0.1089576723501461</v>
      </c>
    </row>
    <row r="128" spans="2:4">
      <c r="B128" s="80" t="s">
        <v>206</v>
      </c>
      <c r="C128" s="78"/>
      <c r="D128" s="78">
        <v>5.2103937587509051E-2</v>
      </c>
    </row>
    <row r="129" spans="2:4">
      <c r="B129" s="80" t="s">
        <v>207</v>
      </c>
      <c r="C129" s="78"/>
      <c r="D129" s="78">
        <v>0.40057060473543693</v>
      </c>
    </row>
    <row r="130" spans="2:4">
      <c r="B130" s="80" t="s">
        <v>208</v>
      </c>
      <c r="C130" s="86"/>
      <c r="D130" s="86">
        <v>13</v>
      </c>
    </row>
    <row r="131" spans="2:4">
      <c r="B131" s="80" t="s">
        <v>251</v>
      </c>
      <c r="C131" s="86"/>
      <c r="D131" s="86">
        <v>10</v>
      </c>
    </row>
    <row r="132" spans="2:4">
      <c r="B132" s="80" t="s">
        <v>210</v>
      </c>
      <c r="C132" s="86"/>
      <c r="D132" s="86">
        <v>19</v>
      </c>
    </row>
    <row r="133" spans="2:4">
      <c r="B133" s="80"/>
      <c r="C133" s="86"/>
      <c r="D133" s="86"/>
    </row>
    <row r="134" spans="2:4" ht="15">
      <c r="B134" s="121" t="s">
        <v>252</v>
      </c>
      <c r="C134" s="125"/>
      <c r="D134" s="125"/>
    </row>
    <row r="135" spans="2:4">
      <c r="B135" s="77" t="s">
        <v>253</v>
      </c>
      <c r="C135" s="87">
        <v>509737</v>
      </c>
      <c r="D135" s="87">
        <v>4537873.4598025791</v>
      </c>
    </row>
    <row r="136" spans="2:4">
      <c r="B136" s="77" t="s">
        <v>254</v>
      </c>
      <c r="C136" s="87">
        <v>499550</v>
      </c>
      <c r="D136" s="87">
        <v>4259343.5468025748</v>
      </c>
    </row>
    <row r="137" spans="2:4">
      <c r="B137" s="77"/>
      <c r="C137" s="88"/>
      <c r="D137" s="88"/>
    </row>
    <row r="138" spans="2:4">
      <c r="B138" s="77" t="s">
        <v>255</v>
      </c>
      <c r="C138" s="87">
        <v>1299550</v>
      </c>
      <c r="D138" s="87">
        <v>10683268.369676828</v>
      </c>
    </row>
    <row r="139" spans="2:4">
      <c r="B139" s="77"/>
      <c r="C139" s="89"/>
      <c r="D139" s="89"/>
    </row>
    <row r="140" spans="2:4">
      <c r="B140" s="77" t="s">
        <v>256</v>
      </c>
      <c r="C140" s="90">
        <v>50331.83779086078</v>
      </c>
      <c r="D140" s="90">
        <v>51053.754374343509</v>
      </c>
    </row>
    <row r="141" spans="2:4">
      <c r="B141" s="82" t="s">
        <v>257</v>
      </c>
      <c r="C141" s="83">
        <v>25656000000</v>
      </c>
      <c r="D141" s="83">
        <v>217455479234.40375</v>
      </c>
    </row>
    <row r="142" spans="2:4">
      <c r="B142" s="82"/>
      <c r="C142" s="83"/>
      <c r="D142" s="83"/>
    </row>
    <row r="143" spans="2:4">
      <c r="B143" s="82" t="s">
        <v>258</v>
      </c>
      <c r="C143" s="91">
        <v>37411.670503453104</v>
      </c>
      <c r="D143" s="91">
        <v>23432.348838173053</v>
      </c>
    </row>
    <row r="144" spans="2:4">
      <c r="B144" s="82" t="s">
        <v>259</v>
      </c>
      <c r="C144" s="86">
        <v>3142.8285456911221</v>
      </c>
      <c r="D144" s="86">
        <v>1424.4995833139417</v>
      </c>
    </row>
    <row r="145" spans="2:4">
      <c r="B145" s="82" t="s">
        <v>260</v>
      </c>
      <c r="C145" s="92">
        <v>40554.49904914423</v>
      </c>
      <c r="D145" s="92">
        <v>25307.367212914251</v>
      </c>
    </row>
    <row r="146" spans="2:4">
      <c r="B146" s="82" t="s">
        <v>261</v>
      </c>
      <c r="C146" s="93">
        <v>0.2103601496725912</v>
      </c>
      <c r="D146" s="93">
        <v>0.50429958534778818</v>
      </c>
    </row>
    <row r="147" spans="2:4">
      <c r="B147" s="82" t="s">
        <v>6</v>
      </c>
      <c r="C147" s="83">
        <v>6630000000</v>
      </c>
      <c r="D147" s="83">
        <v>109662708009.51437</v>
      </c>
    </row>
    <row r="148" spans="2:4">
      <c r="B148" s="82" t="s">
        <v>262</v>
      </c>
      <c r="C148" s="83">
        <v>3145000000</v>
      </c>
      <c r="D148" s="83">
        <v>23693442857.166161</v>
      </c>
    </row>
    <row r="149" spans="2:4">
      <c r="B149" s="82" t="s">
        <v>263</v>
      </c>
      <c r="C149" s="93">
        <v>9.9727295788939629E-2</v>
      </c>
      <c r="D149" s="93">
        <v>0.1089576723501461</v>
      </c>
    </row>
    <row r="150" spans="2:4">
      <c r="B150" s="82" t="s">
        <v>264</v>
      </c>
      <c r="C150" s="83">
        <v>1491000000</v>
      </c>
      <c r="D150" s="83">
        <v>11330286718.091244</v>
      </c>
    </row>
    <row r="151" spans="2:4">
      <c r="B151" s="82" t="s">
        <v>265</v>
      </c>
      <c r="C151" s="93">
        <v>4.7279299847792999E-2</v>
      </c>
      <c r="D151" s="93">
        <v>5.2103937587509051E-2</v>
      </c>
    </row>
    <row r="152" spans="2:4">
      <c r="B152" s="82"/>
      <c r="C152" s="94"/>
      <c r="D152" s="94"/>
    </row>
    <row r="153" spans="2:4">
      <c r="B153" s="82" t="s">
        <v>266</v>
      </c>
      <c r="C153" s="83">
        <v>1994000000</v>
      </c>
      <c r="D153" s="83">
        <v>74638978434.256958</v>
      </c>
    </row>
    <row r="154" spans="2:4">
      <c r="B154" s="82" t="s">
        <v>267</v>
      </c>
      <c r="C154" s="93">
        <v>6.3229325215626589E-2</v>
      </c>
      <c r="D154" s="93">
        <v>0.34323797541013301</v>
      </c>
    </row>
    <row r="155" spans="2:4">
      <c r="B155" s="82" t="s">
        <v>268</v>
      </c>
      <c r="C155" s="95">
        <v>17864000000</v>
      </c>
      <c r="D155" s="95">
        <v>67415923417.902161</v>
      </c>
    </row>
    <row r="156" spans="2:4">
      <c r="B156" s="82" t="s">
        <v>269</v>
      </c>
      <c r="C156" s="83">
        <v>-5117000000</v>
      </c>
      <c r="D156" s="83">
        <v>-25333527086.294796</v>
      </c>
    </row>
    <row r="157" spans="2:4">
      <c r="B157" s="82" t="s">
        <v>270</v>
      </c>
      <c r="C157" s="83">
        <v>1570000000</v>
      </c>
      <c r="D157" s="83">
        <v>6067433107.6111946</v>
      </c>
    </row>
    <row r="158" spans="2:4">
      <c r="B158" s="96" t="s">
        <v>271</v>
      </c>
      <c r="C158" s="83">
        <v>12747000000</v>
      </c>
      <c r="D158" s="83">
        <v>42082396331.607361</v>
      </c>
    </row>
    <row r="159" spans="2:4">
      <c r="B159" s="96"/>
      <c r="C159" s="83"/>
      <c r="D159" s="83"/>
    </row>
    <row r="160" spans="2:4">
      <c r="B160" s="96" t="s">
        <v>272</v>
      </c>
      <c r="C160" s="78">
        <v>8.7886251679355126E-2</v>
      </c>
      <c r="D160" s="78">
        <v>0.09</v>
      </c>
    </row>
    <row r="161" spans="2:4">
      <c r="B161" s="82" t="s">
        <v>273</v>
      </c>
      <c r="C161" s="97">
        <v>177.39261771125663</v>
      </c>
      <c r="D161" s="97">
        <v>20.929272585006238</v>
      </c>
    </row>
    <row r="162" spans="2:4">
      <c r="B162" s="82" t="s">
        <v>274</v>
      </c>
      <c r="C162" s="98">
        <v>12469000000</v>
      </c>
      <c r="D162" s="98">
        <v>12469000000</v>
      </c>
    </row>
    <row r="163" spans="2:4">
      <c r="B163" s="82" t="s">
        <v>275</v>
      </c>
      <c r="C163" s="98">
        <v>9556000000</v>
      </c>
      <c r="D163" s="98">
        <v>14509006096.780853</v>
      </c>
    </row>
    <row r="164" spans="2:4">
      <c r="B164" s="99" t="s">
        <v>276</v>
      </c>
      <c r="C164" s="100">
        <v>0.06</v>
      </c>
      <c r="D164" s="100">
        <v>4.9725059301614132E-2</v>
      </c>
    </row>
    <row r="165" spans="2:4">
      <c r="B165" s="82" t="s">
        <v>277</v>
      </c>
      <c r="C165" s="98">
        <v>19384000000</v>
      </c>
      <c r="D165" s="98">
        <v>133443691271.18176</v>
      </c>
    </row>
    <row r="166" spans="2:4">
      <c r="B166" s="82" t="s">
        <v>278</v>
      </c>
      <c r="C166" s="83">
        <v>1772071920</v>
      </c>
      <c r="D166" s="83">
        <v>0</v>
      </c>
    </row>
    <row r="167" spans="2:4">
      <c r="B167" s="82" t="s">
        <v>279</v>
      </c>
      <c r="C167" s="83">
        <v>17611928080</v>
      </c>
      <c r="D167" s="83">
        <v>133443691271.18176</v>
      </c>
    </row>
    <row r="168" spans="2:4">
      <c r="B168" s="82"/>
      <c r="C168" s="83"/>
      <c r="D168" s="83"/>
    </row>
    <row r="169" spans="2:4" ht="15">
      <c r="B169" s="121" t="s">
        <v>280</v>
      </c>
      <c r="C169" s="126"/>
      <c r="D169" s="126"/>
    </row>
    <row r="170" spans="2:4">
      <c r="B170" s="82" t="s">
        <v>281</v>
      </c>
      <c r="C170" s="101">
        <v>1.4843138567515991E-2</v>
      </c>
      <c r="D170" s="101">
        <v>0.47396357336029576</v>
      </c>
    </row>
    <row r="171" spans="2:4">
      <c r="B171" s="82" t="s">
        <v>282</v>
      </c>
      <c r="C171" s="87">
        <v>7414.8898714026136</v>
      </c>
      <c r="D171" s="87">
        <v>1336358.255395479</v>
      </c>
    </row>
    <row r="172" spans="2:4">
      <c r="B172" s="82" t="s">
        <v>283</v>
      </c>
      <c r="C172" s="87">
        <v>7414.8898714026136</v>
      </c>
      <c r="D172" s="87">
        <v>2023503.9255859952</v>
      </c>
    </row>
    <row r="173" spans="2:4">
      <c r="B173" s="82" t="s">
        <v>284</v>
      </c>
      <c r="C173" s="87">
        <v>93117560.167996079</v>
      </c>
      <c r="D173" s="87">
        <v>26677316802.147442</v>
      </c>
    </row>
    <row r="174" spans="2:4">
      <c r="B174" s="82" t="s">
        <v>285</v>
      </c>
      <c r="C174" s="87">
        <v>0</v>
      </c>
      <c r="D174" s="87">
        <v>51887588053.050224</v>
      </c>
    </row>
    <row r="175" spans="2:4">
      <c r="B175" s="82" t="s">
        <v>286</v>
      </c>
      <c r="C175" s="102">
        <v>0.18512984786726791</v>
      </c>
      <c r="D175" s="102">
        <v>0.19637775060095516</v>
      </c>
    </row>
    <row r="176" spans="2:4">
      <c r="B176" s="82" t="s">
        <v>287</v>
      </c>
      <c r="C176" s="103">
        <v>0.24021894204462169</v>
      </c>
      <c r="D176" s="103">
        <v>0.25247715584564651</v>
      </c>
    </row>
    <row r="177" spans="2:4">
      <c r="B177" s="82" t="s">
        <v>288</v>
      </c>
      <c r="C177" s="98">
        <v>17238839.747672278</v>
      </c>
      <c r="D177" s="98">
        <v>18339262120.999447</v>
      </c>
    </row>
    <row r="178" spans="2:4">
      <c r="B178" s="82" t="s">
        <v>289</v>
      </c>
      <c r="C178" s="101">
        <v>0.12041195548099945</v>
      </c>
      <c r="D178" s="101">
        <v>1</v>
      </c>
    </row>
    <row r="179" spans="2:4">
      <c r="B179" s="82" t="s">
        <v>290</v>
      </c>
      <c r="C179" s="98">
        <v>2075762.4042407982</v>
      </c>
      <c r="D179" s="98">
        <v>18339262120.999447</v>
      </c>
    </row>
    <row r="180" spans="2:4">
      <c r="B180" s="82" t="s">
        <v>291</v>
      </c>
      <c r="C180" s="103" t="s">
        <v>15</v>
      </c>
      <c r="D180" s="103">
        <v>0.10322819647703761</v>
      </c>
    </row>
    <row r="181" spans="2:4">
      <c r="B181" s="82" t="s">
        <v>292</v>
      </c>
      <c r="C181" s="103" t="s">
        <v>15</v>
      </c>
      <c r="D181" s="103">
        <v>0.13271748642522271</v>
      </c>
    </row>
    <row r="182" spans="2:4">
      <c r="B182" s="82" t="s">
        <v>293</v>
      </c>
      <c r="C182" s="98" t="s">
        <v>15</v>
      </c>
      <c r="D182" s="98">
        <v>9640241563.4004936</v>
      </c>
    </row>
    <row r="183" spans="2:4">
      <c r="B183" s="82" t="s">
        <v>294</v>
      </c>
      <c r="C183" s="101" t="s">
        <v>15</v>
      </c>
      <c r="D183" s="101">
        <v>0.52566136520628581</v>
      </c>
    </row>
    <row r="184" spans="2:4">
      <c r="B184" s="82" t="s">
        <v>295</v>
      </c>
      <c r="C184" s="101" t="s">
        <v>15</v>
      </c>
      <c r="D184" s="101">
        <v>0.47433863479371419</v>
      </c>
    </row>
    <row r="185" spans="2:4">
      <c r="B185" s="82" t="s">
        <v>266</v>
      </c>
      <c r="C185" s="83">
        <v>2075762.4042407982</v>
      </c>
      <c r="D185" s="83">
        <v>8699020557.5989532</v>
      </c>
    </row>
    <row r="186" spans="2:4">
      <c r="B186" s="82"/>
      <c r="C186" s="83"/>
      <c r="D186" s="83"/>
    </row>
    <row r="187" spans="2:4" ht="15">
      <c r="B187" s="127" t="s">
        <v>296</v>
      </c>
      <c r="C187" s="128"/>
      <c r="D187" s="128"/>
    </row>
    <row r="188" spans="2:4" ht="15">
      <c r="B188" s="130"/>
      <c r="C188" s="131"/>
      <c r="D188" s="131"/>
    </row>
    <row r="189" spans="2:4" ht="15">
      <c r="B189" s="154" t="s">
        <v>297</v>
      </c>
      <c r="C189" s="155"/>
      <c r="D189" s="155"/>
    </row>
    <row r="190" spans="2:4">
      <c r="B190" s="82" t="s">
        <v>298</v>
      </c>
      <c r="C190" s="104">
        <v>0</v>
      </c>
      <c r="D190" s="104">
        <v>0.33803463776245546</v>
      </c>
    </row>
    <row r="191" spans="2:4">
      <c r="B191" s="82" t="s">
        <v>299</v>
      </c>
      <c r="C191" s="105"/>
      <c r="D191" s="105">
        <v>0</v>
      </c>
    </row>
    <row r="192" spans="2:4">
      <c r="B192" s="82" t="s">
        <v>300</v>
      </c>
      <c r="C192" s="87">
        <v>0</v>
      </c>
      <c r="D192" s="87">
        <v>1439806</v>
      </c>
    </row>
    <row r="193" spans="2:4">
      <c r="B193" s="82" t="s">
        <v>301</v>
      </c>
      <c r="C193" s="87">
        <v>0</v>
      </c>
      <c r="D193" s="87">
        <v>2004392</v>
      </c>
    </row>
    <row r="194" spans="2:4">
      <c r="B194" s="82" t="s">
        <v>302</v>
      </c>
      <c r="C194" s="87">
        <v>33192.028423618576</v>
      </c>
      <c r="D194" s="87">
        <v>25886.946292466855</v>
      </c>
    </row>
    <row r="195" spans="2:4">
      <c r="B195" s="82" t="s">
        <v>303</v>
      </c>
      <c r="C195" s="87">
        <v>0</v>
      </c>
      <c r="D195" s="87">
        <v>51887588053.050224</v>
      </c>
    </row>
    <row r="196" spans="2:4">
      <c r="B196" s="82" t="s">
        <v>304</v>
      </c>
      <c r="C196" s="105">
        <v>0.2</v>
      </c>
      <c r="D196" s="105">
        <v>0.2</v>
      </c>
    </row>
    <row r="197" spans="2:4">
      <c r="B197" s="82"/>
      <c r="C197" s="105"/>
      <c r="D197" s="105"/>
    </row>
    <row r="198" spans="2:4" ht="15">
      <c r="B198" s="154" t="s">
        <v>132</v>
      </c>
      <c r="C198" s="155"/>
      <c r="D198" s="155"/>
    </row>
    <row r="199" spans="2:4">
      <c r="B199" s="82" t="s">
        <v>305</v>
      </c>
      <c r="C199" s="106">
        <v>1099550</v>
      </c>
      <c r="D199" s="106">
        <v>10483268.369676828</v>
      </c>
    </row>
    <row r="200" spans="2:4">
      <c r="B200" s="82" t="s">
        <v>249</v>
      </c>
      <c r="C200" s="107">
        <v>0.28046315414741529</v>
      </c>
      <c r="D200" s="107">
        <v>0.22353726668722124</v>
      </c>
    </row>
    <row r="201" spans="2:4">
      <c r="B201" s="82" t="s">
        <v>306</v>
      </c>
      <c r="C201" s="107"/>
      <c r="D201" s="107">
        <v>0</v>
      </c>
    </row>
    <row r="202" spans="2:4">
      <c r="B202" s="82" t="s">
        <v>307</v>
      </c>
      <c r="C202" s="106"/>
      <c r="D202" s="106">
        <v>0</v>
      </c>
    </row>
    <row r="203" spans="2:4">
      <c r="B203" s="82" t="s">
        <v>308</v>
      </c>
      <c r="C203" s="108"/>
      <c r="D203" s="108">
        <v>101881.66900017952</v>
      </c>
    </row>
    <row r="204" spans="2:4">
      <c r="B204" s="82" t="s">
        <v>309</v>
      </c>
      <c r="C204" s="109"/>
      <c r="D204" s="109">
        <v>0</v>
      </c>
    </row>
    <row r="205" spans="2:4">
      <c r="B205" s="82" t="s">
        <v>310</v>
      </c>
      <c r="C205" s="107"/>
      <c r="D205" s="107">
        <v>0.59266166983742807</v>
      </c>
    </row>
    <row r="206" spans="2:4">
      <c r="B206" s="82" t="s">
        <v>311</v>
      </c>
      <c r="C206" s="107"/>
      <c r="D206" s="107">
        <v>0.19233464486936586</v>
      </c>
    </row>
    <row r="207" spans="2:4" ht="15">
      <c r="B207" s="154" t="s">
        <v>312</v>
      </c>
      <c r="C207" s="155"/>
      <c r="D207" s="155"/>
    </row>
    <row r="208" spans="2:4">
      <c r="B208" s="77" t="s">
        <v>313</v>
      </c>
      <c r="C208" s="110">
        <v>0</v>
      </c>
      <c r="D208" s="110">
        <v>51887588053.050224</v>
      </c>
    </row>
    <row r="209" spans="2:4">
      <c r="B209" s="82" t="s">
        <v>314</v>
      </c>
      <c r="C209" s="111">
        <v>4</v>
      </c>
      <c r="D209" s="111">
        <v>1.9839849121794655</v>
      </c>
    </row>
    <row r="210" spans="2:4">
      <c r="B210" s="112" t="s">
        <v>315</v>
      </c>
      <c r="C210" s="113">
        <v>0</v>
      </c>
      <c r="D210" s="113">
        <v>102944191826.63513</v>
      </c>
    </row>
    <row r="211" spans="2:4">
      <c r="B211" s="82" t="s">
        <v>316</v>
      </c>
      <c r="C211" s="83">
        <v>0</v>
      </c>
      <c r="D211" s="83">
        <v>20588838365.32703</v>
      </c>
    </row>
    <row r="212" spans="2:4">
      <c r="B212" s="82" t="s">
        <v>317</v>
      </c>
      <c r="C212" s="105">
        <v>0.45114326592197301</v>
      </c>
      <c r="D212" s="105">
        <v>0.40057060473543693</v>
      </c>
    </row>
    <row r="213" spans="2:4">
      <c r="B213" s="82" t="s">
        <v>318</v>
      </c>
      <c r="C213" s="83">
        <v>0</v>
      </c>
      <c r="D213" s="83">
        <v>8247283434.7992134</v>
      </c>
    </row>
    <row r="214" spans="2:4">
      <c r="B214" s="82" t="s">
        <v>319</v>
      </c>
      <c r="C214" s="83">
        <v>0</v>
      </c>
      <c r="D214" s="83">
        <v>6187730089.9667606</v>
      </c>
    </row>
    <row r="215" spans="2:4">
      <c r="B215" s="82"/>
      <c r="C215" s="83"/>
      <c r="D215" s="83"/>
    </row>
    <row r="216" spans="2:4" ht="15">
      <c r="B216" s="127" t="s">
        <v>320</v>
      </c>
      <c r="C216" s="129"/>
      <c r="D216" s="129"/>
    </row>
    <row r="217" spans="2:4">
      <c r="B217" s="114" t="s">
        <v>5</v>
      </c>
      <c r="C217" s="83">
        <v>31536000000</v>
      </c>
      <c r="D217" s="83">
        <v>256383579720.73022</v>
      </c>
    </row>
    <row r="218" spans="2:4">
      <c r="B218" s="114" t="s">
        <v>321</v>
      </c>
      <c r="C218" s="83">
        <v>1994000000</v>
      </c>
      <c r="D218" s="83">
        <v>91585282426.655121</v>
      </c>
    </row>
    <row r="219" spans="2:4">
      <c r="B219" s="114" t="s">
        <v>322</v>
      </c>
      <c r="C219" s="83">
        <v>4316000000</v>
      </c>
      <c r="D219" s="83">
        <v>97652715534.266312</v>
      </c>
    </row>
    <row r="220" spans="2:4">
      <c r="B220" s="114" t="s">
        <v>323</v>
      </c>
      <c r="C220" s="85">
        <v>2.2140871177015757</v>
      </c>
      <c r="D220" s="85">
        <v>0.14857759988957653</v>
      </c>
    </row>
    <row r="221" spans="2:4">
      <c r="B221" s="114" t="s">
        <v>324</v>
      </c>
      <c r="C221" s="83">
        <v>573360000</v>
      </c>
      <c r="D221" s="83">
        <v>721461188.56990886</v>
      </c>
    </row>
    <row r="222" spans="2:4">
      <c r="B222" s="114" t="s">
        <v>325</v>
      </c>
      <c r="C222" s="85">
        <v>0.74966658821683529</v>
      </c>
      <c r="D222" s="85">
        <v>0.34477613828001968</v>
      </c>
    </row>
    <row r="223" spans="2:4">
      <c r="B223" s="114" t="s">
        <v>326</v>
      </c>
      <c r="C223" s="83">
        <v>2706512000</v>
      </c>
      <c r="D223" s="83">
        <v>78758490098.079346</v>
      </c>
    </row>
    <row r="224" spans="2:4">
      <c r="B224" s="114"/>
      <c r="C224" s="83"/>
      <c r="D224" s="83"/>
    </row>
    <row r="225" spans="2:4">
      <c r="B225" s="114" t="s">
        <v>327</v>
      </c>
      <c r="C225" s="93">
        <v>0.2102359208523592</v>
      </c>
      <c r="D225" s="93">
        <v>0.49197292135155135</v>
      </c>
    </row>
    <row r="226" spans="2:4">
      <c r="B226" s="114" t="s">
        <v>328</v>
      </c>
      <c r="C226" s="115">
        <v>0.13685946220192796</v>
      </c>
      <c r="D226" s="115">
        <v>0.38088521753474242</v>
      </c>
    </row>
    <row r="227" spans="2:4">
      <c r="B227" s="114" t="s">
        <v>329</v>
      </c>
      <c r="C227" s="116"/>
      <c r="D227" s="116">
        <v>10</v>
      </c>
    </row>
    <row r="228" spans="2:4">
      <c r="B228" s="82" t="s">
        <v>330</v>
      </c>
      <c r="C228" s="116"/>
      <c r="D228" s="116">
        <v>13</v>
      </c>
    </row>
    <row r="229" spans="2:4">
      <c r="B229" s="82" t="s">
        <v>331</v>
      </c>
      <c r="C229" s="116"/>
      <c r="D229" s="116">
        <v>19</v>
      </c>
    </row>
    <row r="230" spans="2:4">
      <c r="B230" s="82" t="s">
        <v>136</v>
      </c>
      <c r="C230" s="98">
        <v>697887000000</v>
      </c>
      <c r="D230" s="98">
        <v>1292871940881.4604</v>
      </c>
    </row>
    <row r="231" spans="2:4">
      <c r="B231" s="82" t="s">
        <v>332</v>
      </c>
      <c r="C231" s="98">
        <v>700800000000</v>
      </c>
      <c r="D231" s="206">
        <v>1424275626055.8613</v>
      </c>
    </row>
    <row r="232" spans="2:4">
      <c r="B232" s="82" t="s">
        <v>333</v>
      </c>
      <c r="C232" s="83">
        <v>960000000</v>
      </c>
      <c r="D232" s="206">
        <v>965721694.95880866</v>
      </c>
    </row>
    <row r="233" spans="2:4">
      <c r="B233" s="82" t="s">
        <v>334</v>
      </c>
      <c r="C233" s="117">
        <v>730</v>
      </c>
      <c r="D233" s="206">
        <v>1474.8303092814037</v>
      </c>
    </row>
    <row r="234" spans="2:4">
      <c r="B234" s="82" t="s">
        <v>335</v>
      </c>
      <c r="C234" s="118"/>
      <c r="D234" s="118">
        <v>5.5297225240158933E-2</v>
      </c>
    </row>
    <row r="235" spans="2:4">
      <c r="B235" s="82" t="s">
        <v>336</v>
      </c>
      <c r="C235" s="118"/>
      <c r="D235" s="118">
        <v>0.15102256782291201</v>
      </c>
    </row>
    <row r="238" spans="2:4">
      <c r="B238" s="72" t="s">
        <v>357</v>
      </c>
      <c r="C238" s="14"/>
      <c r="D238" s="14"/>
    </row>
    <row r="240" spans="2:4">
      <c r="B240" s="11" t="s">
        <v>340</v>
      </c>
      <c r="D240" s="12">
        <v>9238.8909985458522</v>
      </c>
    </row>
    <row r="241" spans="2:5">
      <c r="D241" s="12"/>
    </row>
    <row r="242" spans="2:5">
      <c r="B242" s="11" t="s">
        <v>341</v>
      </c>
      <c r="D242" s="33">
        <v>9286701.583977269</v>
      </c>
    </row>
    <row r="243" spans="2:5">
      <c r="B243" s="11" t="s">
        <v>342</v>
      </c>
      <c r="D243" s="11">
        <v>39304.722895583465</v>
      </c>
    </row>
    <row r="244" spans="2:5">
      <c r="B244" s="11" t="s">
        <v>347</v>
      </c>
      <c r="D244" s="12">
        <v>316660.01804086496</v>
      </c>
      <c r="E244" s="34"/>
    </row>
    <row r="245" spans="2:5">
      <c r="B245" s="11" t="s">
        <v>343</v>
      </c>
      <c r="D245" s="35">
        <v>0.3957047080184668</v>
      </c>
    </row>
    <row r="246" spans="2:5">
      <c r="B246" s="11" t="s">
        <v>348</v>
      </c>
      <c r="D246" s="12">
        <v>88234.776188573203</v>
      </c>
      <c r="E246" s="34"/>
    </row>
    <row r="247" spans="2:5">
      <c r="B247" s="11" t="s">
        <v>349</v>
      </c>
      <c r="D247" s="12">
        <v>13192.357436650291</v>
      </c>
      <c r="E247" s="34"/>
    </row>
    <row r="248" spans="2:5">
      <c r="B248" s="11" t="s">
        <v>344</v>
      </c>
      <c r="D248" s="12">
        <v>20191510.492983669</v>
      </c>
    </row>
    <row r="249" spans="2:5">
      <c r="B249" s="11" t="s">
        <v>350</v>
      </c>
      <c r="D249" s="12">
        <v>16850.226839590327</v>
      </c>
      <c r="E249" s="34"/>
    </row>
    <row r="250" spans="2:5">
      <c r="B250" s="11" t="s">
        <v>351</v>
      </c>
      <c r="D250" s="12">
        <v>150362.84100361099</v>
      </c>
      <c r="E250" s="34"/>
    </row>
    <row r="251" spans="2:5">
      <c r="B251" s="11" t="s">
        <v>352</v>
      </c>
      <c r="D251" s="12">
        <v>497065.44332071365</v>
      </c>
      <c r="E251" s="34"/>
    </row>
    <row r="252" spans="2:5">
      <c r="D252" s="12"/>
      <c r="E252" s="34"/>
    </row>
    <row r="253" spans="2:5">
      <c r="B253" s="11" t="s">
        <v>353</v>
      </c>
      <c r="D253" s="12">
        <v>171861.3906164369</v>
      </c>
      <c r="E253" s="34"/>
    </row>
    <row r="254" spans="2:5">
      <c r="B254" s="11" t="s">
        <v>354</v>
      </c>
      <c r="D254" s="11">
        <v>0.34217438267675299</v>
      </c>
    </row>
    <row r="255" spans="2:5">
      <c r="B255" s="11" t="s">
        <v>345</v>
      </c>
      <c r="D255" s="11">
        <v>15.751591510028499</v>
      </c>
    </row>
    <row r="257" spans="2:5" ht="15">
      <c r="B257" s="13" t="s">
        <v>355</v>
      </c>
      <c r="D257" s="15">
        <v>2932131.9186398443</v>
      </c>
      <c r="E257" s="34"/>
    </row>
    <row r="258" spans="2:5">
      <c r="B258" s="11" t="s">
        <v>356</v>
      </c>
      <c r="D258" s="206">
        <v>3043.1950064153234</v>
      </c>
    </row>
    <row r="259" spans="2:5">
      <c r="B259" s="11" t="s">
        <v>346</v>
      </c>
      <c r="D259" s="35">
        <v>4.8106977254520754E-2</v>
      </c>
    </row>
    <row r="265" spans="2:5">
      <c r="D265" s="35"/>
    </row>
  </sheetData>
  <mergeCells count="2">
    <mergeCell ref="B61:G61"/>
    <mergeCell ref="B71:F7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"/>
  <sheetViews>
    <sheetView workbookViewId="0">
      <selection activeCell="B33" sqref="B33"/>
    </sheetView>
  </sheetViews>
  <sheetFormatPr baseColWidth="10" defaultRowHeight="15"/>
  <cols>
    <col min="1" max="16384" width="11.42578125" style="16"/>
  </cols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workbookViewId="0">
      <selection activeCell="B33" sqref="B33"/>
    </sheetView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1</vt:i4>
      </vt:variant>
    </vt:vector>
  </HeadingPairs>
  <TitlesOfParts>
    <vt:vector size="7" baseType="lpstr">
      <vt:lpstr>Intro</vt:lpstr>
      <vt:lpstr>APILA Capital</vt:lpstr>
      <vt:lpstr>Morgan Stanley</vt:lpstr>
      <vt:lpstr>ARK Invest</vt:lpstr>
      <vt:lpstr>Rob Maurer</vt:lpstr>
      <vt:lpstr>Muddy Waters</vt:lpstr>
      <vt:lpstr>'Morgan Stanley'!tabla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maquina  1</dc:creator>
  <cp:lastModifiedBy>Fabrizio Gagliardi</cp:lastModifiedBy>
  <dcterms:created xsi:type="dcterms:W3CDTF">2021-03-30T13:15:38Z</dcterms:created>
  <dcterms:modified xsi:type="dcterms:W3CDTF">2021-04-08T15:18:00Z</dcterms:modified>
</cp:coreProperties>
</file>