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digital-templates/"/>
    </mc:Choice>
  </mc:AlternateContent>
  <xr:revisionPtr revIDLastSave="233" documentId="8_{E71DF955-DF58-4B95-AEB3-C3D3DEA4C27C}" xr6:coauthVersionLast="47" xr6:coauthVersionMax="47" xr10:uidLastSave="{EE019B00-5505-40E0-AA20-7C74CC0037B2}"/>
  <bookViews>
    <workbookView xWindow="28680" yWindow="-120" windowWidth="29040" windowHeight="15720"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echnical Sheet" sheetId="11" r:id="rId12"/>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3" l="1"/>
  <c r="D62" i="1"/>
  <c r="D13" i="3"/>
  <c r="D21" i="1" l="1"/>
  <c r="L59" i="1"/>
  <c r="F10" i="3" l="1"/>
  <c r="F6" i="3" s="1"/>
  <c r="L80" i="1"/>
  <c r="I29" i="12"/>
  <c r="I30" i="12"/>
  <c r="I31" i="12"/>
  <c r="I32" i="12"/>
  <c r="I33" i="12"/>
  <c r="I34" i="12"/>
  <c r="I35" i="12"/>
  <c r="I36" i="12"/>
  <c r="I37" i="12"/>
  <c r="I28" i="12"/>
  <c r="J47" i="1"/>
  <c r="G47" i="1"/>
  <c r="D51" i="12"/>
  <c r="D52" i="12"/>
  <c r="L30" i="1" a="1"/>
  <c r="L30" i="1" s="1"/>
  <c r="K31" i="1"/>
  <c r="K32" i="1"/>
  <c r="K33" i="1"/>
  <c r="K34" i="1"/>
  <c r="K35" i="1"/>
  <c r="K36" i="1"/>
  <c r="K37" i="1"/>
  <c r="K38" i="1"/>
  <c r="K39" i="1"/>
  <c r="K40" i="1"/>
  <c r="K41" i="1"/>
  <c r="K42" i="1"/>
  <c r="K43" i="1"/>
  <c r="K44" i="1"/>
  <c r="K30" i="1"/>
  <c r="G66"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C57" i="12"/>
  <c r="K226" i="1" l="1"/>
  <c r="K227" i="1"/>
  <c r="K228" i="1"/>
  <c r="K229" i="1"/>
  <c r="K230" i="1"/>
  <c r="G45" i="1" l="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C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<sst xmlns="http://schemas.openxmlformats.org/spreadsheetml/2006/main" count="5297" uniqueCount="4823">
  <si>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</si>
  <si>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</si>
  <si>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</si>
  <si>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</si>
  <si>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</si>
  <si>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</si>
  <si>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</si>
  <si>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</si>
  <si>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</si>
  <si>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</si>
  <si>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</si>
  <si>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</si>
  <si>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</si>
  <si>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</si>
  <si>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</si>
  <si>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</si>
  <si>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</si>
  <si>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</si>
  <si>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</si>
  <si>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</si>
  <si>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</si>
  <si>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</si>
  <si>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</si>
  <si>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</si>
  <si>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</si>
  <si>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</si>
  <si>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</si>
  <si>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</si>
  <si>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</si>
  <si>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</si>
  <si>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</si>
  <si>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</si>
  <si>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</si>
  <si>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</si>
  <si>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</si>
  <si>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</si>
  <si>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</si>
  <si>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</si>
  <si>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</si>
  <si>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</si>
  <si>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</si>
  <si>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</si>
  <si>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</si>
  <si>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</si>
  <si>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</si>
  <si>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</si>
  <si>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</si>
  <si>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</si>
  <si>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</si>
  <si>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</si>
  <si>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</si>
  <si>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</si>
  <si>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</si>
  <si>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</si>
  <si>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</si>
  <si>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</si>
  <si>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</si>
  <si>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</si>
  <si>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</si>
  <si>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</si>
  <si>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</si>
  <si>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</si>
  <si>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</si>
  <si>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</si>
  <si>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</si>
  <si>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</si>
  <si>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</si>
  <si>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</si>
  <si>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</si>
  <si>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</si>
  <si>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</si>
  <si>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</si>
  <si>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</si>
  <si>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</si>
  <si>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</si>
  <si>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</si>
  <si>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</si>
  <si>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</si>
  <si>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</si>
  <si>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</si>
  <si>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</si>
  <si>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</si>
  <si>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</si>
  <si>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</si>
  <si>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</si>
  <si>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</si>
  <si>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</si>
  <si>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</si>
  <si>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</si>
  <si>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</si>
  <si>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</si>
  <si>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</si>
  <si>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</si>
  <si>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</si>
  <si>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</si>
  <si>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</si>
  <si>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</si>
  <si>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</si>
  <si>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</si>
  <si>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</si>
  <si>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</si>
  <si>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</si>
  <si>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</si>
  <si>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</si>
  <si>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</si>
  <si>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</si>
  <si>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</si>
  <si>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</si>
  <si>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</si>
  <si>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</si>
  <si>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</si>
  <si>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</si>
  <si>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</si>
  <si>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</si>
  <si>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</si>
  <si>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</si>
  <si>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</si>
  <si>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</si>
  <si>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</si>
  <si>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</si>
  <si>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</si>
  <si>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</si>
  <si>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</si>
  <si>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</si>
  <si>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</si>
  <si>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</si>
  <si>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</si>
  <si>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</si>
  <si>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</si>
  <si>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</si>
  <si>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</si>
  <si>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</si>
  <si>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</si>
  <si>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</si>
  <si>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</si>
  <si>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</si>
  <si>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</si>
  <si>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</si>
  <si>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</si>
  <si>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</si>
  <si>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</si>
  <si>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</si>
  <si>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</si>
  <si>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</si>
  <si>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</si>
  <si>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</si>
  <si>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</si>
  <si>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</si>
  <si>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</si>
  <si>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</si>
  <si>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</si>
  <si>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</si>
  <si>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</si>
  <si>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</si>
  <si>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</si>
  <si>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</si>
  <si>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</si>
  <si>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</si>
  <si>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</si>
  <si>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</si>
  <si>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</si>
  <si>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</si>
  <si>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</si>
  <si>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</si>
  <si>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</si>
  <si>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</si>
  <si>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</si>
  <si>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</si>
  <si>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</si>
  <si>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</si>
  <si>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</si>
  <si>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</si>
  <si>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</si>
  <si>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</si>
  <si>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</si>
  <si>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</si>
  <si>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</si>
  <si>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</si>
  <si>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</si>
  <si>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</si>
  <si>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</si>
  <si>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</si>
  <si>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</si>
  <si>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</si>
  <si>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</si>
  <si>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</si>
  <si>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</si>
  <si>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</si>
  <si>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</si>
  <si>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</si>
  <si>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</si>
  <si>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</si>
  <si>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</si>
  <si>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</si>
  <si>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</si>
  <si>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</si>
  <si>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</si>
  <si>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</si>
  <si>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</si>
  <si>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</si>
  <si>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</si>
  <si>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</si>
  <si>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</si>
  <si>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</si>
  <si>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</si>
  <si>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</si>
  <si>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</si>
  <si>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</si>
  <si>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</si>
  <si>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</si>
  <si>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</si>
  <si>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</si>
  <si>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</si>
  <si>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</si>
  <si>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</si>
  <si>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</si>
  <si>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</si>
  <si>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</si>
  <si>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</si>
  <si>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</si>
  <si>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</si>
  <si>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</si>
  <si>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</si>
  <si>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</si>
  <si>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</si>
  <si>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</si>
  <si>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</si>
  <si>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</si>
  <si>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</si>
  <si>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</si>
  <si>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</si>
  <si>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</si>
  <si>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</si>
  <si>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</si>
  <si>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</si>
  <si>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</si>
  <si>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</si>
  <si>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</si>
  <si>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</si>
  <si>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</si>
  <si>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</si>
  <si>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</si>
  <si>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</si>
  <si>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</si>
  <si>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</si>
  <si>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</si>
  <si>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</si>
  <si>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</si>
  <si>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</si>
  <si>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</si>
  <si>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</si>
  <si>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</si>
  <si>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</si>
  <si>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</si>
  <si>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</si>
  <si>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</si>
  <si>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</si>
  <si>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</si>
  <si>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</si>
  <si>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</si>
  <si>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</si>
  <si>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</si>
  <si>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</si>
  <si>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</si>
  <si>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</si>
  <si>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</si>
  <si>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</si>
  <si>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</si>
  <si>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</si>
  <si>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</si>
  <si>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</si>
  <si>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</si>
  <si>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</si>
  <si>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</si>
  <si>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</si>
  <si>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</si>
  <si>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</si>
  <si>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</si>
  <si>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</si>
  <si>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</si>
  <si>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</si>
  <si>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</si>
  <si>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</si>
  <si>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</si>
  <si>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</si>
  <si>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</si>
  <si>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</si>
  <si>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</si>
  <si>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</si>
  <si>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</si>
  <si>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</si>
  <si>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</si>
  <si>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</si>
  <si>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</si>
  <si>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</si>
  <si>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</si>
  <si>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</si>
  <si>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</si>
  <si>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</si>
  <si>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</si>
  <si>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</si>
  <si>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</si>
  <si>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</si>
  <si>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</si>
  <si>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</si>
  <si>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</si>
  <si>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</si>
  <si>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</si>
  <si>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</si>
  <si>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</si>
  <si>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</si>
  <si>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</si>
  <si>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</si>
  <si>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</si>
  <si>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</si>
  <si>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</si>
  <si>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</si>
  <si>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</si>
  <si>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</si>
  <si>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</si>
  <si>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</si>
  <si>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</si>
  <si>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</si>
  <si>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</si>
  <si>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</si>
  <si>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</si>
  <si>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</si>
  <si>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</si>
  <si>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</si>
  <si>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</si>
  <si>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</si>
  <si>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</si>
  <si>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</si>
  <si>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</si>
  <si>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</si>
  <si>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</si>
  <si>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</si>
  <si>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</si>
  <si>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</si>
  <si>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</si>
  <si>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</si>
  <si>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</si>
  <si>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</si>
  <si>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</si>
  <si>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</si>
  <si>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</si>
  <si>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</si>
  <si>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</si>
  <si>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</si>
  <si>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</si>
  <si>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</si>
  <si>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</si>
  <si>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</si>
  <si>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</si>
  <si>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</si>
  <si>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</si>
  <si>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</si>
  <si>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</si>
  <si>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</si>
  <si>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</si>
  <si>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</si>
  <si>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</si>
  <si>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</si>
  <si>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</si>
  <si>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</si>
  <si>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</si>
  <si>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</si>
  <si>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</si>
  <si>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</si>
  <si>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</si>
  <si>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</si>
  <si>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</si>
  <si>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</si>
  <si>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</si>
  <si>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</si>
  <si>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</si>
  <si>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</si>
  <si>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</si>
  <si>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</si>
  <si>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</si>
  <si>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</si>
  <si>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</si>
  <si>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</si>
  <si>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</si>
  <si>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</si>
  <si>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</si>
  <si>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</si>
  <si>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</si>
  <si>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</si>
  <si>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</si>
  <si>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</si>
  <si>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</si>
  <si>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</si>
  <si>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</si>
  <si>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</si>
  <si>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</si>
  <si>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</si>
  <si>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</si>
  <si>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</si>
  <si>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</si>
  <si>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</si>
  <si>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</si>
  <si>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</si>
  <si>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</si>
  <si>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</si>
  <si>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</si>
  <si>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</si>
  <si>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</si>
  <si>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</si>
  <si>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</si>
  <si>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</si>
  <si>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</si>
  <si>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</si>
  <si>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</si>
  <si>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</si>
  <si>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</si>
  <si>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</si>
  <si>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</si>
  <si>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</si>
  <si>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</si>
  <si>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</si>
  <si>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</si>
  <si>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</si>
  <si>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</si>
  <si>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</si>
  <si>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</si>
  <si>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</si>
  <si>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</si>
  <si>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</si>
  <si>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</si>
  <si>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</si>
  <si>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</si>
  <si>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</si>
  <si>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</si>
  <si>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</si>
  <si>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</si>
  <si>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</si>
  <si>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</si>
  <si>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</si>
  <si>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</si>
  <si>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</si>
  <si>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</si>
  <si>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</si>
  <si>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</si>
  <si>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</si>
  <si>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</si>
  <si>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</si>
  <si>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</si>
  <si>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</si>
  <si>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</si>
  <si>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</si>
  <si>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</si>
  <si>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</si>
  <si>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</si>
  <si>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</si>
  <si>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</si>
  <si>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</si>
  <si>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</si>
  <si>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</si>
  <si>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</si>
  <si>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</si>
  <si>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</si>
  <si>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</si>
  <si>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</si>
  <si>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</si>
  <si>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</si>
  <si>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</si>
  <si>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</si>
  <si>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</si>
  <si>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</si>
  <si>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</si>
  <si>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</si>
  <si>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</si>
  <si>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</si>
  <si>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</si>
  <si>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</si>
  <si>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</si>
  <si>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</si>
  <si>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</si>
  <si>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</si>
  <si>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</si>
  <si>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</si>
  <si>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</si>
  <si>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</si>
  <si>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</si>
  <si>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</si>
  <si>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</si>
  <si>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</si>
  <si>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</si>
  <si>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</si>
  <si>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</si>
  <si>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</si>
  <si>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</si>
  <si>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</si>
  <si>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</si>
  <si>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</si>
  <si>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</si>
  <si>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</si>
  <si>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</si>
  <si>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</si>
  <si>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</si>
  <si>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</si>
  <si>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</si>
  <si>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</si>
  <si>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</si>
  <si>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</si>
  <si>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</si>
  <si>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</si>
  <si>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</si>
  <si>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</si>
  <si>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</si>
  <si>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</si>
  <si>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</si>
  <si>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</si>
  <si>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</si>
  <si>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</si>
  <si>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</si>
  <si>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</si>
  <si>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</si>
  <si>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</si>
  <si>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</si>
  <si>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</si>
  <si>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</si>
  <si>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</si>
  <si>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</si>
  <si>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</si>
  <si>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</si>
  <si>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</si>
  <si>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</si>
  <si>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</si>
  <si>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</si>
  <si>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</si>
  <si>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</si>
  <si>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</si>
  <si>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</si>
  <si>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</si>
  <si>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</si>
  <si>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</si>
  <si>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</si>
  <si>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</si>
  <si>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</si>
  <si>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</si>
  <si>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</si>
  <si>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</si>
  <si>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</si>
  <si>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</si>
  <si>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</si>
  <si>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</si>
  <si>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</si>
  <si>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</si>
  <si>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</si>
  <si>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</si>
  <si>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</si>
  <si>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</si>
  <si>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</si>
  <si>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</si>
  <si>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</si>
  <si>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</si>
  <si>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</si>
  <si>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</si>
  <si>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</si>
  <si>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</si>
  <si>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</si>
  <si>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</si>
  <si>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</si>
  <si>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</si>
  <si>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</si>
  <si>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</si>
  <si>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</si>
  <si>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</si>
  <si>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</si>
  <si>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</si>
  <si>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</si>
  <si>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</si>
  <si>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</si>
  <si>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</si>
  <si>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</si>
  <si>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</si>
  <si>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</si>
  <si>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</si>
  <si>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</si>
  <si>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</si>
  <si>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</si>
  <si>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</si>
  <si>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</si>
  <si>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</si>
  <si>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</si>
  <si>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</si>
  <si>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</si>
  <si>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</si>
  <si>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</si>
  <si>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</si>
  <si>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</si>
  <si>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</si>
  <si>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</si>
  <si>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</si>
  <si>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</si>
  <si>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</si>
  <si>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</si>
  <si>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</si>
  <si>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</si>
  <si>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</si>
  <si>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</si>
  <si>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</si>
  <si>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</si>
  <si>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</si>
  <si>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</si>
  <si>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</si>
  <si>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</si>
  <si>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</si>
  <si>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</si>
  <si>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</si>
  <si>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</si>
  <si>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</si>
  <si>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</si>
  <si>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</si>
  <si>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</si>
  <si>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</si>
  <si>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</si>
  <si>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</si>
  <si>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</si>
  <si>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</si>
  <si>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</si>
  <si>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</si>
  <si>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</si>
  <si>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</si>
  <si>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</si>
  <si>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</si>
  <si>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</si>
  <si>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</si>
  <si>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</si>
  <si>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</si>
  <si>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</si>
  <si>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</si>
  <si>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</si>
  <si>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</si>
  <si>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</si>
  <si>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</si>
  <si>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</si>
  <si>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</si>
  <si>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</si>
  <si>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</si>
  <si>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</si>
  <si>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</si>
  <si>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</si>
  <si>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</si>
  <si>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</si>
  <si>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</si>
  <si>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</si>
  <si>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</si>
  <si>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</si>
  <si>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</si>
  <si>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</si>
  <si>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</si>
  <si>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</si>
  <si>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</si>
  <si>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</si>
  <si>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</si>
  <si>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</si>
  <si>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</si>
  <si>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</si>
  <si>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</si>
  <si>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</si>
  <si>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</si>
  <si>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</si>
  <si>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</si>
  <si>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</si>
  <si>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</si>
  <si>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</si>
  <si>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</si>
  <si>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</si>
  <si>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</si>
  <si>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</si>
  <si>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</si>
  <si>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</si>
  <si>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</si>
  <si>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</si>
  <si>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</si>
  <si>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</si>
  <si>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</si>
  <si>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</si>
  <si>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</si>
  <si>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</si>
  <si>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</si>
  <si>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</si>
  <si>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</si>
  <si>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</si>
  <si>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</si>
  <si>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</si>
  <si>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</si>
  <si>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</si>
  <si>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</si>
  <si>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</si>
  <si>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</si>
  <si>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</si>
  <si>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</si>
  <si>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</si>
  <si>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</si>
  <si>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</si>
  <si>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</si>
  <si>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</si>
  <si>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</si>
  <si>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</si>
  <si>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</si>
  <si>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</si>
  <si>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</si>
  <si>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</si>
  <si>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</si>
  <si>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</si>
  <si>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</si>
  <si>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</si>
  <si>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</si>
  <si>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</si>
  <si>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</si>
  <si>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</si>
  <si>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</si>
  <si>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</si>
  <si>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</si>
  <si>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</si>
  <si>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</si>
  <si>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</si>
  <si>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</si>
  <si>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</si>
  <si>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</si>
  <si>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</si>
  <si>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</si>
  <si>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</si>
  <si>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</si>
  <si>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</si>
  <si>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</si>
  <si>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</si>
  <si>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</si>
  <si>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</si>
  <si>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</si>
  <si>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</si>
  <si>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</si>
  <si>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</si>
  <si>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</si>
  <si>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</si>
  <si>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</si>
  <si>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</si>
  <si>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</si>
  <si>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</si>
  <si>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</si>
  <si>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</si>
  <si>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</si>
  <si>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</si>
  <si>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</si>
  <si>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</si>
  <si>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</si>
  <si>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</si>
  <si>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</si>
  <si>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</si>
  <si>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</si>
  <si>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</si>
  <si>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</si>
  <si>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</si>
  <si>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</si>
  <si>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</si>
  <si>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</si>
  <si>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</si>
  <si>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</si>
  <si>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</si>
  <si>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</si>
  <si>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</si>
  <si>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</si>
  <si>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</si>
  <si>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</si>
  <si>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</si>
  <si>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</si>
  <si>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</si>
  <si>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</si>
  <si>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</si>
  <si>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</si>
  <si>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</si>
  <si>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</si>
  <si>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</si>
  <si>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</si>
  <si>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</si>
  <si>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</si>
  <si>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</si>
  <si>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</si>
  <si>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</si>
  <si>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</si>
  <si>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</si>
  <si>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</si>
  <si>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</si>
  <si>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</si>
  <si>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</si>
  <si>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</si>
  <si>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</si>
  <si>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</si>
  <si>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</si>
  <si>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</si>
  <si>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</si>
  <si>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</si>
  <si>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</si>
  <si>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</si>
  <si>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</si>
  <si>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</si>
  <si>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</si>
  <si>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</si>
  <si>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</si>
  <si>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</si>
  <si>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</si>
  <si>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</si>
  <si>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</si>
  <si>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</si>
  <si>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</si>
  <si>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</si>
  <si>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</si>
  <si>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</si>
  <si>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</si>
  <si>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</si>
  <si>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</si>
  <si>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</si>
  <si>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</si>
  <si>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</si>
  <si>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</si>
  <si>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</si>
  <si>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</si>
  <si>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</si>
  <si>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</si>
  <si>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</si>
  <si>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</si>
  <si>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</si>
  <si>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</si>
  <si>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</si>
  <si>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</si>
  <si>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</si>
  <si>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</si>
  <si>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</si>
  <si>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</si>
  <si>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</si>
  <si>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</si>
  <si>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</si>
  <si>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</si>
  <si>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</si>
  <si>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</si>
  <si>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</si>
  <si>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</si>
  <si>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</si>
  <si>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</si>
  <si>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</si>
  <si>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</si>
  <si>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</si>
  <si>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</si>
  <si>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</si>
  <si>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</si>
  <si>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</si>
  <si>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</si>
  <si>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</si>
  <si>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</si>
  <si>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</si>
  <si>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</si>
  <si>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</si>
  <si>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</si>
  <si>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</si>
  <si>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</si>
  <si>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</si>
  <si>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</si>
  <si>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</si>
  <si>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</si>
  <si>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</si>
  <si>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</si>
  <si>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</si>
  <si>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</si>
  <si>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</si>
  <si>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</si>
  <si>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</si>
  <si>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</si>
  <si>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</si>
  <si>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</si>
  <si>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</si>
  <si>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</si>
  <si>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</si>
  <si>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</si>
  <si>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</si>
  <si>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</si>
  <si>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</si>
  <si>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</si>
  <si>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</si>
  <si>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</si>
  <si>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</si>
  <si>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</si>
  <si>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</si>
  <si>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</si>
  <si>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</si>
  <si>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</si>
  <si>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</si>
  <si>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</si>
  <si>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</si>
  <si>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</si>
  <si>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</si>
  <si>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</si>
  <si>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</si>
  <si>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</si>
  <si>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</si>
  <si>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</si>
  <si>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</si>
  <si>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</si>
  <si>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</si>
  <si>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</si>
  <si>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</si>
  <si>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</si>
  <si>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</si>
  <si>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</si>
  <si>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</si>
  <si>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</si>
  <si>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</si>
  <si>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</si>
  <si>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</si>
  <si>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</si>
  <si>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</si>
  <si>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</si>
  <si>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</si>
  <si>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</si>
  <si>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</si>
  <si>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</si>
  <si>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</si>
  <si>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</si>
  <si>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</si>
  <si>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</si>
  <si>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</si>
  <si>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</si>
  <si>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</si>
  <si>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</si>
  <si>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</si>
  <si>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</si>
  <si>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</si>
  <si>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</si>
  <si>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</si>
  <si>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</si>
  <si>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</si>
  <si>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</si>
  <si>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</si>
  <si>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</si>
  <si>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</si>
  <si>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</si>
  <si>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</si>
  <si>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</si>
  <si>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</si>
  <si>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</si>
  <si>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</si>
  <si>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</si>
  <si>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</si>
  <si>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</si>
  <si>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</si>
  <si>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</si>
  <si>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</si>
  <si>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</si>
  <si>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</si>
  <si>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</si>
  <si>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</si>
  <si>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</si>
  <si>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</si>
  <si>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</si>
  <si>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</si>
  <si>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</si>
  <si>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</si>
  <si>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</si>
  <si>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</si>
  <si>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</si>
  <si>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</si>
  <si>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</si>
  <si>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</si>
  <si>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</si>
  <si>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</si>
  <si>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</si>
  <si>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</si>
  <si>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</si>
  <si>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</si>
  <si>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</si>
  <si>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</si>
  <si>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</si>
  <si>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</si>
  <si>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</si>
  <si>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</si>
  <si>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</si>
  <si>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</si>
  <si>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</si>
  <si>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</si>
  <si>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</si>
  <si>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</si>
  <si>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</si>
  <si>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</si>
  <si>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</si>
  <si>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</si>
  <si>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</si>
  <si>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</si>
  <si>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</si>
  <si>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</si>
  <si>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</si>
  <si>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</si>
  <si>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</si>
  <si>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</si>
  <si>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</si>
  <si>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</si>
  <si>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</si>
  <si>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</si>
  <si>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</si>
  <si>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</si>
  <si>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</si>
  <si>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</si>
  <si>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</si>
  <si>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</si>
  <si>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</si>
  <si>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</si>
  <si>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</si>
  <si>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</si>
  <si>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</si>
  <si>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</si>
  <si>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</si>
  <si>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</si>
  <si>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</si>
  <si>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</si>
  <si>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</si>
  <si>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</si>
  <si>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</si>
  <si>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</si>
  <si>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</si>
  <si>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</si>
  <si>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</si>
  <si>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</si>
  <si>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</si>
  <si>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</si>
  <si>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</si>
  <si>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</si>
  <si>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</si>
  <si>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</si>
  <si>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</si>
  <si>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</si>
  <si>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</si>
  <si>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</si>
  <si>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</si>
  <si>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</si>
  <si>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</si>
  <si>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</si>
  <si>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</si>
  <si>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</si>
  <si>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</si>
  <si>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</si>
  <si>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</si>
  <si>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</si>
  <si>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</si>
  <si>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</si>
  <si>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</si>
  <si>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</si>
  <si>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</si>
  <si>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</si>
  <si>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</si>
  <si>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</si>
  <si>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</si>
  <si>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</si>
  <si>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</si>
  <si>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</si>
  <si>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</si>
  <si>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</si>
  <si>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</si>
  <si>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</si>
  <si>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</si>
  <si>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</si>
  <si>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</si>
  <si>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</si>
  <si>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</si>
  <si>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</si>
  <si>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</si>
  <si>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</si>
  <si>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</si>
  <si>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</si>
  <si>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</si>
  <si>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</si>
  <si>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</si>
  <si>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</si>
  <si>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</si>
  <si>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</si>
  <si>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</si>
  <si>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</si>
  <si>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</si>
  <si>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</si>
  <si>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</si>
  <si>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</si>
  <si>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</si>
  <si>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</si>
  <si>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</si>
  <si>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</si>
  <si>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</si>
  <si>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</si>
  <si>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</si>
  <si>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</si>
  <si>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</si>
  <si>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</si>
  <si>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</si>
  <si>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</si>
  <si>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</si>
  <si>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</si>
  <si>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</si>
  <si>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</si>
  <si>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</si>
  <si>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</si>
  <si>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</si>
  <si>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</si>
  <si>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</si>
  <si>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</si>
  <si>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</si>
  <si>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</si>
  <si>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</si>
  <si>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</si>
  <si>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</si>
  <si>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</si>
  <si>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</si>
  <si>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</si>
  <si>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</si>
  <si>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</si>
  <si>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</si>
  <si>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</si>
  <si>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</si>
  <si>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</si>
  <si>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</si>
  <si>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</si>
  <si>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</si>
  <si>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</si>
  <si>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</si>
  <si>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</si>
  <si>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</si>
  <si>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</si>
  <si>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</si>
  <si>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</si>
  <si>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</si>
  <si>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</si>
  <si>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</si>
  <si>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</si>
  <si>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</si>
  <si>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</si>
  <si>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</si>
  <si>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</si>
  <si>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</si>
  <si>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</si>
  <si>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</si>
  <si>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</si>
  <si>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</si>
  <si>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</si>
  <si>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</si>
  <si>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</si>
  <si>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</si>
  <si>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</si>
  <si>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</si>
  <si>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</si>
  <si>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</si>
  <si>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</si>
  <si>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</si>
  <si>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</si>
  <si>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</si>
  <si>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</si>
  <si>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</si>
  <si>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</si>
  <si>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</si>
  <si>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</si>
  <si>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</si>
  <si>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</si>
  <si>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</si>
  <si>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</si>
  <si>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</si>
  <si>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</si>
  <si>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</si>
  <si>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</si>
  <si>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</si>
  <si>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</si>
  <si>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</si>
  <si>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</si>
  <si>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</si>
  <si>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</si>
  <si>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</si>
  <si>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</si>
  <si>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</si>
  <si>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</si>
  <si>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</si>
  <si>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</si>
  <si>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</si>
  <si>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</si>
  <si>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</si>
  <si>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</si>
  <si>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</si>
  <si>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</si>
  <si>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</si>
  <si>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</si>
  <si>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</si>
  <si>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</si>
  <si>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</si>
  <si>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</si>
  <si>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</si>
  <si>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</si>
  <si>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</si>
  <si>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</si>
  <si>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</si>
  <si>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</si>
  <si>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</si>
  <si>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</si>
  <si>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</si>
  <si>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</si>
  <si>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</si>
  <si>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</si>
  <si>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</si>
  <si>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</si>
  <si>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</si>
  <si>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</si>
  <si>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</si>
  <si>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</si>
  <si>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</si>
  <si>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</si>
  <si>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</si>
  <si>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</si>
  <si>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</si>
  <si>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</si>
  <si>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</si>
  <si>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</si>
  <si>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</si>
  <si>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</si>
  <si>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</si>
  <si>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</si>
  <si>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</si>
  <si>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</si>
  <si>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</si>
  <si>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</si>
  <si>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</si>
  <si>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</si>
  <si>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</si>
  <si>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</si>
  <si>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</si>
  <si>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</si>
  <si>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</si>
  <si>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</si>
  <si>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</si>
  <si>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</si>
  <si>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</si>
  <si>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</si>
  <si>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</si>
  <si>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</si>
  <si>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</si>
  <si>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</si>
  <si>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</si>
  <si>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</si>
  <si>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</si>
  <si>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</si>
  <si>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</si>
  <si>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</si>
  <si>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</si>
  <si>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</si>
  <si>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</si>
  <si>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</si>
  <si>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</si>
  <si>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</si>
  <si>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</si>
  <si>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</si>
  <si>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</si>
  <si>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</si>
  <si>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</si>
  <si>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</si>
  <si>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</si>
  <si>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</si>
  <si>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</si>
  <si>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</si>
  <si>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</si>
  <si>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</si>
  <si>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</si>
  <si>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</si>
  <si>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</si>
  <si>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</si>
  <si>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</si>
  <si>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</si>
  <si>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</si>
  <si>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</si>
  <si>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</si>
  <si>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</si>
  <si>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</si>
  <si>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</si>
  <si>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</si>
  <si>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</si>
  <si>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</si>
  <si>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</si>
  <si>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</si>
  <si>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</si>
  <si>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</si>
  <si>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</si>
  <si>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</si>
  <si>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</si>
  <si>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</si>
  <si>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</si>
  <si>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</si>
  <si>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</si>
  <si>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</si>
  <si>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</si>
  <si>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</si>
  <si>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</si>
  <si>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</si>
  <si>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</si>
  <si>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</si>
  <si>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</si>
  <si>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</si>
  <si>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</si>
  <si>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</si>
  <si>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</si>
  <si>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</si>
  <si>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</si>
  <si>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</si>
  <si>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</si>
  <si>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</si>
  <si>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</si>
  <si>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</si>
  <si>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</si>
  <si>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</si>
  <si>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</si>
  <si>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</si>
  <si>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</si>
  <si>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</si>
  <si>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</si>
  <si>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</si>
  <si>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</si>
  <si>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</si>
  <si>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</si>
  <si>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</si>
  <si>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</si>
  <si>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</si>
  <si>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</si>
  <si>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</si>
  <si>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</si>
  <si>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</si>
  <si>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</si>
  <si>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</si>
  <si>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</si>
  <si>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</si>
  <si>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</si>
  <si>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</si>
  <si>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</si>
  <si>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</si>
  <si>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</si>
  <si>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</si>
  <si>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</si>
  <si>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</si>
  <si>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</si>
  <si>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</si>
  <si>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</si>
  <si>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</si>
  <si>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</si>
  <si>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</si>
  <si>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</si>
  <si>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</si>
  <si>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</si>
  <si>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</si>
  <si>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</si>
  <si>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</si>
  <si>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</si>
  <si>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</si>
  <si>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</si>
  <si>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</si>
  <si>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</si>
  <si>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</si>
  <si>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</si>
  <si>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</si>
  <si>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</si>
  <si>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</si>
  <si>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</si>
  <si>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</si>
  <si>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</si>
  <si>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</si>
  <si>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</si>
  <si>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</si>
  <si>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</si>
  <si>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</si>
  <si>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</si>
  <si>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</si>
  <si>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</si>
  <si>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</si>
  <si>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</si>
  <si>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</si>
  <si>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</si>
  <si>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</si>
  <si>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</si>
  <si>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</si>
  <si>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</si>
  <si>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</si>
  <si>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</si>
  <si>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</si>
  <si>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</si>
  <si>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</si>
  <si>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</si>
  <si>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</si>
  <si>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</si>
  <si>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</si>
  <si>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</si>
  <si>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</si>
  <si>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</si>
  <si>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</si>
  <si>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</si>
  <si>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</si>
  <si>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</si>
  <si>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</si>
  <si>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</si>
  <si>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</si>
  <si>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</si>
  <si>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</si>
  <si>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</si>
  <si>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</si>
  <si>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</si>
  <si>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</si>
  <si>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</si>
  <si>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</si>
  <si>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</si>
  <si>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</si>
  <si>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</si>
  <si>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</si>
  <si>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</si>
  <si>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</si>
  <si>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</si>
  <si>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</si>
  <si>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</si>
  <si>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</si>
  <si>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</si>
  <si>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</si>
  <si>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</si>
  <si>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</si>
  <si>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</si>
  <si>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</si>
  <si>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</si>
  <si>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</si>
  <si>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</si>
  <si>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</si>
  <si>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</si>
  <si>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</si>
  <si>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</si>
  <si>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</si>
  <si>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</si>
  <si>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</si>
  <si>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</si>
  <si>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</si>
  <si>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</si>
  <si>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</si>
  <si>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</si>
  <si>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</si>
  <si>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</si>
  <si>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</si>
  <si>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</si>
  <si>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</si>
  <si>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</si>
  <si>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</si>
  <si>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</si>
  <si>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</si>
  <si>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</si>
  <si>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</si>
  <si>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</si>
  <si>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</si>
  <si>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</si>
  <si>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</si>
  <si>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</si>
  <si>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</si>
  <si>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</si>
  <si>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</si>
  <si>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</si>
  <si>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</si>
  <si>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</si>
  <si>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</si>
  <si>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</si>
  <si>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</si>
  <si>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</si>
  <si>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</si>
  <si>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</si>
  <si>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</si>
  <si>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</si>
  <si>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</si>
  <si>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</si>
  <si>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</si>
  <si>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</si>
  <si>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</si>
  <si>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</si>
  <si>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</si>
  <si>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</si>
  <si>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</si>
  <si>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</si>
  <si>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</si>
  <si>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</si>
  <si>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</si>
  <si>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</si>
  <si>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</si>
  <si>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</si>
  <si>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</si>
  <si>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</si>
  <si>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</si>
  <si>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</si>
  <si>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</si>
  <si>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</si>
  <si>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</si>
  <si>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</si>
  <si>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</si>
  <si>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</si>
  <si>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</si>
  <si>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</si>
  <si>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</si>
  <si>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</si>
  <si>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</si>
  <si>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</si>
  <si>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</si>
  <si>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</si>
  <si>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</si>
  <si>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</si>
  <si>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</si>
  <si>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</si>
  <si>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</si>
  <si>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</si>
  <si>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</si>
  <si>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</si>
  <si>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</si>
  <si>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</si>
  <si>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</si>
  <si>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</si>
  <si>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</si>
  <si>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</si>
  <si>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</si>
  <si>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</si>
  <si>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</si>
  <si>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</si>
  <si>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</si>
  <si>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</si>
  <si>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</si>
  <si>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</si>
  <si>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</si>
  <si>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</si>
  <si>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</si>
  <si>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</si>
  <si>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</si>
  <si>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</si>
  <si>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</si>
  <si>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</si>
  <si>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</si>
  <si>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</si>
  <si>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</si>
  <si>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</si>
  <si>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</si>
  <si>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</si>
  <si>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</si>
  <si>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</si>
  <si>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</si>
  <si>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</si>
  <si>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</si>
  <si>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</si>
  <si>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</si>
  <si>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</si>
  <si>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</si>
  <si>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</si>
  <si>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</si>
  <si>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</si>
  <si>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</si>
  <si>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</si>
  <si>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</si>
  <si>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</si>
  <si>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</si>
  <si>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</si>
  <si>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</si>
  <si>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</si>
  <si>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</si>
  <si>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</si>
  <si>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</si>
  <si>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</si>
  <si>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</si>
  <si>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</si>
  <si>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</si>
  <si>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</si>
  <si>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</si>
  <si>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</si>
  <si>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</si>
  <si>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</si>
  <si>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</si>
  <si>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</si>
  <si>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</si>
  <si>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</si>
  <si>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</si>
  <si>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</si>
  <si>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</si>
  <si>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</si>
  <si>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</si>
  <si>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</si>
  <si>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</si>
  <si>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</si>
  <si>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</si>
  <si>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</si>
  <si>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</si>
  <si>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</si>
  <si>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</si>
  <si>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</si>
  <si>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</si>
  <si>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</si>
  <si>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</si>
  <si>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</si>
  <si>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</si>
  <si>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</si>
  <si>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</si>
  <si>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</si>
  <si>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</si>
  <si>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</si>
  <si>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</si>
  <si>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</si>
  <si>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</si>
  <si>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</si>
  <si>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</si>
  <si>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</si>
  <si>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</si>
  <si>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</si>
  <si>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</si>
  <si>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</si>
  <si>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</si>
  <si>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</si>
  <si>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</si>
  <si>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</si>
  <si>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</si>
  <si>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</si>
  <si>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</si>
  <si>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</si>
  <si>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</si>
  <si>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</si>
  <si>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</si>
  <si>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</si>
  <si>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</si>
  <si>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</si>
  <si>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</si>
  <si>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</si>
  <si>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</si>
  <si>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</si>
  <si>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</si>
  <si>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</si>
  <si>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</si>
  <si>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</si>
  <si>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</si>
  <si>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</si>
  <si>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</si>
  <si>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</si>
  <si>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</si>
  <si>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</si>
  <si>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</si>
  <si>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</si>
  <si>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</si>
  <si>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</si>
  <si>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</si>
  <si>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</si>
  <si>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</si>
  <si>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</si>
  <si>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</si>
  <si>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</si>
  <si>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</si>
  <si>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</si>
  <si>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</si>
  <si>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</si>
  <si>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</si>
  <si>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</si>
  <si>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</si>
  <si>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</si>
  <si>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</si>
  <si>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</si>
  <si>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</si>
  <si>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</si>
  <si>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</si>
  <si>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</si>
  <si>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</si>
  <si>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</si>
  <si>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</si>
  <si>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</si>
  <si>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</si>
  <si>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</si>
  <si>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</si>
  <si>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</si>
  <si>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</si>
  <si>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</si>
  <si>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</si>
  <si>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</si>
  <si>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</si>
  <si>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</si>
  <si>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</si>
  <si>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</si>
  <si>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</si>
  <si>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</si>
  <si>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</si>
  <si>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</si>
  <si>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</si>
  <si>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</si>
  <si>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</si>
  <si>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</si>
  <si>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</si>
  <si>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</si>
  <si>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</si>
  <si>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</si>
  <si>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</si>
  <si>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</si>
  <si>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</si>
  <si>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</si>
  <si>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</si>
  <si>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</si>
  <si>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</si>
  <si>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</si>
  <si>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</si>
  <si>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</si>
  <si>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</si>
  <si>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</si>
  <si>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</si>
  <si>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</si>
  <si>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</si>
  <si>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</si>
  <si>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</si>
  <si>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</si>
  <si>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</si>
  <si>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</si>
  <si>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</si>
  <si>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</si>
  <si>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</si>
  <si>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</si>
  <si>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</si>
  <si>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</si>
  <si>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</si>
  <si>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</si>
  <si>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</si>
  <si>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</si>
  <si>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</si>
  <si>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</si>
  <si>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</si>
  <si>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</si>
  <si>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</si>
  <si>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</si>
  <si>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</si>
  <si>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</si>
  <si>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</si>
  <si>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</si>
  <si>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</si>
  <si>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</si>
  <si>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</si>
  <si>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</si>
  <si>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</si>
  <si>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</si>
  <si>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</si>
  <si>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</si>
  <si>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</si>
  <si>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</si>
  <si>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</si>
  <si>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</si>
  <si>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</si>
  <si>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</si>
  <si>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</si>
  <si>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</si>
  <si>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</si>
  <si>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</si>
  <si>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</si>
  <si>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</si>
  <si>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</si>
  <si>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</si>
  <si>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</si>
  <si>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</si>
  <si>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</si>
  <si>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</si>
  <si>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</si>
  <si>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</si>
  <si>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</si>
  <si>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</si>
  <si>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</si>
  <si>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</si>
  <si>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</si>
  <si>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</si>
  <si>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</si>
  <si>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</si>
  <si>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</si>
  <si>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</si>
  <si>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</si>
  <si>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</si>
  <si>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</si>
  <si>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</si>
  <si>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</si>
  <si>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</si>
  <si>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</si>
  <si>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</si>
  <si>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</si>
  <si>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</si>
  <si>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</si>
  <si>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</si>
  <si>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</si>
  <si>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</si>
  <si>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</si>
  <si>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</si>
  <si>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</si>
  <si>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</si>
  <si>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</si>
  <si>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</si>
  <si>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</si>
  <si>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</si>
  <si>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</si>
  <si>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</si>
  <si>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</si>
  <si>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</si>
  <si>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</si>
  <si>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</si>
  <si>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</si>
  <si>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</si>
  <si>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</si>
  <si>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</si>
  <si>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</si>
  <si>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</si>
  <si>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</si>
  <si>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</si>
  <si>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</si>
  <si>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</si>
  <si>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</si>
  <si>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</si>
  <si>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</si>
  <si>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</si>
  <si>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</si>
  <si>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</si>
  <si>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</si>
  <si>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</si>
  <si>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</si>
  <si>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</si>
  <si>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</si>
  <si>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</si>
  <si>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</si>
  <si>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</si>
  <si>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</si>
  <si>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</si>
  <si>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</si>
  <si>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</si>
  <si>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</si>
  <si>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</si>
  <si>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</si>
  <si>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</si>
  <si>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</si>
  <si>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</si>
  <si>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</si>
  <si>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</si>
  <si>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</si>
  <si>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</si>
  <si>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</si>
  <si>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</si>
  <si>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</si>
  <si>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</si>
  <si>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</si>
  <si>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</si>
  <si>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</si>
  <si>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</si>
  <si>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</si>
  <si>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</si>
  <si>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</si>
  <si>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</si>
  <si>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</si>
  <si>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</si>
  <si>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</si>
  <si>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</si>
  <si>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</si>
  <si>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</si>
  <si>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</si>
  <si>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</si>
  <si>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</si>
  <si>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</si>
  <si>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</si>
  <si>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</si>
  <si>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</si>
  <si>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</si>
  <si>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</si>
  <si>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</si>
  <si>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</si>
  <si>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</si>
  <si>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</si>
  <si>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</si>
  <si>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</si>
  <si>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</si>
  <si>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</si>
  <si>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</si>
  <si>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</si>
  <si>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</si>
  <si>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</si>
  <si>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</si>
  <si>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</si>
  <si>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</si>
  <si>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</si>
  <si>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</si>
  <si>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</si>
  <si>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</si>
  <si>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</si>
  <si>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</si>
  <si>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</si>
  <si>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</si>
  <si>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</si>
  <si>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</si>
  <si>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</si>
  <si>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</si>
  <si>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</si>
  <si>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</si>
  <si>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</si>
  <si>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</si>
  <si>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</si>
  <si>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</si>
  <si>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</si>
  <si>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</si>
  <si>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</si>
  <si>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</si>
  <si>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</si>
  <si>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</si>
  <si>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</si>
  <si>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</si>
  <si>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</si>
  <si>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</si>
  <si>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</si>
  <si>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</si>
  <si>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</si>
  <si>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</si>
  <si>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</si>
  <si>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</si>
  <si>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</si>
  <si>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</si>
  <si>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</si>
  <si>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</si>
  <si>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</si>
  <si>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</si>
  <si>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</si>
  <si>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</si>
  <si>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</si>
  <si>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</si>
  <si>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</si>
  <si>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</si>
  <si>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</si>
  <si>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</si>
  <si>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</si>
  <si>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</si>
  <si>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</si>
  <si>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</si>
  <si>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</si>
  <si>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</si>
  <si>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</si>
  <si>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</si>
  <si>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</si>
  <si>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</si>
  <si>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</si>
  <si>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</si>
  <si>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</si>
  <si>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</si>
  <si>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</si>
  <si>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</si>
  <si>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</si>
  <si>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</si>
  <si>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</si>
  <si>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</si>
  <si>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</si>
  <si>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</si>
  <si>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</si>
  <si>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</si>
  <si>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</si>
  <si>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</si>
  <si>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</si>
  <si>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</si>
  <si>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</si>
  <si>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</si>
  <si>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</si>
  <si>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</si>
  <si>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</si>
  <si>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</si>
  <si>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</si>
  <si>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</si>
  <si>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</si>
  <si>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</si>
  <si>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</si>
  <si>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</si>
  <si>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</si>
  <si>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</si>
  <si>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</si>
  <si>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</si>
  <si>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</si>
  <si>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</si>
  <si>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</si>
  <si>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</si>
  <si>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</si>
  <si>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</si>
  <si>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</si>
  <si>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</si>
  <si>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</si>
  <si>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</si>
  <si>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</si>
  <si>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</si>
  <si>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</si>
  <si>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</si>
  <si>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</si>
  <si>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</si>
  <si>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</si>
  <si>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</si>
  <si>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</si>
  <si>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</si>
  <si>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</si>
  <si>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</si>
  <si>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</si>
  <si>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</si>
  <si>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</si>
  <si>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</si>
  <si>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</si>
  <si>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</si>
  <si>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</si>
  <si>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</si>
  <si>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</si>
  <si>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</si>
  <si>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</si>
  <si>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</si>
  <si>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</si>
  <si>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</si>
  <si>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</si>
  <si>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</si>
  <si>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</si>
  <si>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</si>
  <si>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</si>
  <si>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</si>
  <si>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</si>
  <si>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</si>
  <si>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</si>
  <si>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</si>
  <si>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</si>
  <si>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</si>
  <si>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</si>
  <si>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</si>
  <si>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</si>
  <si>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</si>
  <si>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</si>
  <si>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</si>
  <si>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</si>
  <si>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</si>
  <si>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</si>
  <si>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</si>
  <si>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</si>
  <si>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</si>
  <si>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</si>
  <si>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</si>
  <si>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</si>
  <si>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</si>
  <si>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</si>
  <si>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</si>
  <si>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</si>
  <si>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</si>
  <si>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</si>
  <si>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</si>
  <si>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</si>
  <si>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</si>
  <si>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</si>
  <si>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</si>
  <si>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</si>
  <si>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</si>
  <si>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</si>
  <si>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</si>
  <si>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</si>
  <si>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</si>
  <si>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</si>
  <si>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</si>
  <si>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</si>
  <si>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</si>
  <si>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</si>
  <si>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</si>
  <si>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</si>
  <si>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</si>
  <si>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</si>
  <si>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</si>
  <si>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</si>
  <si>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</si>
  <si>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</si>
  <si>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</si>
  <si>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</si>
  <si>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</si>
  <si>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</si>
  <si>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</si>
  <si>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</si>
  <si>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</si>
  <si>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</si>
  <si>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</si>
  <si>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</si>
  <si>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</si>
  <si>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</si>
  <si>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</si>
  <si>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</si>
  <si>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</si>
  <si>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</si>
  <si>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</si>
  <si>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</si>
  <si>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</si>
  <si>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</si>
  <si>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</si>
  <si>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</si>
  <si>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</si>
  <si>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</si>
  <si>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</si>
  <si>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</si>
  <si>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</si>
  <si>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</si>
  <si>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</si>
  <si>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</si>
  <si>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</si>
  <si>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</si>
  <si>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</si>
  <si>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</si>
  <si>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</si>
  <si>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</si>
  <si>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</si>
  <si>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</si>
  <si>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</si>
  <si>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</si>
  <si>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</si>
  <si>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</si>
  <si>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</si>
  <si>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</si>
  <si>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</si>
  <si>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</si>
  <si>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</si>
  <si>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</si>
  <si>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</si>
  <si>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</si>
  <si>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</si>
  <si>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</si>
  <si>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</si>
  <si>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</si>
  <si>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</si>
  <si>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</si>
  <si>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</si>
  <si>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</si>
  <si>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</si>
  <si>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</si>
  <si>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</si>
  <si>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</si>
  <si>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</si>
  <si>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</si>
  <si>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</si>
  <si>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</si>
  <si>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</si>
  <si>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</si>
  <si>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</si>
  <si>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</si>
  <si>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</si>
  <si>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</si>
  <si>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</si>
  <si>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</si>
  <si>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</si>
  <si>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</si>
  <si>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</si>
  <si>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</si>
  <si>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</si>
  <si>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</si>
  <si>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</si>
  <si>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</si>
  <si>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</si>
  <si>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</si>
  <si>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</si>
  <si>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</si>
  <si>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</si>
  <si>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</si>
  <si>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</si>
  <si>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</si>
  <si>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</si>
  <si>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</si>
  <si>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</si>
  <si>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</si>
  <si>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</si>
  <si>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</si>
  <si>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</si>
  <si>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</si>
  <si>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</si>
  <si>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</si>
  <si>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</si>
  <si>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</si>
  <si>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</si>
  <si>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</si>
  <si>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</si>
  <si>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</si>
  <si>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</si>
  <si>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</si>
  <si>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</si>
  <si>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</si>
  <si>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</si>
  <si>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</si>
  <si>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</si>
  <si>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</si>
  <si>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</si>
  <si>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</si>
  <si>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</si>
  <si>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</si>
  <si>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</si>
  <si>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</si>
  <si>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</si>
  <si>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</si>
  <si>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</si>
  <si>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</si>
  <si>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</si>
  <si>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</si>
  <si>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</si>
  <si>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</si>
  <si>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</si>
  <si>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</si>
  <si>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</si>
  <si>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</si>
  <si>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</si>
  <si>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</si>
  <si>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</si>
  <si>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</si>
  <si>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</si>
  <si>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</si>
  <si>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</si>
  <si>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</si>
  <si>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</si>
  <si>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</si>
  <si>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</si>
  <si>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</si>
  <si>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</si>
  <si>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</si>
  <si>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</si>
  <si>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</si>
  <si>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</si>
  <si>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</si>
  <si>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</si>
  <si>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</si>
  <si>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</si>
  <si>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</si>
  <si>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</si>
  <si>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</si>
  <si>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</si>
  <si>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</si>
  <si>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</si>
  <si>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</si>
  <si>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</si>
  <si>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</si>
  <si>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</si>
  <si>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</si>
  <si>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</si>
  <si>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</si>
  <si>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</si>
  <si>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</si>
  <si>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</si>
  <si>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</si>
  <si>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</si>
  <si>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</si>
  <si>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</si>
  <si>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</si>
  <si>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</si>
  <si>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</si>
  <si>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</si>
  <si>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</si>
  <si>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</si>
  <si>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</si>
  <si>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</si>
  <si>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</si>
  <si>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</si>
  <si>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</si>
  <si>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</si>
  <si>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</si>
  <si>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</si>
  <si>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</si>
  <si>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</si>
  <si>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</si>
  <si>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</si>
  <si>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</si>
  <si>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</si>
  <si>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</si>
  <si>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</si>
  <si>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</si>
  <si>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</si>
  <si>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</si>
  <si>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</si>
  <si>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</si>
  <si>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</si>
  <si>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</si>
  <si>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</si>
  <si>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</si>
  <si>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</si>
  <si>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</si>
  <si>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</si>
  <si>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</si>
  <si>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</si>
  <si>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</si>
  <si>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</si>
  <si>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</si>
  <si>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</si>
  <si>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</si>
  <si>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</si>
  <si>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</si>
  <si>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</si>
  <si>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</si>
  <si>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</si>
  <si>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</si>
  <si>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</si>
  <si>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</si>
  <si>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</si>
  <si>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</si>
  <si>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</si>
  <si>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</si>
  <si>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</si>
  <si>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</si>
  <si>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</si>
  <si>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</si>
  <si>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</si>
  <si>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</si>
  <si>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</si>
  <si>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</si>
  <si>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</si>
  <si>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</si>
  <si>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</si>
  <si>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</si>
  <si>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</si>
  <si>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</si>
  <si>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</si>
  <si>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</si>
  <si>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</si>
  <si>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</si>
  <si>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</si>
  <si>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</si>
  <si>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</si>
  <si>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</si>
  <si>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</si>
  <si>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</si>
  <si>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</si>
  <si>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</si>
  <si>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</si>
  <si>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</si>
  <si>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</si>
  <si>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</si>
  <si>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</si>
  <si>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</si>
  <si>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</si>
  <si>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</si>
  <si>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</si>
  <si>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</si>
  <si>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</si>
  <si>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</si>
  <si>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</si>
  <si>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</si>
  <si>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</si>
  <si>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</si>
  <si>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</si>
  <si>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</si>
  <si>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</si>
  <si>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</si>
  <si>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</si>
  <si>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</si>
  <si>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</si>
  <si>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</si>
  <si>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</si>
  <si>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</si>
  <si>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</si>
  <si>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</si>
  <si>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</si>
  <si>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</si>
  <si>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</si>
  <si>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</si>
  <si>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</si>
  <si>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</si>
  <si>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</si>
  <si>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</si>
  <si>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</si>
  <si>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</si>
  <si>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</si>
  <si>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</si>
  <si>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</si>
  <si>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</si>
  <si>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</si>
  <si>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</si>
  <si>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</si>
  <si>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</si>
  <si>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</si>
  <si>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</si>
  <si>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</si>
  <si>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</si>
  <si>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</si>
  <si>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</si>
  <si>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</si>
  <si>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</si>
  <si>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</si>
  <si>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</si>
  <si>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</si>
  <si>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</si>
  <si>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</si>
  <si>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</si>
  <si>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</si>
  <si>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</si>
  <si>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</si>
  <si>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</si>
  <si>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</si>
  <si>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</si>
  <si>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</si>
  <si>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</si>
  <si>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</si>
  <si>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</si>
  <si>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</si>
  <si>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</si>
  <si>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</si>
  <si>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</si>
  <si>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</si>
  <si>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</si>
  <si>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</si>
  <si>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</si>
  <si>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</si>
  <si>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</si>
  <si>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</si>
  <si>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</si>
  <si>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</si>
  <si>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</si>
  <si>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</si>
  <si>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</si>
  <si>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</si>
  <si>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</si>
  <si>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</si>
  <si>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</si>
  <si>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</si>
  <si>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</si>
  <si>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</si>
  <si>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</si>
  <si>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</si>
  <si>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</si>
  <si>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</si>
  <si>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</si>
  <si>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</si>
  <si>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</si>
  <si>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</si>
  <si>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</si>
  <si>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</si>
  <si>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</si>
  <si>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</si>
  <si>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</si>
  <si>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</si>
  <si>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</si>
  <si>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</si>
  <si>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</si>
  <si>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</si>
  <si>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</si>
  <si>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</si>
  <si>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</si>
  <si>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</si>
  <si>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</si>
  <si>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</si>
  <si>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</si>
  <si>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</si>
  <si>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</si>
  <si>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</si>
  <si>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</si>
  <si>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</si>
  <si>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</si>
  <si>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</si>
  <si>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</si>
  <si>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</si>
  <si>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</si>
  <si>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</si>
  <si>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</si>
  <si>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</si>
  <si>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</si>
  <si>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</si>
  <si>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</si>
  <si>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</si>
  <si>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</si>
  <si>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</si>
  <si>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</si>
  <si>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</si>
  <si>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</si>
  <si>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</si>
  <si>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</si>
  <si>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</si>
  <si>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</si>
  <si>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</si>
  <si>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</si>
  <si>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</si>
  <si>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</si>
  <si>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</si>
  <si>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</si>
  <si>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</si>
  <si>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</si>
  <si>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</si>
  <si>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</si>
  <si>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</si>
  <si>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</si>
  <si>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</si>
  <si>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</si>
  <si>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</si>
  <si>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</si>
  <si>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</si>
  <si>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</si>
  <si>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</si>
  <si>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</si>
  <si>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</si>
  <si>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</si>
  <si>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</si>
  <si>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</si>
  <si>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</si>
  <si>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</si>
  <si>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</si>
  <si>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</si>
  <si>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</si>
  <si>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</si>
  <si>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</si>
  <si>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</si>
  <si>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</si>
  <si>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</si>
  <si>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</si>
  <si>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</si>
  <si>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</si>
  <si>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</si>
  <si>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</si>
  <si>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</si>
  <si>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</si>
  <si>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</si>
  <si>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</si>
  <si>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</si>
  <si>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</si>
  <si>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</si>
  <si>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</si>
  <si>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</si>
  <si>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</si>
  <si>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</si>
  <si>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</si>
  <si>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</si>
  <si>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</si>
  <si>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</si>
  <si>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</si>
  <si>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</si>
  <si>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</si>
  <si>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</si>
  <si>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</si>
  <si>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</si>
  <si>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</si>
  <si>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</si>
  <si>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</si>
  <si>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</si>
  <si>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</si>
  <si>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</si>
  <si>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</si>
  <si>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</si>
  <si>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</si>
  <si>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</si>
  <si>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</si>
  <si>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</si>
  <si>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</si>
  <si>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</si>
  <si>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</si>
  <si>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</si>
  <si>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</si>
  <si>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</si>
  <si>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</si>
  <si>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</si>
  <si>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</si>
  <si>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</si>
  <si>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</si>
  <si>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</si>
  <si>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</si>
  <si>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</si>
  <si>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</si>
  <si>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</si>
  <si>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</si>
  <si>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</si>
  <si>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</si>
  <si>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</si>
  <si>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</si>
  <si>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</si>
  <si>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</si>
  <si>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</si>
  <si>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</si>
  <si>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</si>
  <si>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</si>
  <si>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</si>
  <si>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</si>
  <si>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</si>
  <si>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</si>
  <si>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</si>
  <si>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</si>
  <si>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</si>
  <si>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</si>
  <si>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</si>
  <si>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</si>
  <si>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</si>
  <si>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</si>
  <si>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</si>
  <si>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</si>
  <si>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</si>
  <si>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</si>
  <si>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</si>
  <si>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</si>
  <si>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</si>
  <si>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</si>
  <si>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</si>
  <si>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</si>
  <si>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</si>
  <si>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</si>
  <si>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</si>
  <si>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</si>
  <si>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</si>
  <si>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</si>
  <si>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</si>
  <si>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</si>
  <si>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</si>
  <si>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</si>
  <si>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</si>
  <si>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</si>
  <si>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</si>
  <si>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</si>
  <si>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</si>
  <si>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</si>
  <si>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</si>
  <si>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</si>
  <si>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</si>
  <si>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</si>
  <si>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</si>
  <si>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</si>
  <si>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</si>
  <si>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</si>
  <si>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</si>
  <si>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</si>
  <si>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</si>
  <si>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</si>
  <si>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</si>
  <si>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</si>
  <si>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</si>
  <si>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</si>
  <si>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</si>
  <si>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</si>
  <si>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</si>
  <si>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</si>
  <si>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</si>
  <si>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</si>
  <si>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</si>
  <si>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</si>
  <si>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</si>
  <si>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</si>
  <si>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</si>
  <si>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</si>
  <si>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</si>
  <si>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</si>
  <si>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</si>
  <si>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</si>
  <si>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</si>
  <si>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</si>
  <si>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</si>
  <si>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</si>
  <si>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</si>
  <si>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</si>
  <si>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</si>
  <si>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</si>
  <si>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</si>
  <si>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</si>
  <si>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</si>
  <si>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</si>
  <si>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</si>
  <si>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</si>
  <si>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</si>
  <si>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</si>
  <si>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</si>
  <si>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</si>
  <si>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</si>
  <si>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</si>
  <si>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</si>
  <si>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</si>
  <si>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</si>
  <si>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</si>
  <si>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</si>
  <si>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</si>
  <si>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</si>
  <si>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</si>
  <si>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</si>
  <si>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</si>
  <si>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</si>
  <si>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</si>
  <si>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</si>
  <si>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</si>
  <si>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</si>
  <si>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</si>
  <si>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</si>
  <si>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</si>
  <si>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</si>
  <si>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</si>
  <si>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</si>
  <si>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</si>
  <si>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</si>
  <si>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</si>
  <si>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</si>
  <si>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</si>
  <si>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</si>
  <si>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</si>
  <si>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</si>
  <si>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</si>
  <si>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</si>
  <si>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</si>
  <si>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</si>
  <si>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</si>
  <si>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</si>
  <si>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</si>
  <si>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</si>
  <si>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</si>
  <si>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</si>
  <si>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</si>
  <si>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</si>
  <si>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</si>
  <si>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</si>
  <si>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</si>
  <si>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</si>
  <si>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</si>
  <si>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</si>
  <si>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</si>
  <si>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</si>
  <si>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</si>
  <si>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</si>
  <si>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</si>
  <si>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</si>
  <si>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</si>
  <si>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</si>
  <si>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</si>
  <si>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</si>
  <si>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</si>
  <si>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</si>
  <si>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</si>
  <si>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</si>
  <si>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</si>
  <si>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</si>
  <si>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</si>
  <si>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</si>
  <si>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</si>
  <si>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</si>
  <si>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</si>
  <si>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</si>
  <si>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</si>
  <si>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</si>
  <si>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</si>
  <si>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</si>
  <si>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</si>
  <si>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</si>
  <si>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</si>
  <si>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</si>
  <si>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</si>
  <si>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</si>
  <si>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</si>
  <si>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</si>
  <si>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</si>
  <si>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</si>
  <si>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</si>
  <si>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</si>
  <si>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</si>
  <si>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</si>
  <si>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</si>
  <si>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</si>
  <si>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</si>
  <si>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</si>
  <si>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</si>
  <si>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</si>
  <si>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</si>
  <si>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</si>
  <si>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</si>
  <si>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</si>
  <si>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</si>
  <si>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</si>
  <si>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</si>
  <si>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</si>
  <si>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</si>
  <si>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</si>
  <si>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</si>
  <si>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</si>
  <si>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</si>
  <si>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</si>
  <si>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</si>
  <si>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</si>
  <si>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</si>
  <si>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</si>
  <si>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</si>
  <si>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</si>
  <si>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</si>
  <si>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</si>
  <si>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</si>
  <si>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</si>
  <si>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</si>
  <si>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</si>
  <si>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</si>
  <si>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</si>
  <si>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</si>
  <si>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</si>
  <si>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</si>
  <si>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</si>
  <si>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</si>
  <si>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</si>
  <si>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</si>
  <si>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</si>
  <si>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</si>
  <si>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</si>
  <si>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</si>
  <si>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</si>
  <si>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</si>
  <si>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</si>
  <si>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</si>
  <si>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</si>
  <si>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</si>
  <si>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</si>
  <si>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</si>
  <si>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</si>
  <si>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</si>
  <si>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</si>
  <si>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</si>
  <si>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</si>
  <si>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</si>
  <si>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</si>
  <si>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</si>
  <si>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</si>
  <si>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</si>
  <si>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</si>
  <si>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</si>
  <si>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</si>
  <si>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</si>
  <si>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</si>
  <si>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</si>
  <si>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</si>
  <si>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</si>
  <si>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</si>
  <si>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</si>
  <si>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</si>
  <si>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</si>
  <si>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</si>
  <si>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</si>
  <si>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</si>
  <si>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</si>
  <si>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</si>
  <si>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</si>
  <si>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</si>
  <si>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</si>
  <si>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</si>
  <si>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</si>
  <si>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</si>
  <si>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</si>
  <si>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</si>
  <si>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</si>
  <si>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</si>
  <si>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</si>
  <si>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</si>
  <si>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</si>
  <si>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</si>
  <si>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</si>
  <si>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</si>
  <si>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</si>
  <si>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</si>
  <si>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</si>
  <si>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</si>
  <si>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</si>
  <si>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</si>
  <si>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</si>
  <si>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</si>
  <si>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</si>
  <si>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</si>
  <si>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</si>
  <si>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</si>
  <si>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</si>
  <si>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</si>
  <si>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</si>
  <si>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</si>
  <si>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</si>
  <si>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</si>
  <si>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</si>
  <si>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</si>
  <si>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</si>
  <si>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</si>
  <si>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</si>
  <si>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</si>
  <si>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</si>
  <si>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</si>
  <si>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</si>
  <si>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</si>
  <si>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</si>
  <si>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</si>
  <si>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</si>
  <si>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</si>
  <si>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</si>
  <si>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</si>
  <si>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</si>
  <si>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</si>
  <si>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</si>
  <si>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</si>
  <si>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</si>
  <si>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</si>
  <si>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</si>
  <si>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</si>
  <si>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</si>
  <si>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</si>
  <si>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</si>
  <si>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</si>
  <si>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</si>
  <si>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</si>
  <si>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</si>
  <si>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</si>
  <si>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</si>
  <si>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</si>
  <si>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</si>
  <si>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</si>
  <si>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</si>
  <si>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</si>
  <si>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</si>
  <si>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</si>
  <si>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</si>
  <si>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</si>
  <si>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</si>
  <si>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</si>
  <si>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</si>
  <si>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</si>
  <si>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</si>
  <si>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</si>
  <si>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</si>
  <si>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</si>
  <si>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</si>
  <si>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</si>
  <si>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</si>
  <si>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</si>
  <si>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</si>
  <si>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</si>
  <si>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</si>
  <si>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</si>
  <si>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</si>
  <si>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</si>
  <si>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</si>
  <si>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</si>
  <si>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</si>
  <si>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</si>
  <si>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</si>
  <si>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</si>
  <si>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</si>
  <si>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</si>
  <si>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</si>
  <si>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</si>
  <si>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</si>
  <si>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</si>
  <si>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</si>
  <si>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</si>
  <si>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</si>
  <si>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</si>
  <si>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</si>
  <si>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</si>
  <si>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</si>
  <si>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</si>
  <si>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</si>
  <si>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</si>
  <si>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</si>
  <si>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</si>
  <si>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</si>
  <si>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</si>
  <si>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</si>
  <si>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</si>
  <si>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</si>
  <si>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</si>
  <si>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</si>
  <si>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</si>
  <si>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</si>
  <si>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</si>
  <si>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</si>
  <si>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</si>
  <si>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</si>
  <si>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</si>
  <si>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</si>
  <si>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</si>
  <si>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</si>
  <si>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</si>
  <si>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</si>
  <si>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</si>
  <si>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</si>
  <si>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</si>
  <si>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</si>
  <si>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</si>
  <si>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</si>
  <si>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</si>
  <si>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</si>
  <si>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</si>
  <si>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</si>
  <si>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</si>
  <si>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</si>
  <si>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</si>
  <si>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</si>
  <si>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</si>
  <si>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</si>
  <si>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</si>
  <si>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</si>
  <si>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</si>
  <si>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</si>
  <si>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</si>
  <si>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</si>
  <si>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</si>
  <si>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</si>
  <si>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</si>
  <si>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</si>
  <si>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</si>
  <si>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</si>
  <si>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</si>
  <si>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</si>
  <si>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</si>
  <si>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</si>
  <si>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</si>
  <si>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</si>
  <si>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</si>
  <si>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</si>
  <si>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</si>
  <si>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</si>
  <si>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</si>
  <si>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</si>
  <si>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</si>
  <si>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</si>
  <si>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</si>
  <si>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</si>
  <si>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</si>
  <si>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</si>
  <si>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</si>
  <si>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</si>
  <si>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</si>
  <si>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</si>
  <si>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</si>
  <si>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</si>
  <si>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</si>
  <si>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</si>
  <si>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</si>
  <si>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</si>
  <si>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</si>
  <si>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</si>
  <si>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</si>
  <si>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</si>
  <si>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</si>
  <si>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</si>
  <si>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</si>
  <si>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</si>
  <si>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</si>
  <si>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</si>
  <si>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</si>
  <si>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</si>
  <si>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</si>
  <si>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</si>
  <si>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</si>
  <si>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</si>
  <si>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</si>
  <si>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</si>
  <si>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</si>
  <si>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</si>
  <si>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</si>
  <si>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</si>
  <si>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</si>
  <si>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</si>
  <si>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</si>
  <si>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</si>
  <si>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</si>
  <si>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</si>
  <si>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</si>
  <si>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</si>
  <si>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</si>
  <si>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</si>
  <si>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</si>
  <si>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</si>
  <si>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</si>
  <si>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</si>
  <si>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</si>
  <si>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</si>
  <si>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</si>
  <si>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</si>
  <si>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</si>
  <si>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</si>
  <si>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</si>
  <si>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</si>
  <si>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</si>
  <si>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</si>
  <si>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</si>
  <si>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</si>
  <si>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</si>
  <si>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</si>
  <si>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</si>
  <si>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</si>
  <si>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</si>
  <si>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</si>
  <si>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</si>
  <si>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</si>
  <si>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</si>
  <si>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</si>
  <si>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</si>
  <si>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</si>
  <si>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</si>
  <si>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</si>
  <si>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</si>
  <si>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</si>
  <si>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</si>
  <si>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</si>
  <si>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</si>
  <si>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</si>
  <si>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</si>
  <si>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</si>
  <si>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</si>
  <si>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</si>
  <si>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</si>
  <si>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</si>
  <si>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</si>
  <si>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</si>
  <si>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</si>
  <si>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</si>
  <si>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</si>
  <si>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</si>
  <si>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</si>
  <si>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</si>
  <si>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</si>
  <si>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</si>
  <si>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</si>
  <si>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</si>
  <si>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</si>
  <si>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</si>
  <si>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</si>
  <si>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</si>
  <si>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</si>
  <si>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</si>
  <si>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</si>
  <si>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</si>
  <si>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</si>
  <si>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</si>
  <si>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</si>
  <si>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</si>
  <si>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</si>
  <si>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</si>
  <si>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</si>
  <si>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</si>
  <si>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</si>
  <si>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</si>
  <si>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</si>
  <si>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</si>
  <si>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</si>
  <si>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</si>
  <si>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</si>
  <si>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</si>
  <si>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</si>
  <si>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</si>
  <si>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</si>
  <si>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</si>
  <si>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</si>
  <si>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</si>
  <si>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</si>
  <si>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</si>
  <si>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</si>
  <si>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</si>
  <si>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</si>
  <si>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</si>
  <si>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</si>
  <si>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</si>
  <si>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</si>
  <si>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</si>
  <si>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</si>
  <si>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</si>
  <si>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</si>
  <si>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</si>
  <si>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</si>
  <si>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</si>
  <si>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</si>
  <si>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</si>
  <si>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</si>
  <si>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</si>
  <si>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</si>
  <si>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</si>
  <si>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</si>
  <si>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</si>
  <si>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</si>
  <si>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</si>
  <si>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</si>
  <si>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</si>
  <si>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</si>
  <si>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</si>
  <si>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</si>
  <si>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</si>
  <si>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</si>
  <si>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</si>
  <si>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</si>
  <si>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</si>
  <si>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</si>
  <si>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</si>
  <si>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</si>
  <si>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</si>
  <si>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</si>
  <si>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</si>
  <si>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</si>
  <si>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</si>
  <si>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</si>
  <si>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</si>
  <si>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</si>
  <si>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</si>
  <si>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</si>
  <si>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</si>
  <si>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</si>
  <si>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</si>
  <si>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</si>
  <si>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</si>
  <si>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</si>
  <si>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</si>
  <si>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</si>
  <si>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</si>
  <si>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</si>
  <si>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</si>
  <si>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</si>
  <si>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</si>
  <si>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</si>
  <si>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</si>
  <si>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</si>
  <si>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</si>
  <si>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</si>
  <si>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</si>
  <si>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</si>
  <si>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</si>
  <si>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</si>
  <si>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</si>
  <si>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</si>
  <si>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</si>
  <si>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</si>
  <si>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</si>
  <si>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</si>
  <si>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</si>
  <si>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</si>
  <si>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</si>
  <si>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</si>
  <si>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</si>
  <si>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</si>
  <si>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</si>
  <si>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</si>
  <si>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</si>
  <si>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</si>
  <si>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</si>
  <si>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</si>
  <si>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</si>
  <si>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</si>
  <si>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</si>
  <si>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</si>
  <si>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</si>
  <si>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</si>
  <si>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</si>
  <si>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</si>
  <si>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</si>
  <si>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</si>
  <si>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</si>
  <si>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</si>
  <si>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</si>
  <si>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</si>
  <si>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</si>
  <si>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</si>
  <si>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</si>
  <si>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</si>
  <si>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</si>
  <si>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</si>
  <si>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</si>
  <si>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</si>
  <si>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</si>
  <si>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</si>
  <si>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</si>
  <si>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</si>
  <si>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</si>
  <si>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</si>
  <si>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</si>
  <si>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</si>
  <si>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</si>
  <si>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</si>
  <si>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</si>
  <si>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</si>
  <si>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</si>
  <si>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</si>
  <si>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</si>
  <si>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</si>
  <si>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</si>
  <si>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</si>
  <si>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</si>
  <si>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</si>
  <si>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</si>
  <si>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</si>
  <si>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</si>
  <si>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</si>
  <si>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</si>
  <si>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</si>
  <si>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</si>
  <si>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</si>
  <si>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</si>
  <si>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</si>
  <si>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</si>
  <si>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</si>
  <si>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</si>
  <si>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</si>
  <si>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</si>
  <si>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</si>
  <si>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</si>
  <si>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</si>
  <si>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</si>
  <si>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</si>
  <si>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</si>
  <si>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</si>
  <si>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</si>
  <si>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</si>
  <si>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</si>
  <si>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</si>
  <si>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</si>
  <si>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</si>
  <si>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</si>
  <si>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</si>
  <si>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</si>
  <si>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</si>
  <si>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</si>
  <si>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</si>
  <si>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</si>
  <si>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</si>
  <si>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</si>
  <si>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</si>
  <si>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</si>
  <si>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</si>
  <si>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</si>
  <si>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</si>
  <si>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</si>
  <si>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</si>
  <si>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</si>
  <si>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</si>
  <si>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</si>
  <si>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</si>
  <si>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</si>
  <si>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</si>
  <si>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</si>
  <si>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</si>
  <si>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</si>
  <si>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</si>
  <si>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</si>
  <si>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</si>
  <si>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</si>
  <si>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</si>
  <si>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</si>
  <si>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</si>
  <si>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</si>
  <si>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</si>
  <si>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</si>
  <si>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</si>
  <si>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</si>
  <si>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</si>
  <si>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</si>
  <si>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</si>
  <si>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</si>
  <si>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</si>
  <si>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</si>
  <si>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</si>
  <si>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</si>
  <si>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</si>
  <si>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</si>
  <si>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</si>
  <si>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</si>
  <si>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</si>
  <si>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</si>
  <si>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</si>
  <si>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</si>
  <si>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</si>
  <si>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</si>
  <si>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</si>
  <si>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</si>
  <si>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</si>
  <si>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</si>
  <si>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</si>
  <si>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</si>
  <si>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</si>
  <si>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</si>
  <si>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</si>
  <si>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</si>
  <si>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</si>
  <si>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</si>
  <si>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</si>
  <si>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</si>
  <si>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</si>
  <si>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</si>
  <si>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</si>
  <si>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</si>
  <si>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</si>
  <si>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</si>
  <si>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</si>
  <si>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</si>
  <si>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</si>
  <si>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</si>
  <si>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</si>
  <si>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</si>
  <si>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</si>
  <si>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</si>
  <si>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</si>
  <si>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</si>
  <si>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</si>
  <si>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</si>
  <si>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</si>
  <si>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</si>
  <si>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</si>
  <si>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</si>
  <si>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</si>
  <si>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</si>
  <si>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</si>
  <si>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</si>
  <si>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</si>
  <si>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</si>
  <si>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</si>
  <si>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</si>
  <si>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</si>
  <si>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</si>
  <si>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</si>
  <si>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</si>
  <si>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</si>
  <si>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</si>
  <si>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</si>
  <si>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</si>
  <si>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</si>
  <si>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</si>
  <si>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</si>
  <si>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</si>
  <si>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</si>
  <si>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</si>
  <si>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</si>
  <si>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</si>
  <si>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</si>
  <si>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</si>
  <si>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</si>
  <si>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</si>
  <si>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</si>
  <si>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</si>
  <si>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</si>
  <si>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</si>
  <si>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</si>
  <si>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</si>
  <si>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</si>
  <si>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</si>
  <si>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</si>
  <si>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</si>
  <si>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</si>
  <si>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</si>
  <si>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</si>
  <si>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</si>
  <si>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</si>
  <si>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</si>
  <si>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</si>
  <si>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</si>
  <si>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</si>
  <si>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</si>
  <si>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</si>
  <si>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</si>
  <si>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</si>
  <si>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</si>
  <si>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</si>
  <si>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</si>
  <si>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</si>
  <si>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</si>
  <si>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</si>
  <si>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</si>
  <si>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</si>
  <si>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</si>
  <si>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</si>
  <si>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</si>
  <si>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</si>
  <si>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</si>
  <si>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</si>
  <si>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</si>
  <si>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</si>
  <si>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</si>
  <si>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</si>
  <si>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</si>
  <si>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</si>
  <si>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</si>
  <si>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</si>
  <si>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</si>
  <si>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</si>
  <si>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</si>
  <si>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</si>
  <si>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</si>
  <si>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</si>
  <si>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</si>
  <si>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</si>
  <si>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</si>
  <si>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</si>
  <si>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</si>
  <si>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</si>
  <si>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</si>
  <si>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</si>
  <si>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</si>
  <si>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</si>
  <si>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</si>
  <si>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</si>
  <si>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</si>
  <si>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</si>
  <si>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</si>
  <si>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</si>
  <si>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</si>
  <si>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</si>
  <si>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</si>
  <si>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</si>
  <si>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</si>
  <si>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</si>
  <si>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</si>
  <si>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</si>
  <si>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</si>
  <si>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</si>
  <si>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</si>
  <si>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</si>
  <si>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</si>
  <si>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</si>
  <si>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</si>
  <si>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</si>
  <si>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</si>
  <si>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</si>
  <si>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</si>
  <si>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</si>
  <si>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</si>
  <si>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</si>
  <si>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</si>
  <si>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</si>
  <si>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</si>
  <si>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</si>
  <si>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</si>
  <si>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</si>
  <si>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</si>
  <si>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</si>
  <si>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</si>
  <si>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</si>
  <si>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</si>
  <si>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</si>
  <si>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</si>
  <si>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</si>
  <si>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</si>
  <si>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</si>
  <si>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</si>
  <si>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</si>
  <si>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</si>
  <si>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</si>
  <si>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</si>
  <si>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</si>
  <si>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</si>
  <si>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</si>
  <si>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</si>
  <si>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</si>
  <si>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</si>
  <si>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</si>
  <si>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</si>
  <si>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</si>
  <si>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</si>
  <si>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</si>
  <si>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</si>
  <si>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</si>
  <si>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</si>
  <si>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</si>
  <si>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</si>
  <si>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</si>
  <si>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</si>
  <si>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</si>
  <si>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</si>
  <si>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</si>
  <si>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</si>
  <si>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</si>
  <si>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</si>
  <si>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</si>
  <si>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</si>
  <si>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</si>
  <si>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</si>
  <si>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</si>
  <si>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</si>
  <si>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</si>
  <si>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</si>
  <si>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</si>
  <si>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</si>
  <si>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</si>
  <si>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</si>
  <si>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</si>
  <si>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</si>
  <si>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</si>
  <si>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</si>
  <si>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</si>
  <si>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</si>
  <si>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</si>
  <si>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</si>
  <si>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</si>
  <si>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</si>
  <si>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</si>
  <si>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</si>
  <si>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</si>
  <si>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</si>
  <si>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</si>
  <si>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</si>
  <si>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</si>
  <si>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</si>
  <si>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</si>
  <si>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</si>
  <si>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</si>
  <si>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</si>
  <si>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</si>
  <si>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</si>
  <si>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</si>
  <si>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</si>
  <si>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</si>
  <si>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</si>
  <si>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</si>
  <si>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</si>
  <si>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</si>
  <si>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</si>
  <si>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</si>
  <si>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</si>
  <si>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</si>
  <si>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</si>
  <si>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</si>
  <si>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</si>
  <si>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</si>
  <si>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</si>
  <si>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</si>
  <si>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</si>
  <si>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</si>
  <si>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</si>
  <si>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</si>
  <si>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</si>
  <si>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</si>
  <si>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</si>
  <si>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</si>
  <si>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</si>
  <si>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</si>
  <si>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</si>
  <si>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</si>
  <si>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</si>
  <si>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</si>
  <si>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</si>
  <si>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</si>
  <si>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</si>
  <si>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</si>
  <si>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</si>
  <si>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</si>
  <si>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</si>
  <si>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</si>
  <si>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</si>
  <si>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</si>
  <si>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</si>
  <si>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</si>
  <si>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</si>
  <si>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</si>
  <si>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</si>
  <si>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</si>
  <si>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</si>
  <si>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</si>
  <si>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</si>
  <si>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</si>
  <si>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</si>
  <si>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</si>
  <si>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</si>
  <si>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</si>
  <si>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</si>
  <si>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</si>
  <si>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</si>
  <si>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</si>
  <si>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</si>
  <si>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</si>
  <si>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</si>
  <si>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</si>
  <si>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</si>
  <si>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</si>
  <si>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</si>
  <si>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</si>
  <si>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</si>
  <si>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</si>
  <si>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</si>
  <si>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</si>
  <si>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</si>
  <si>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</si>
  <si>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</si>
  <si>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</si>
  <si>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</si>
  <si>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</si>
  <si>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</si>
  <si>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</si>
  <si>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</si>
  <si>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</si>
  <si>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</si>
  <si>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</si>
  <si>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</si>
  <si>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</si>
  <si>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</si>
  <si>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</si>
  <si>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</si>
  <si>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</si>
  <si>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</si>
  <si>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</si>
  <si>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</si>
  <si>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</si>
  <si>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</si>
  <si>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</si>
  <si>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</si>
  <si>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</si>
  <si>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</si>
  <si>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</si>
  <si>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</si>
  <si>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</si>
  <si>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</si>
  <si>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</si>
  <si>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</si>
  <si>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</si>
  <si>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</si>
  <si>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</si>
  <si>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</si>
  <si>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</si>
  <si>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</si>
  <si>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</si>
  <si>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</si>
  <si>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</si>
  <si>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</si>
  <si>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</si>
  <si>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</si>
  <si>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</si>
  <si>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</si>
  <si>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</si>
  <si>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</si>
  <si>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</si>
  <si>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</si>
  <si>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</si>
  <si>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</si>
  <si>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</si>
  <si>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</si>
  <si>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</si>
  <si>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</si>
  <si>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</si>
  <si>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</si>
  <si>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</si>
  <si>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</si>
  <si>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</si>
  <si>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</si>
  <si>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</si>
  <si>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</si>
  <si>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</si>
  <si>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</si>
  <si>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</si>
  <si>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</si>
  <si>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</si>
  <si>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</si>
  <si>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</si>
  <si>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</si>
  <si>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</si>
  <si>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</si>
  <si>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</si>
  <si>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</si>
  <si>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</si>
  <si>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</si>
  <si>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</si>
  <si>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</si>
  <si>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</si>
  <si>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</si>
  <si>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</si>
  <si>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</si>
  <si>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</si>
  <si>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</si>
  <si>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</si>
  <si>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</si>
  <si>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</si>
  <si>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</si>
  <si>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</si>
  <si>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</si>
  <si>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</si>
  <si>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</si>
  <si>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</si>
  <si>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</si>
  <si>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</si>
  <si>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</si>
  <si>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</si>
  <si>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</si>
  <si>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</si>
  <si>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</si>
  <si>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</si>
  <si>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</si>
  <si>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</si>
  <si>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</si>
  <si>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</si>
  <si>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</si>
  <si>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</si>
  <si>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</si>
  <si>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</si>
  <si>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</si>
  <si>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</si>
  <si>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</si>
  <si>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</si>
  <si>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</si>
  <si>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</si>
  <si>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</si>
  <si>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</si>
  <si>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</si>
  <si>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</si>
  <si>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</si>
  <si>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</si>
  <si>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</si>
  <si>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</si>
  <si>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</si>
  <si>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</si>
  <si>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</si>
  <si>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</si>
  <si>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</si>
  <si>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</si>
  <si>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</si>
  <si>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</si>
  <si>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</si>
  <si>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</si>
  <si>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</si>
  <si>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</si>
  <si>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</si>
  <si>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</si>
  <si>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</si>
  <si>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</si>
  <si>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</si>
  <si>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</si>
  <si>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</si>
  <si>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</si>
  <si>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</si>
  <si>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</si>
  <si>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</si>
  <si>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</si>
  <si>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</si>
  <si>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</si>
  <si>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</si>
  <si>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</si>
  <si>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</si>
  <si>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</si>
  <si>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</si>
  <si>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</si>
  <si>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</si>
  <si>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</si>
  <si>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</si>
  <si>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</si>
  <si>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</si>
  <si>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</si>
  <si>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</si>
  <si>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</si>
  <si>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</si>
  <si>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</si>
  <si>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</si>
  <si>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</si>
  <si>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</si>
  <si>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</si>
  <si>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</si>
  <si>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</si>
  <si>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</si>
  <si>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</si>
  <si>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</si>
  <si>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</si>
  <si>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</si>
  <si>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</si>
  <si>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</si>
  <si>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</si>
  <si>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</si>
  <si>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</si>
  <si>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</si>
  <si>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</si>
  <si>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</si>
  <si>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</si>
  <si>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</si>
  <si>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</si>
  <si>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</si>
  <si>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</si>
  <si>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</si>
  <si>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</si>
  <si>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</si>
  <si>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</si>
  <si>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</si>
  <si>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</si>
  <si>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</si>
  <si>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</si>
  <si>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</si>
  <si>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</si>
  <si>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</si>
  <si>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</si>
  <si>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</si>
  <si>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</si>
  <si>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</si>
  <si>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</si>
  <si>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</si>
  <si>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</si>
  <si>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</si>
  <si>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</si>
  <si>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</si>
  <si>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</si>
  <si>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</si>
  <si>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</si>
  <si>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</si>
  <si>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</si>
  <si>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</si>
  <si>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</si>
  <si>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</si>
  <si>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</si>
  <si>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</si>
  <si>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</si>
  <si>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</si>
  <si>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</si>
  <si>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</si>
  <si>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</si>
  <si>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</si>
  <si>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</si>
  <si>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</si>
  <si>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</si>
  <si>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</si>
  <si>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</si>
  <si>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</si>
  <si>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</si>
  <si>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</si>
  <si>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</si>
  <si>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</si>
  <si>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</si>
  <si>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</si>
  <si>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</si>
  <si>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</si>
  <si>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</si>
  <si>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</si>
  <si>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</si>
  <si>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</si>
  <si>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</si>
  <si>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</si>
  <si>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</si>
  <si>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</si>
  <si>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</si>
  <si>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</si>
  <si>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</si>
  <si>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</si>
  <si>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</si>
  <si>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</si>
  <si>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</si>
  <si>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</si>
  <si>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</si>
  <si>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</si>
  <si>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</si>
  <si>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</si>
  <si>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</si>
  <si>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</si>
  <si>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</si>
  <si>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</si>
  <si>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</si>
  <si>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</si>
  <si>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</si>
  <si>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</si>
  <si>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</si>
  <si>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</si>
  <si>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</si>
  <si>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</si>
  <si>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</si>
  <si>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</si>
  <si>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</si>
  <si>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</si>
  <si>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</si>
  <si>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</si>
  <si>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</si>
  <si>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</si>
  <si>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</si>
  <si>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</si>
  <si>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</si>
  <si>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</si>
  <si>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</si>
  <si>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</si>
  <si>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</si>
  <si>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</si>
  <si>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</si>
  <si>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</si>
  <si>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</si>
  <si>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</si>
  <si>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</si>
  <si>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</si>
  <si>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</si>
  <si>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</si>
  <si>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</si>
  <si>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</si>
  <si>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</si>
  <si>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</si>
  <si>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</si>
  <si>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</si>
  <si>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</si>
  <si>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</si>
  <si>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</si>
  <si>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</si>
  <si>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</si>
  <si>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</si>
  <si>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</si>
  <si>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</si>
  <si>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</si>
  <si>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</si>
  <si>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</si>
  <si>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</si>
  <si>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</si>
  <si>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</si>
  <si>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</si>
  <si>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</si>
  <si>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</si>
  <si>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</si>
  <si>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</si>
  <si>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</si>
  <si>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</si>
  <si>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</si>
  <si>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</si>
  <si>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</si>
  <si>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</si>
  <si>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</si>
  <si>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</si>
  <si>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</si>
  <si>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</si>
  <si>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</si>
  <si>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</si>
  <si>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</si>
  <si>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</si>
  <si>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</si>
  <si>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</si>
  <si>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</si>
  <si>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</si>
  <si>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</si>
  <si>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</si>
  <si>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</si>
  <si>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</si>
  <si>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</si>
  <si>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</si>
  <si>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</si>
  <si>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</si>
  <si>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</si>
  <si>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</si>
  <si>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</si>
  <si>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</si>
  <si>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</si>
  <si>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</si>
  <si>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</si>
  <si>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</si>
  <si>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</si>
  <si>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</si>
  <si>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</si>
  <si>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</si>
  <si>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</si>
  <si>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</si>
  <si>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</si>
  <si>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</si>
  <si>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</si>
  <si>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</si>
  <si>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</si>
  <si>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</si>
  <si>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</si>
  <si>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</si>
  <si>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</si>
  <si>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</si>
  <si>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</si>
  <si>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</si>
  <si>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</si>
  <si>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</si>
  <si>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</si>
  <si>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</si>
  <si>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</si>
  <si>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</si>
  <si>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</si>
  <si>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</si>
  <si>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</si>
  <si>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</si>
  <si>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</si>
  <si>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</si>
  <si>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</si>
  <si>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</si>
  <si>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</si>
  <si>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</si>
  <si>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</si>
  <si>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</si>
  <si>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</si>
  <si>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</si>
  <si>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</si>
  <si>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</si>
  <si>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</si>
  <si>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</si>
  <si>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</si>
  <si>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</si>
  <si>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</si>
  <si>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</si>
  <si>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</si>
  <si>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</si>
  <si>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</si>
  <si>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</si>
  <si>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</si>
  <si>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</si>
  <si>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</si>
  <si>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</si>
  <si>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</si>
  <si>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</si>
  <si>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</si>
  <si>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</si>
  <si>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</si>
  <si>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</si>
  <si>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</si>
  <si>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</si>
  <si>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</si>
  <si>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</si>
  <si>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</si>
  <si>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</si>
  <si>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</si>
  <si>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</si>
  <si>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</si>
  <si>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</si>
  <si>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</si>
  <si>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</si>
  <si>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</si>
  <si>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</si>
  <si>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</si>
  <si>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</si>
  <si>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</si>
  <si>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</si>
  <si>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</si>
  <si>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</si>
  <si>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</si>
  <si>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</si>
  <si>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</si>
  <si>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</si>
  <si>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</si>
  <si>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</si>
  <si>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</si>
  <si>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</si>
  <si>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</si>
  <si>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</si>
  <si>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</si>
  <si>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</si>
  <si>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</si>
  <si>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</si>
  <si>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</si>
  <si>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</si>
  <si>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</si>
  <si>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</si>
  <si>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</si>
  <si>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</si>
  <si>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</si>
  <si>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</si>
  <si>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</si>
  <si>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</si>
  <si>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</si>
  <si>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</si>
  <si>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</si>
  <si>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</si>
  <si>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</si>
  <si>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</si>
  <si>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</si>
  <si>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</si>
  <si>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</si>
  <si>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</si>
  <si>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</si>
  <si>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</si>
  <si>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</si>
  <si>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</si>
  <si>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</si>
  <si>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</si>
  <si>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</si>
  <si>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</si>
  <si>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</si>
  <si>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</si>
  <si>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</si>
  <si>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</si>
  <si>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</si>
  <si>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</si>
  <si>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</si>
  <si>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</si>
  <si>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</si>
  <si>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</si>
  <si>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</si>
  <si>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</si>
  <si>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</si>
  <si>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</si>
  <si>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</si>
  <si>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</si>
  <si>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</si>
  <si>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</si>
  <si>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</si>
  <si>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</si>
  <si>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</si>
  <si>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</si>
  <si>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</si>
  <si>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</si>
  <si>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</si>
  <si>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</si>
  <si>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</si>
  <si>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</si>
  <si>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</si>
  <si>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</si>
  <si>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</si>
  <si>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</si>
  <si>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</si>
  <si>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</si>
  <si>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</si>
  <si>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</si>
  <si>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</si>
  <si>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</si>
  <si>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</si>
  <si>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</si>
  <si>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</si>
  <si>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</si>
  <si>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</si>
  <si>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</si>
  <si>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</si>
  <si>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</si>
  <si>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</si>
  <si>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</si>
  <si>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</si>
  <si>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</si>
  <si>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</si>
  <si>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</si>
  <si>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</si>
  <si>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</si>
  <si>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</si>
  <si>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</si>
  <si>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</si>
  <si>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</si>
  <si>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</si>
  <si>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</si>
  <si>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</si>
  <si>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</si>
  <si>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</si>
  <si>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</si>
  <si>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</si>
  <si>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</si>
  <si>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</si>
  <si>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</si>
  <si>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</si>
  <si>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</si>
  <si>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</si>
  <si>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</si>
  <si>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</si>
  <si>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</si>
  <si>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</si>
  <si>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</si>
  <si>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</si>
  <si>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</si>
  <si>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</si>
  <si>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</si>
  <si>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</si>
  <si>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</si>
  <si>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</si>
  <si>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</si>
  <si>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</si>
  <si>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</si>
  <si>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</si>
  <si>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</si>
  <si>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</si>
  <si>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</si>
  <si>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</si>
  <si>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</si>
  <si>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</si>
  <si>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</si>
  <si>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</si>
  <si>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</si>
  <si>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</si>
  <si>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</si>
  <si>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</si>
  <si>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</si>
  <si>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</si>
  <si>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</si>
  <si>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</si>
  <si>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</si>
  <si>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</si>
  <si>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</si>
  <si>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</si>
  <si>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</si>
  <si>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</si>
  <si>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</si>
  <si>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</si>
  <si>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</si>
  <si>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</si>
  <si>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</si>
  <si>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</si>
  <si>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</si>
  <si>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</si>
  <si>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</si>
  <si>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</si>
  <si>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</si>
  <si>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</si>
  <si>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</si>
  <si>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</si>
  <si>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</si>
  <si>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</si>
  <si>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</si>
  <si>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</si>
  <si>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</si>
  <si>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</si>
  <si>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</si>
  <si>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</si>
  <si>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</si>
  <si>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</si>
  <si>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</si>
  <si>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</si>
  <si>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</si>
  <si>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</si>
  <si>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</si>
  <si>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</si>
  <si>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</si>
  <si>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</si>
  <si>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</si>
  <si>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</si>
  <si>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</si>
  <si>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</si>
  <si>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</si>
  <si>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</si>
  <si>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</si>
  <si>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</si>
  <si>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</si>
  <si>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</si>
  <si>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</si>
  <si>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</si>
  <si>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</si>
  <si>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</si>
  <si>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</si>
  <si>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</si>
  <si>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</si>
  <si>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</si>
  <si>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</si>
  <si>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</si>
  <si>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</si>
  <si>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</si>
  <si>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</si>
  <si>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</si>
  <si>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</si>
  <si>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</si>
  <si>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</si>
  <si>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</si>
  <si>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</si>
  <si>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</si>
  <si>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</si>
  <si>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</si>
  <si>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</si>
  <si>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</si>
  <si>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</si>
  <si>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</si>
  <si>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</si>
  <si>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</si>
  <si>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</si>
  <si>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</si>
  <si>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</si>
  <si>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</si>
  <si>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</si>
  <si>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</si>
  <si>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</si>
  <si>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</si>
  <si>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</si>
  <si>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</si>
  <si>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</si>
  <si>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</si>
  <si>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</si>
  <si>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</si>
  <si>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</si>
  <si>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</si>
  <si>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</si>
  <si>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</si>
  <si>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</si>
  <si>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</si>
  <si>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</si>
  <si>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</si>
  <si>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</si>
  <si>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</si>
  <si>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</si>
  <si>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</si>
  <si>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</si>
  <si>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</si>
  <si>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</si>
  <si>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</si>
  <si>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</si>
  <si>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</si>
  <si>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</si>
  <si>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</si>
  <si>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</si>
  <si>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</si>
  <si>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</si>
  <si>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</si>
  <si>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</si>
  <si>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</si>
  <si>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</si>
  <si>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</si>
  <si>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</si>
  <si>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</si>
  <si>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</si>
  <si>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</si>
  <si>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</si>
  <si>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</si>
  <si>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</si>
  <si>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</si>
  <si>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</si>
  <si>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</si>
  <si>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</si>
  <si>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</si>
  <si>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</si>
  <si>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</si>
  <si>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</si>
  <si>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</si>
  <si>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</si>
  <si>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</si>
  <si>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</si>
  <si>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</si>
  <si>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</si>
  <si>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</si>
  <si>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</si>
  <si>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</si>
  <si>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</si>
  <si>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</si>
  <si>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</si>
  <si>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</si>
  <si>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</si>
  <si>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</si>
  <si>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</si>
  <si>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</si>
  <si>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</si>
  <si>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</si>
  <si>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</si>
  <si>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</si>
  <si>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</si>
  <si>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</si>
  <si>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</si>
  <si>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</si>
  <si>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</si>
  <si>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</si>
  <si>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</si>
  <si>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</si>
  <si>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</si>
  <si>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</si>
  <si>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</si>
  <si>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</si>
  <si>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</si>
  <si>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</si>
  <si>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</si>
  <si>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</si>
  <si>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</si>
  <si>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</si>
  <si>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</si>
  <si>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</si>
  <si>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</si>
  <si>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</si>
  <si>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</si>
  <si>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</si>
  <si>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</si>
  <si>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</si>
  <si>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</si>
  <si>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</si>
  <si>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</si>
  <si>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</si>
  <si>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</si>
  <si>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</si>
  <si>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</si>
  <si>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</si>
  <si>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</si>
  <si>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</si>
  <si>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</si>
  <si>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</si>
  <si>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</si>
  <si>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</si>
  <si>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</si>
  <si>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</si>
  <si>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</si>
  <si>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</si>
  <si>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</si>
  <si>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</si>
  <si>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</si>
  <si>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</si>
  <si>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</si>
  <si>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</si>
  <si>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</si>
  <si>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</si>
  <si>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</si>
  <si>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</si>
  <si>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</si>
  <si>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</si>
  <si>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</si>
  <si>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</si>
  <si>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</si>
  <si>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</si>
  <si>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</si>
  <si>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</si>
  <si>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</si>
  <si>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</si>
  <si>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</si>
  <si>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</si>
  <si>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</si>
  <si>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</si>
  <si>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</si>
  <si>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</si>
  <si>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</si>
  <si>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</si>
  <si>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</si>
  <si>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</si>
  <si>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</si>
  <si>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</si>
  <si>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</si>
  <si>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</si>
  <si>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</si>
  <si>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</si>
  <si>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</si>
  <si>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</si>
  <si>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</si>
  <si>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</si>
  <si>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</si>
  <si>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</si>
  <si>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</si>
  <si>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</si>
  <si>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</si>
  <si>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</si>
  <si>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</si>
  <si>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</si>
  <si>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</si>
  <si>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</si>
  <si>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</si>
  <si>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</si>
  <si>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</si>
  <si>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</si>
  <si>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</si>
  <si>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</si>
  <si>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</si>
  <si>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</si>
  <si>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</si>
  <si>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</si>
  <si>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</si>
  <si>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</si>
  <si>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</si>
  <si>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</si>
  <si>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</si>
  <si>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</si>
  <si>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</si>
  <si>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</si>
  <si>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</si>
  <si>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</si>
  <si>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</si>
  <si>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</si>
  <si>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</si>
  <si>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</si>
  <si>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</si>
  <si>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</si>
  <si>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</si>
  <si>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</si>
  <si>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</si>
  <si>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</si>
  <si>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</si>
  <si>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</si>
  <si>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</si>
  <si>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</si>
  <si>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</si>
  <si>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</si>
  <si>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</si>
  <si>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</si>
  <si>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</si>
  <si>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</si>
  <si>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</si>
  <si>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</si>
  <si>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</si>
  <si>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</si>
  <si>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</si>
  <si>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</si>
  <si>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</si>
  <si>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</si>
  <si>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</si>
  <si>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</si>
  <si>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</si>
  <si>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</si>
  <si>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</si>
  <si>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Has the undertaking put in place specific practices, policies and/or future initiatives for transitioning towards a more sustainabile economy?</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</si>
  <si>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</si>
  <si>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</si>
  <si>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</si>
  <si>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</si>
  <si>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</si>
  <si>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a practice, policy and/or future inititiatve towards a more sustainable future (In case the practice/ policy/ future initiative covers suppliers or clients, the undertaking shall mention it)</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</si>
  <si>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</si>
  <si>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</si>
  <si>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</si>
  <si>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</si>
  <si>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</si>
  <si>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</si>
  <si>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</si>
  <si>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</si>
  <si>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</si>
  <si>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</si>
  <si>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</si>
  <si>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</si>
  <si>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</si>
  <si>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</si>
  <si>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</si>
  <si>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</si>
  <si>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</si>
  <si>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</si>
  <si>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</si>
  <si>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</si>
  <si>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</si>
  <si>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</si>
  <si>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</si>
  <si>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</si>
  <si>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</si>
  <si>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</si>
  <si>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</si>
  <si>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</si>
  <si>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</si>
  <si>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</si>
  <si>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</si>
  <si>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</si>
  <si>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</si>
  <si>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</si>
  <si>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</si>
  <si>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</si>
  <si>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</si>
  <si>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</si>
  <si>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</si>
  <si>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</si>
  <si>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</si>
  <si>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</si>
  <si>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</si>
  <si>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</si>
  <si>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</si>
  <si>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</si>
  <si>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</si>
  <si>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</si>
  <si>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</si>
  <si>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</si>
  <si>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</si>
  <si>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</si>
  <si>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</si>
  <si>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</si>
  <si>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</si>
  <si>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</si>
  <si>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</si>
  <si>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</si>
  <si>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</si>
  <si>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</si>
  <si>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</si>
  <si>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</si>
  <si>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</si>
  <si>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</si>
  <si>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</si>
  <si>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</si>
  <si>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</si>
  <si>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</si>
  <si>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</si>
  <si>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</si>
  <si>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</si>
  <si>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</si>
  <si>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</si>
  <si>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</si>
  <si>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</si>
  <si>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</si>
  <si>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</si>
  <si>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</si>
  <si>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</si>
  <si>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</si>
  <si>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</si>
  <si>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</si>
  <si>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</si>
  <si>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</si>
  <si>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</si>
  <si>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</si>
  <si>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</si>
  <si>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</si>
  <si>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</si>
  <si>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</si>
  <si>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</si>
  <si>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</si>
  <si>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</si>
  <si>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</si>
  <si>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</si>
  <si>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</si>
  <si>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</si>
  <si>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</si>
  <si>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</si>
  <si>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</si>
  <si>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</si>
  <si>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</si>
  <si>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</si>
  <si>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</si>
  <si>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</si>
  <si>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</si>
  <si>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</si>
  <si>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</si>
  <si>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</si>
  <si>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</si>
  <si>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</si>
  <si>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</si>
  <si>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</si>
  <si>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</si>
  <si>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</si>
  <si>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</si>
  <si>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</si>
  <si>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</si>
  <si>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</si>
  <si>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</si>
  <si>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</si>
  <si>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</si>
  <si>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</si>
  <si>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</si>
  <si>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</si>
  <si>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</si>
  <si>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</si>
  <si>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</si>
  <si>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</si>
  <si>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</si>
  <si>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</si>
  <si>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</si>
  <si>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</si>
  <si>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</si>
  <si>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</si>
  <si>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</si>
  <si>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</si>
  <si>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</si>
  <si>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</si>
  <si>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</si>
  <si>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</si>
  <si>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</si>
  <si>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</si>
  <si>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</si>
  <si>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</si>
  <si>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</si>
  <si>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</si>
  <si>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</si>
  <si>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</si>
  <si>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</si>
  <si>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</si>
  <si>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</si>
  <si>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</si>
  <si>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</si>
  <si>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</si>
  <si>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</si>
  <si>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</si>
  <si>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</si>
  <si>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</si>
  <si>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</si>
  <si>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</si>
  <si>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</si>
  <si>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</si>
  <si>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</si>
  <si>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</si>
  <si>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</si>
  <si>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</si>
  <si>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</si>
  <si>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</si>
  <si>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</si>
  <si>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</si>
  <si>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</si>
  <si>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</si>
  <si>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</si>
  <si>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</si>
  <si>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</si>
  <si>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</si>
  <si>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</si>
  <si>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</si>
  <si>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</si>
  <si>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</si>
  <si>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</si>
  <si>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</si>
  <si>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</si>
  <si>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</si>
  <si>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</si>
  <si>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</si>
  <si>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</si>
  <si>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</si>
  <si>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</si>
  <si>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</si>
  <si>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</si>
  <si>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</si>
  <si>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</si>
  <si>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</si>
  <si>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</si>
  <si>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</si>
  <si>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</si>
  <si>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</si>
  <si>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</si>
  <si>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</si>
  <si>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</si>
  <si>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</si>
  <si>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</si>
  <si>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</si>
  <si>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</si>
  <si>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</si>
  <si>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</si>
  <si>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</si>
  <si>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</si>
  <si>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</si>
  <si>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</si>
  <si>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</si>
  <si>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</si>
  <si>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</si>
  <si>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</si>
  <si>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</si>
  <si>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</si>
  <si>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</si>
  <si>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</si>
  <si>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</si>
  <si>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</si>
  <si>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</si>
  <si>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</si>
  <si>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</si>
  <si>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</si>
  <si>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</si>
  <si>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</si>
  <si>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</si>
  <si>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</si>
  <si>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</si>
  <si>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</si>
  <si>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</si>
  <si>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</si>
  <si>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</si>
  <si>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</si>
  <si>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</si>
  <si>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</si>
  <si>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</si>
  <si>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</si>
  <si>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</si>
  <si>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</si>
  <si>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</si>
  <si>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</si>
  <si>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</si>
  <si>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</si>
  <si>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</si>
  <si>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</si>
  <si>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</si>
  <si>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</si>
  <si>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</si>
  <si>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</si>
  <si>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</si>
  <si>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</si>
  <si>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</si>
  <si>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</si>
  <si>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</si>
  <si>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</si>
  <si>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</si>
  <si>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</si>
  <si>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</si>
  <si>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</si>
  <si>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</si>
  <si>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</si>
  <si>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</si>
  <si>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</si>
  <si>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</si>
  <si>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</si>
  <si>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</si>
  <si>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</si>
  <si>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</si>
  <si>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</si>
  <si>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</si>
  <si>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</si>
  <si>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</si>
  <si>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</si>
  <si>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</si>
  <si>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</si>
  <si>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</si>
  <si>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</si>
  <si>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</si>
  <si>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</si>
  <si>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</si>
  <si>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</si>
  <si>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</si>
  <si>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</si>
  <si>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</si>
  <si>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</si>
  <si>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</si>
  <si>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t>24(e(i)</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</si>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</sst>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s>
  <fills count="22">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24">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0" borderId="0" xfId="0" applyFont="1" applyAlignment="1">
      <alignment horizontal="center"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vertical="center" wrapText="1"/>
    </xf>
    <xf numFmtId="0" fontId="0" fillId="0" borderId="1" xfId="0" applyBorder="1" applyAlignment="1">
      <alignment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0" fontId="40" fillId="0" borderId="11" xfId="3" applyFont="1"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0" fontId="0" fillId="13" borderId="4" xfId="0" applyFill="1" applyBorder="1" applyAlignment="1">
      <alignment horizontal="center"/>
    </xf>
    <xf numFmtId="0" fontId="0" fillId="13" borderId="13" xfId="0" applyFill="1" applyBorder="1" applyAlignment="1">
      <alignment horizontal="center"/>
    </xf>
    <xf numFmtId="2" fontId="0" fillId="6" borderId="1" xfId="0" applyNumberFormat="1" applyFill="1" applyBorder="1" applyAlignment="1" applyProtection="1">
      <alignment horizontal="right"/>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0" fillId="0" borderId="1" xfId="0" applyBorder="1" applyAlignment="1" applyProtection="1">
      <alignment horizontal="center" vertical="center"/>
      <protection locked="0"/>
    </xf>
    <xf numFmtId="0" fontId="2" fillId="0" borderId="25" xfId="0" applyFont="1" applyBorder="1" applyAlignment="1">
      <alignment horizontal="center" vertical="center"/>
    </xf>
    <xf numFmtId="0" fontId="2" fillId="0" borderId="8" xfId="0" applyFont="1" applyBorder="1" applyAlignment="1">
      <alignment horizontal="left"/>
    </xf>
    <xf numFmtId="0" fontId="2" fillId="0" borderId="9" xfId="0" applyFont="1" applyBorder="1" applyAlignment="1">
      <alignment horizontal="lef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1"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2" fillId="0" borderId="25" xfId="0" applyFont="1" applyBorder="1" applyAlignment="1">
      <alignment horizontal="center" vertical="center" wrapText="1"/>
    </xf>
    <xf numFmtId="2" fontId="0" fillId="6" borderId="18" xfId="0" applyNumberFormat="1" applyFill="1" applyBorder="1" applyAlignment="1" applyProtection="1">
      <alignment horizontal="right"/>
      <protection locked="0"/>
    </xf>
    <xf numFmtId="0" fontId="2" fillId="0" borderId="0" xfId="0" applyFont="1" applyAlignment="1">
      <alignment horizontal="center" vertical="center"/>
    </xf>
    <xf numFmtId="0" fontId="2" fillId="0" borderId="1" xfId="0" applyFont="1" applyBorder="1" applyAlignment="1">
      <alignment horizontal="left"/>
    </xf>
    <xf numFmtId="0" fontId="2" fillId="0" borderId="11" xfId="0" applyFont="1" applyBorder="1" applyAlignment="1">
      <alignment horizontal="left"/>
    </xf>
    <xf numFmtId="0" fontId="4" fillId="19" borderId="3" xfId="0" applyFont="1" applyFill="1" applyBorder="1" applyAlignment="1">
      <alignment horizontal="left"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40" fillId="0" borderId="64" xfId="3" applyFont="1"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6" xfId="0" applyFont="1" applyBorder="1" applyAlignment="1">
      <alignment horizontal="left"/>
    </xf>
    <xf numFmtId="0" fontId="2" fillId="0" borderId="44" xfId="0" applyFont="1" applyBorder="1" applyAlignment="1">
      <alignment horizontal="left"/>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20"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40"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0" fontId="40" fillId="0" borderId="8" xfId="3" applyFont="1" applyFill="1" applyBorder="1" applyAlignment="1" applyProtection="1">
      <alignment horizontal="center"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40" fillId="0" borderId="64" xfId="3" applyFont="1" applyFill="1" applyBorder="1" applyAlignment="1" applyProtection="1">
      <alignment horizontal="center" vertical="center" wrapText="1"/>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0" fontId="40" fillId="0" borderId="7"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2" fillId="3" borderId="59" xfId="0" applyFont="1" applyFill="1" applyBorder="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40" fillId="0" borderId="51" xfId="3" applyFont="1"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5"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tabSelected="1"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4822</v>
      </c>
      <c r="D1" s="382"/>
    </row>
    <row r="2" spans="2:18" x14ac:dyDescent="0.3">
      <c r="B2" s="382" t="s">
        <v>3297</v>
      </c>
      <c r="C2" s="383">
        <v>45804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4578</v>
      </c>
      <c r="C9" s="385" t="s">
        <v>4624</v>
      </c>
    </row>
    <row r="10" spans="2:18" s="387" customFormat="1" ht="63" x14ac:dyDescent="1.2">
      <c r="B10" s="386" t="s">
        <v>4726</v>
      </c>
    </row>
    <row r="11" spans="2:18" ht="324.60000000000002" customHeight="1" x14ac:dyDescent="0.3">
      <c r="B11" s="468" t="s">
        <v>4728</v>
      </c>
      <c r="C11" s="469"/>
      <c r="D11" s="469"/>
      <c r="E11" s="470"/>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56" t="s">
        <v>4453</v>
      </c>
      <c r="C15" s="457"/>
      <c r="D15" s="457"/>
      <c r="E15" s="458"/>
      <c r="F15" s="394"/>
      <c r="G15" s="394"/>
      <c r="H15" s="394"/>
      <c r="I15" s="394"/>
      <c r="J15" s="394"/>
      <c r="K15" s="394"/>
      <c r="L15" s="394"/>
      <c r="M15" s="394"/>
      <c r="N15" s="394"/>
      <c r="O15" s="394"/>
      <c r="P15" s="394"/>
      <c r="Q15" s="394"/>
      <c r="R15" s="394"/>
    </row>
    <row r="16" spans="2:18" ht="36.6" customHeight="1" x14ac:dyDescent="0.3">
      <c r="B16" s="456" t="s">
        <v>4727</v>
      </c>
      <c r="C16" s="457"/>
      <c r="D16" s="457"/>
      <c r="E16" s="458"/>
      <c r="F16" s="394"/>
      <c r="G16" s="394"/>
      <c r="H16" s="394"/>
      <c r="I16" s="394"/>
      <c r="J16" s="394"/>
      <c r="K16" s="394"/>
      <c r="L16" s="394"/>
      <c r="M16" s="394"/>
      <c r="N16" s="394"/>
      <c r="O16" s="394"/>
      <c r="P16" s="394"/>
      <c r="Q16" s="394"/>
      <c r="R16" s="394"/>
    </row>
    <row r="17" spans="1:18" ht="39.6" customHeight="1" x14ac:dyDescent="0.3">
      <c r="B17" s="459" t="s">
        <v>4809</v>
      </c>
      <c r="C17" s="460"/>
      <c r="D17" s="460"/>
      <c r="E17" s="461"/>
      <c r="F17" s="395"/>
      <c r="G17" s="395"/>
      <c r="H17" s="395"/>
      <c r="I17" s="395"/>
      <c r="J17" s="395"/>
      <c r="K17" s="395"/>
      <c r="L17" s="395"/>
      <c r="M17" s="395"/>
      <c r="N17" s="395"/>
      <c r="O17" s="395"/>
      <c r="P17" s="395"/>
      <c r="Q17" s="395"/>
      <c r="R17" s="395"/>
    </row>
    <row r="18" spans="1:18" ht="36" customHeight="1" x14ac:dyDescent="0.3">
      <c r="B18" s="456" t="s">
        <v>4657</v>
      </c>
      <c r="C18" s="457"/>
      <c r="D18" s="457"/>
      <c r="E18" s="458"/>
      <c r="F18" s="395"/>
      <c r="G18" s="395"/>
      <c r="H18" s="395"/>
      <c r="I18" s="395"/>
      <c r="J18" s="395"/>
      <c r="K18" s="395"/>
      <c r="L18" s="395"/>
      <c r="M18" s="395"/>
      <c r="N18" s="395"/>
      <c r="O18" s="395"/>
      <c r="P18" s="395"/>
      <c r="Q18" s="395"/>
      <c r="R18" s="395"/>
    </row>
    <row r="19" spans="1:18" s="396" customFormat="1" ht="18" x14ac:dyDescent="0.3">
      <c r="B19" s="459" t="s">
        <v>4452</v>
      </c>
      <c r="C19" s="460"/>
      <c r="D19" s="460"/>
      <c r="E19" s="461"/>
      <c r="F19" s="395"/>
      <c r="G19" s="395"/>
      <c r="H19" s="395"/>
      <c r="I19" s="395"/>
      <c r="J19" s="395"/>
      <c r="K19" s="395"/>
      <c r="L19" s="395"/>
      <c r="M19" s="395"/>
      <c r="N19" s="395"/>
      <c r="O19" s="395"/>
      <c r="P19" s="395"/>
      <c r="Q19" s="395"/>
      <c r="R19" s="395"/>
    </row>
    <row r="20" spans="1:18" ht="18" x14ac:dyDescent="0.3">
      <c r="B20" s="459" t="s">
        <v>4008</v>
      </c>
      <c r="C20" s="460"/>
      <c r="D20" s="460"/>
      <c r="E20" s="461"/>
      <c r="F20" s="395"/>
      <c r="G20" s="395"/>
      <c r="H20" s="395"/>
      <c r="I20" s="395"/>
      <c r="J20" s="395"/>
      <c r="K20" s="395"/>
      <c r="L20" s="395"/>
      <c r="M20" s="395"/>
      <c r="N20" s="395"/>
      <c r="O20" s="395"/>
      <c r="P20" s="395"/>
      <c r="Q20" s="395"/>
      <c r="R20" s="395"/>
    </row>
    <row r="21" spans="1:18" ht="24.6" customHeight="1" x14ac:dyDescent="0.3">
      <c r="B21" s="471" t="s">
        <v>4009</v>
      </c>
      <c r="C21" s="472"/>
      <c r="D21" s="472"/>
      <c r="E21" s="473"/>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65" t="s">
        <v>3628</v>
      </c>
      <c r="D24" s="466"/>
      <c r="E24" s="467"/>
      <c r="F24" s="393"/>
      <c r="G24" s="393"/>
      <c r="H24" s="393"/>
      <c r="I24" s="393"/>
      <c r="J24" s="393"/>
      <c r="K24" s="393"/>
      <c r="L24" s="393"/>
      <c r="M24" s="393"/>
      <c r="N24" s="393"/>
      <c r="O24" s="393"/>
      <c r="P24" s="393"/>
      <c r="Q24" s="393"/>
      <c r="R24" s="393"/>
    </row>
    <row r="25" spans="1:18" ht="34.5" customHeight="1" x14ac:dyDescent="0.35">
      <c r="A25" s="399"/>
      <c r="B25" s="400" t="s">
        <v>3298</v>
      </c>
      <c r="C25" s="465" t="s">
        <v>3626</v>
      </c>
      <c r="D25" s="466"/>
      <c r="E25" s="467"/>
      <c r="F25" s="393"/>
      <c r="G25" s="401"/>
      <c r="H25" s="401"/>
      <c r="I25" s="401"/>
      <c r="J25" s="401"/>
      <c r="K25" s="401"/>
      <c r="L25" s="401"/>
      <c r="M25" s="401"/>
      <c r="N25" s="401"/>
      <c r="O25" s="401"/>
      <c r="P25" s="401"/>
      <c r="Q25" s="401"/>
      <c r="R25" s="401"/>
    </row>
    <row r="26" spans="1:18" ht="35.700000000000003" customHeight="1" x14ac:dyDescent="0.35">
      <c r="A26" s="399"/>
      <c r="B26" s="402" t="s">
        <v>3299</v>
      </c>
      <c r="C26" s="465" t="s">
        <v>3625</v>
      </c>
      <c r="D26" s="466"/>
      <c r="E26" s="467"/>
      <c r="F26" s="393"/>
      <c r="G26" s="401"/>
      <c r="H26" s="401"/>
      <c r="I26" s="401"/>
      <c r="J26" s="401"/>
      <c r="K26" s="401"/>
      <c r="L26" s="401"/>
      <c r="M26" s="401"/>
      <c r="N26" s="401"/>
      <c r="O26" s="401"/>
      <c r="P26" s="401"/>
      <c r="Q26" s="401"/>
      <c r="R26" s="401"/>
    </row>
    <row r="27" spans="1:18" ht="35.85" customHeight="1" x14ac:dyDescent="0.35">
      <c r="A27" s="399"/>
      <c r="B27" s="403"/>
      <c r="C27" s="462" t="s">
        <v>4810</v>
      </c>
      <c r="D27" s="463"/>
      <c r="E27" s="464"/>
      <c r="F27" s="393"/>
      <c r="G27" s="404"/>
      <c r="H27" s="404"/>
      <c r="I27" s="404"/>
      <c r="J27" s="404"/>
      <c r="K27" s="404"/>
      <c r="L27" s="404"/>
      <c r="M27" s="404"/>
      <c r="N27" s="404"/>
      <c r="O27" s="404"/>
      <c r="P27" s="404"/>
      <c r="Q27" s="404"/>
      <c r="R27" s="404"/>
    </row>
    <row r="28" spans="1:18" ht="63" customHeight="1" x14ac:dyDescent="0.35">
      <c r="A28" s="399"/>
      <c r="B28" s="405"/>
      <c r="C28" s="462" t="s">
        <v>4511</v>
      </c>
      <c r="D28" s="463"/>
      <c r="E28" s="464"/>
      <c r="F28" s="393"/>
      <c r="G28" s="404"/>
      <c r="H28" s="404"/>
      <c r="I28" s="404"/>
      <c r="J28" s="404"/>
      <c r="K28" s="404"/>
      <c r="L28" s="404"/>
      <c r="M28" s="404"/>
      <c r="N28" s="404"/>
      <c r="O28" s="404"/>
      <c r="P28" s="404"/>
      <c r="Q28" s="404"/>
      <c r="R28" s="404"/>
    </row>
    <row r="29" spans="1:18" ht="35.85" customHeight="1" x14ac:dyDescent="0.35">
      <c r="A29" s="399"/>
      <c r="B29" s="406"/>
      <c r="C29" s="462" t="s">
        <v>3796</v>
      </c>
      <c r="D29" s="463"/>
      <c r="E29" s="464"/>
      <c r="F29" s="393"/>
      <c r="G29" s="404"/>
      <c r="H29" s="404"/>
      <c r="I29" s="404"/>
      <c r="J29" s="404"/>
      <c r="K29" s="404"/>
      <c r="L29" s="404"/>
      <c r="M29" s="404"/>
      <c r="N29" s="404"/>
      <c r="O29" s="404"/>
      <c r="P29" s="404"/>
      <c r="Q29" s="404"/>
      <c r="R29" s="404"/>
    </row>
    <row r="30" spans="1:18" ht="42" x14ac:dyDescent="0.35">
      <c r="B30" s="407" t="s">
        <v>4811</v>
      </c>
      <c r="C30" s="465" t="s">
        <v>3736</v>
      </c>
      <c r="D30" s="466"/>
      <c r="E30" s="467"/>
      <c r="F30" s="393"/>
      <c r="G30" s="401"/>
      <c r="H30" s="401"/>
      <c r="I30" s="401"/>
      <c r="J30" s="401"/>
      <c r="K30" s="401"/>
      <c r="L30" s="401"/>
      <c r="M30" s="401"/>
      <c r="N30" s="401"/>
      <c r="O30" s="401"/>
      <c r="P30" s="401"/>
      <c r="Q30" s="401"/>
      <c r="R30" s="401"/>
    </row>
    <row r="31" spans="1:18" ht="22.35" customHeight="1" x14ac:dyDescent="0.35">
      <c r="B31" s="408" t="s">
        <v>3300</v>
      </c>
      <c r="C31" s="465" t="s">
        <v>3630</v>
      </c>
      <c r="D31" s="466"/>
      <c r="E31" s="467"/>
      <c r="F31" s="393"/>
      <c r="G31" s="401"/>
      <c r="H31" s="401"/>
      <c r="I31" s="401"/>
      <c r="J31" s="401"/>
      <c r="K31" s="401"/>
      <c r="L31" s="401"/>
      <c r="M31" s="401"/>
      <c r="N31" s="401"/>
      <c r="O31" s="401"/>
      <c r="P31" s="401"/>
      <c r="Q31" s="401"/>
      <c r="R31" s="401"/>
    </row>
    <row r="32" spans="1:18" ht="22.35" customHeight="1" x14ac:dyDescent="0.35">
      <c r="B32" s="409"/>
      <c r="C32" s="465" t="s">
        <v>3793</v>
      </c>
      <c r="D32" s="466"/>
      <c r="E32" s="467"/>
      <c r="F32" s="393"/>
      <c r="G32" s="401"/>
      <c r="H32" s="401"/>
      <c r="I32" s="401"/>
      <c r="J32" s="401"/>
      <c r="K32" s="401"/>
      <c r="L32" s="401"/>
      <c r="M32" s="401"/>
      <c r="N32" s="401"/>
      <c r="O32" s="401"/>
      <c r="P32" s="401"/>
      <c r="Q32" s="401"/>
      <c r="R32" s="401"/>
    </row>
    <row r="33" spans="1:18" ht="45.75" customHeight="1" x14ac:dyDescent="0.35">
      <c r="A33" s="399"/>
      <c r="B33" s="410" t="s">
        <v>3291</v>
      </c>
      <c r="C33" s="462" t="s">
        <v>3737</v>
      </c>
      <c r="D33" s="463"/>
      <c r="E33" s="464"/>
      <c r="F33" s="393"/>
      <c r="G33" s="411"/>
      <c r="H33" s="411"/>
      <c r="I33" s="411"/>
      <c r="J33" s="411"/>
      <c r="K33" s="411"/>
      <c r="L33" s="411"/>
      <c r="M33" s="411"/>
      <c r="N33" s="411"/>
      <c r="O33" s="411"/>
      <c r="P33" s="411"/>
      <c r="Q33" s="411"/>
      <c r="R33" s="411"/>
    </row>
    <row r="38" spans="1:18" x14ac:dyDescent="0.3">
      <c r="B38" s="453"/>
      <c r="C38" s="454"/>
      <c r="D38" s="454"/>
      <c r="E38" s="455"/>
    </row>
    <row r="39" spans="1:18" ht="97.2" customHeight="1" x14ac:dyDescent="0.4">
      <c r="B39" s="447" t="s">
        <v>3643</v>
      </c>
      <c r="C39" s="448"/>
      <c r="D39" s="448"/>
      <c r="E39" s="449"/>
    </row>
    <row r="40" spans="1:18" ht="21" x14ac:dyDescent="0.4">
      <c r="B40" s="450" t="s">
        <v>3642</v>
      </c>
      <c r="C40" s="451"/>
      <c r="D40" s="451"/>
      <c r="E40" s="452"/>
    </row>
  </sheetData>
  <sheetProtection algorithmName="SHA-512" hashValue="4pfAMg6/rug3INnGL6Rg66UNmJcaWPuFwJxXi55qtWD8Vzic3nEOOf52rhh/8lprMG5/uEEa38e/s9GUfSvlsw==" saltValue="E8MNqURNLkJ31imQvPNjLw==" spinCount="100000" sheet="1" objects="1" scenarios="1" formatColumns="0" formatRows="0"/>
  <mergeCells count="21">
    <mergeCell ref="B11:E11"/>
    <mergeCell ref="B15:E15"/>
    <mergeCell ref="C29:E29"/>
    <mergeCell ref="C33:E33"/>
    <mergeCell ref="C32:E32"/>
    <mergeCell ref="C31:E31"/>
    <mergeCell ref="C30:E30"/>
    <mergeCell ref="B21:E21"/>
    <mergeCell ref="B39:E39"/>
    <mergeCell ref="B40:E40"/>
    <mergeCell ref="B38:E38"/>
    <mergeCell ref="B16:E16"/>
    <mergeCell ref="B17:E17"/>
    <mergeCell ref="B18:E18"/>
    <mergeCell ref="B19:E19"/>
    <mergeCell ref="B20:E20"/>
    <mergeCell ref="C28:E28"/>
    <mergeCell ref="C27:E27"/>
    <mergeCell ref="C24:E24"/>
    <mergeCell ref="C25:E25"/>
    <mergeCell ref="C26:E26"/>
  </mergeCells>
  <phoneticPr fontId="3" type="noConversion"/>
  <hyperlinks>
    <hyperlink ref="C9" r:id="rId1" xr:uid="{AABFD083-3482-44AD-A69D-BBC4CC1A3CD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4625</v>
      </c>
    </row>
    <row r="3" spans="2:3" ht="25.8" x14ac:dyDescent="0.5">
      <c r="B3" s="414" t="s">
        <v>4626</v>
      </c>
      <c r="C3" s="415" t="str" cm="1">
        <f t="array" ref="C3">IF(SUMPRODUCT(--((C5:C68&lt;&gt;"OK")*(C5:C68&lt;&gt;"-")*(C5:C68&lt;&gt;""))) &gt; 0, "INCOMPLETE", "COMPLETE")</f>
        <v>INCOMPLETE</v>
      </c>
    </row>
    <row r="4" spans="2:3" ht="18" x14ac:dyDescent="0.3">
      <c r="B4" s="416" t="s">
        <v>4627</v>
      </c>
      <c r="C4" s="417" t="s">
        <v>4628</v>
      </c>
    </row>
    <row r="5" spans="2:3" x14ac:dyDescent="0.3">
      <c r="B5" s="418" t="s">
        <v>4629</v>
      </c>
      <c r="C5" s="419"/>
    </row>
    <row r="6" spans="2:3" x14ac:dyDescent="0.3">
      <c r="B6" s="420" t="s">
        <v>4658</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MISSING VALUE</v>
      </c>
    </row>
    <row r="7" spans="2:3" x14ac:dyDescent="0.3">
      <c r="B7" s="422" t="s">
        <v>4659</v>
      </c>
      <c r="C7" s="421" t="str">
        <f>IF(COUNTIF('General Information'!F18:F29, "MISSING VALUE") &gt; 0, "MISSING VALUE",
IF(COUNTIF('General Information'!F18:F29, "INVALID URL") &gt; 0, "INVALID URL",
IF(COUNTIF('General Information'!F18:F29, "OK") &gt; 0, "OK", "-")))</f>
        <v>-</v>
      </c>
    </row>
    <row r="8" spans="2:3" ht="15.6" x14ac:dyDescent="0.3">
      <c r="B8" s="423" t="s">
        <v>3298</v>
      </c>
      <c r="C8" s="424"/>
    </row>
    <row r="9" spans="2:3" x14ac:dyDescent="0.3">
      <c r="B9" s="418" t="s">
        <v>4629</v>
      </c>
      <c r="C9" s="419"/>
    </row>
    <row r="10" spans="2:3" x14ac:dyDescent="0.3">
      <c r="B10" s="425" t="s">
        <v>4660</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MISSING VALUE</v>
      </c>
    </row>
    <row r="11" spans="2:3" x14ac:dyDescent="0.3">
      <c r="B11" s="426" t="s">
        <v>4661</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MISSING VALUE</v>
      </c>
    </row>
    <row r="12" spans="2:3" x14ac:dyDescent="0.3">
      <c r="B12" s="426" t="s">
        <v>4662</v>
      </c>
      <c r="C12" s="421" t="str">
        <f>IF(COUNTIF('General Information'!F70:F94, "MISSING VALUE") &gt; 0, "MISSING VALUE", IF(COUNTIF('General Information'!F70:F94, "OK") &gt; 0, "OK", "-"))</f>
        <v>-</v>
      </c>
    </row>
    <row r="13" spans="2:3" x14ac:dyDescent="0.3">
      <c r="B13" s="426" t="s">
        <v>4663</v>
      </c>
      <c r="C13" s="421" t="str">
        <f>IF(COUNTIF('General Information'!I100, "MISSING VALUE") &gt; 0, "MISSING VALUE", IF(COUNTIF('General Information'!I100, "OK") &gt; 0, "OK", "-"))</f>
        <v>-</v>
      </c>
    </row>
    <row r="14" spans="2:3" x14ac:dyDescent="0.3">
      <c r="B14" s="426" t="s">
        <v>4664</v>
      </c>
      <c r="C14" s="421" t="str">
        <f>IF(COUNTIF('General Information'!I108:I132, "MISSING VALUE") &gt; 0, "MISSING VALUE", IF(COUNTIF('General Information'!I108:I132, "OK") &gt; 0, "OK", "-"))</f>
        <v>-</v>
      </c>
    </row>
    <row r="15" spans="2:3" x14ac:dyDescent="0.3">
      <c r="B15" s="426" t="s">
        <v>4646</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v>
      </c>
    </row>
    <row r="16" spans="2:3" x14ac:dyDescent="0.3">
      <c r="B16" s="426" t="s">
        <v>4716</v>
      </c>
      <c r="C16" s="421" t="str">
        <f>IF(COUNTIF('General Information'!P139, "MISSING VALUE") &gt; 0, "MISSING VALUE", IF(COUNTIF('General Information'!P139, "OK") &gt; 0, "OK", "-"))</f>
        <v>-</v>
      </c>
    </row>
    <row r="17" spans="2:3" x14ac:dyDescent="0.3">
      <c r="B17" s="426" t="s">
        <v>4717</v>
      </c>
      <c r="C17" s="421" t="str" cm="1">
        <f t="array" ref="C17">IF(OR('General Information'!E143:E145="OK"),"OK","-")</f>
        <v>-</v>
      </c>
    </row>
    <row r="18" spans="2:3" x14ac:dyDescent="0.3">
      <c r="B18" s="427" t="s">
        <v>4630</v>
      </c>
      <c r="C18" s="419"/>
    </row>
    <row r="19" spans="2:3" x14ac:dyDescent="0.3">
      <c r="B19" s="428" t="s">
        <v>4668</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v>
      </c>
    </row>
    <row r="20" spans="2:3" x14ac:dyDescent="0.3">
      <c r="B20" s="420" t="s">
        <v>4718</v>
      </c>
      <c r="C20" s="421" t="str">
        <f>IF(COUNTIF('Environmental Disclosures'!L5, "MISSING VALUE") &gt; 0, "MISSING VALUE", IF(COUNTIF('Environmental Disclosures'!L5, "OK") &gt; 0, "OK", "-"))</f>
        <v>-</v>
      </c>
    </row>
    <row r="21" spans="2:3" x14ac:dyDescent="0.3">
      <c r="B21" s="420" t="s">
        <v>4719</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4720</v>
      </c>
      <c r="C22" s="421" t="str">
        <f>IF(COUNTIF('Environmental Disclosures'!L21:L44, "MISSING VALUE") &gt; 0, "MISSING VALUE", IF(COUNTIF('Environmental Disclosures'!L21:L44, "OK") &gt; 0, "OK", "-"))</f>
        <v>-</v>
      </c>
    </row>
    <row r="23" spans="2:3" x14ac:dyDescent="0.3">
      <c r="B23" s="420" t="s">
        <v>4721</v>
      </c>
      <c r="C23" s="429" t="str">
        <f>IF(C22="OK", "OK", "-")</f>
        <v>-</v>
      </c>
    </row>
    <row r="24" spans="2:3" x14ac:dyDescent="0.3">
      <c r="B24" s="420" t="s">
        <v>4669</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v>
      </c>
    </row>
    <row r="25" spans="2:3" x14ac:dyDescent="0.3">
      <c r="B25" s="420" t="s">
        <v>4633</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v>
      </c>
    </row>
    <row r="26" spans="2:3" x14ac:dyDescent="0.3">
      <c r="B26" s="420" t="s">
        <v>4722</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v>
      </c>
    </row>
    <row r="27" spans="2:3" x14ac:dyDescent="0.3">
      <c r="B27" s="420" t="s">
        <v>4723</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4670</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v>
      </c>
    </row>
    <row r="29" spans="2:3" x14ac:dyDescent="0.3">
      <c r="B29" s="420" t="s">
        <v>4724</v>
      </c>
      <c r="C29" s="421" t="str">
        <f>IF(COUNTIF('Environmental Disclosures'!E169:F170, "MISSING VALUE") &gt; 0, "MISSING VALUE", IF(COUNTIF('Environmental Disclosures'!E169:F170, "OK") &gt; 0, "OK", "-"))</f>
        <v>-</v>
      </c>
    </row>
    <row r="30" spans="2:3" x14ac:dyDescent="0.3">
      <c r="B30" s="420" t="s">
        <v>4725</v>
      </c>
      <c r="C30" s="421" t="str">
        <f>IF(COUNTIF('Environmental Disclosures'!E176:F176, "MISSING VALUE") &gt; 0, "MISSING VALUE", IF(COUNTIF('Environmental Disclosures'!E176:F176, "OK") &gt; 0, "OK", "-"))</f>
        <v>-</v>
      </c>
    </row>
    <row r="31" spans="2:3" x14ac:dyDescent="0.3">
      <c r="B31" s="420" t="s">
        <v>4671</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v>
      </c>
    </row>
    <row r="32" spans="2:3" x14ac:dyDescent="0.3">
      <c r="B32" s="420" t="s">
        <v>4672</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v>
      </c>
    </row>
    <row r="33" spans="2:3" x14ac:dyDescent="0.3">
      <c r="B33" s="420" t="s">
        <v>4673</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v>
      </c>
    </row>
    <row r="34" spans="2:3" x14ac:dyDescent="0.3">
      <c r="B34" s="420" t="s">
        <v>4674</v>
      </c>
      <c r="C34" s="421" t="str">
        <f>IF(COUNTIF('Environmental Disclosures'!K216:K230, "MISSING VALUE") &gt; 0, "MISSING VALUE", IF(COUNTIF('Environmental Disclosures'!K216:K230, "OK") &gt; 0, "OK", "-"))</f>
        <v>-</v>
      </c>
    </row>
    <row r="35" spans="2:3" x14ac:dyDescent="0.3">
      <c r="B35" s="427" t="s">
        <v>4631</v>
      </c>
      <c r="C35" s="419"/>
    </row>
    <row r="36" spans="2:3" x14ac:dyDescent="0.3">
      <c r="B36" s="428" t="s">
        <v>4681</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v>
      </c>
    </row>
    <row r="37" spans="2:3" x14ac:dyDescent="0.3">
      <c r="B37" s="420" t="s">
        <v>4682</v>
      </c>
      <c r="C37" s="421" t="str">
        <f>IF(COUNTIF('Social Disclosures'!H10, "MISSING VALUE") &gt; 0, "MISSING VALUE", IF(COUNTIF('Social Disclosures'!H10, "OK") &gt; 0, "OK", "-"))</f>
        <v>-</v>
      </c>
    </row>
    <row r="38" spans="2:3" x14ac:dyDescent="0.3">
      <c r="B38" s="420" t="s">
        <v>4683</v>
      </c>
      <c r="C38" s="421" t="str">
        <f>IF(COUNTIF('Social Disclosures'!H18:H21, "MISSING VALUE") &gt; 0, "MISSING VALUE", IF(COUNTIF('Social Disclosures'!H18:H21, "OK") &gt; 0, "OK", "-"))</f>
        <v>-</v>
      </c>
    </row>
    <row r="39" spans="2:3" x14ac:dyDescent="0.3">
      <c r="B39" s="420" t="s">
        <v>4685</v>
      </c>
      <c r="C39" s="421" t="str">
        <f>IF(COUNTIF('Social Disclosures'!I28:I37, "MISSING VALUE") &gt; 0, "MISSING VALUE", IF(COUNTIF('Social Disclosures'!I28:I37, "OK") &gt; 0, "OK", "-"))</f>
        <v>-</v>
      </c>
    </row>
    <row r="40" spans="2:3" x14ac:dyDescent="0.3">
      <c r="B40" s="420" t="s">
        <v>4686</v>
      </c>
      <c r="C40" s="421" t="str">
        <f>IF(COUNTIF('Social Disclosures'!I43:I45, "MISSING VALUE") &gt; 0, "MISSING VALUE", IF(COUNTIF('Social Disclosures'!I43:I45, "OK") &gt; 0, "OK", "-"))</f>
        <v>-</v>
      </c>
    </row>
    <row r="41" spans="2:3" x14ac:dyDescent="0.3">
      <c r="B41" s="420" t="s">
        <v>4684</v>
      </c>
      <c r="C41" s="421" t="str">
        <f>IF(COUNTIF('Social Disclosures'!I49:I53, "MISSING VALUE") &gt; 0, "MISSING VALUE", IF(COUNTIF('Social Disclosures'!I49:I53, "OK") &gt; 0, "OK", "-"))</f>
        <v>-</v>
      </c>
    </row>
    <row r="42" spans="2:3" x14ac:dyDescent="0.3">
      <c r="B42" s="422" t="s">
        <v>4687</v>
      </c>
      <c r="C42" s="421" t="str">
        <f>IF(COUNTIF('Social Disclosures'!I66:I69, "MISSING VALUE") &gt; 0, "MISSING VALUE", IF(COUNTIF('Social Disclosures'!I66:I69, "OK") &gt; 0, "OK", "-"))</f>
        <v>-</v>
      </c>
    </row>
    <row r="43" spans="2:3" x14ac:dyDescent="0.3">
      <c r="B43" s="427" t="s">
        <v>4632</v>
      </c>
      <c r="C43" s="419"/>
    </row>
    <row r="44" spans="2:3" x14ac:dyDescent="0.3">
      <c r="B44" s="422" t="s">
        <v>4692</v>
      </c>
      <c r="C44" s="421" t="str">
        <f>IF(COUNTIF('Governance Disclosures'!I6:I7, "MISSING VALUE") &gt; 0, "MISSING VALUE", IF(COUNTIF('Governance Disclosures'!I6:I7, "OK") &gt; 0, "OK", "-"))</f>
        <v>-</v>
      </c>
    </row>
    <row r="45" spans="2:3" ht="15.6" x14ac:dyDescent="0.3">
      <c r="B45" s="423" t="s">
        <v>3299</v>
      </c>
      <c r="C45" s="424"/>
    </row>
    <row r="46" spans="2:3" x14ac:dyDescent="0.3">
      <c r="B46" s="418" t="s">
        <v>4629</v>
      </c>
      <c r="C46" s="419"/>
    </row>
    <row r="47" spans="2:3" x14ac:dyDescent="0.3">
      <c r="B47" s="426" t="s">
        <v>4665</v>
      </c>
      <c r="C47" s="421" t="str">
        <f>IF(COUNTIF('General Information'!H154:H160, "MISSING VALUE") &gt; 0, "MISSING VALUE", IF(COUNTIF('General Information'!H154:H160, "OK") &gt; 0, "OK", "-"))</f>
        <v>-</v>
      </c>
    </row>
    <row r="48" spans="2:3" x14ac:dyDescent="0.3">
      <c r="B48" s="426" t="s">
        <v>4666</v>
      </c>
      <c r="C48" s="421" t="str">
        <f>IF(COUNTIF('General Information'!H148:H150, "MISSING VALUE") &gt; 0, "MISSING VALUE", IF(COUNTIF('General Information'!H148:H150, "OK") &gt; 0, "OK", "-"))</f>
        <v>-</v>
      </c>
    </row>
    <row r="49" spans="2:3" x14ac:dyDescent="0.3">
      <c r="B49" s="427" t="s">
        <v>4630</v>
      </c>
      <c r="C49" s="419"/>
    </row>
    <row r="50" spans="2:3" x14ac:dyDescent="0.3">
      <c r="B50" s="428" t="s">
        <v>4675</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v>
      </c>
    </row>
    <row r="51" spans="2:3" x14ac:dyDescent="0.3">
      <c r="B51" s="420" t="s">
        <v>4676</v>
      </c>
      <c r="C51" s="421" t="str">
        <f>IF(AND('General Information'!E32="Option A (Basic Module only)",
        COUNTA('Environmental Disclosures'!G21:G24)=0),
   "-",
IF(COUNTIF('Environmental Disclosures'!L52, "MISSING VALUE") &gt; 0,
   "MISSING VALUE",
IF(COUNTIF('Environmental Disclosures'!L52, "OK") &gt; 0,
   "OK",
"-")))</f>
        <v>-</v>
      </c>
    </row>
    <row r="52" spans="2:3" x14ac:dyDescent="0.3">
      <c r="B52" s="420" t="s">
        <v>4677</v>
      </c>
      <c r="C52" s="421" t="str">
        <f>IF(COUNTIF('Environmental Disclosures'!L52, "MISSING VALUE") &gt; 0, "MISSING VALUE", IF(COUNTIF('Environmental Disclosures'!L52, "OK") &gt; 0, "OK", "-"))</f>
        <v>-</v>
      </c>
    </row>
    <row r="53" spans="2:3" x14ac:dyDescent="0.3">
      <c r="B53" s="420" t="s">
        <v>4678</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v>
      </c>
    </row>
    <row r="54" spans="2:3" x14ac:dyDescent="0.3">
      <c r="B54" s="420" t="s">
        <v>4679</v>
      </c>
      <c r="C54" s="421" t="str">
        <f>IF(COUNTIF('Environmental Disclosures'!L236:L240, "MISSING VALUE") &gt; 0, "MISSING VALUE", IF(COUNTIF('Environmental Disclosures'!L236:L240, "OK") &gt; 0, "OK", "-"))</f>
        <v>-</v>
      </c>
    </row>
    <row r="55" spans="2:3" x14ac:dyDescent="0.3">
      <c r="B55" s="427" t="s">
        <v>4631</v>
      </c>
      <c r="C55" s="419"/>
    </row>
    <row r="56" spans="2:3" x14ac:dyDescent="0.3">
      <c r="B56" s="420" t="s">
        <v>4688</v>
      </c>
      <c r="C56" s="421" t="str">
        <f>IF(COUNTIF('Social Disclosures'!I74:I78,"OK")&gt;0,"OK","-")</f>
        <v>-</v>
      </c>
    </row>
    <row r="57" spans="2:3" x14ac:dyDescent="0.3">
      <c r="B57" s="420" t="s">
        <v>4689</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v>
      </c>
    </row>
    <row r="58" spans="2:3" x14ac:dyDescent="0.3">
      <c r="B58" s="422" t="s">
        <v>4690</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v>
      </c>
    </row>
    <row r="59" spans="2:3" x14ac:dyDescent="0.3">
      <c r="B59" s="431" t="s">
        <v>4632</v>
      </c>
      <c r="C59" s="424"/>
    </row>
    <row r="60" spans="2:3" x14ac:dyDescent="0.3">
      <c r="B60" s="425" t="s">
        <v>4693</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v>
      </c>
    </row>
    <row r="61" spans="2:3" x14ac:dyDescent="0.3">
      <c r="B61" s="426" t="s">
        <v>4694</v>
      </c>
      <c r="C61" s="421" t="str">
        <f>IF(COUNTIF('Governance Disclosures'!I12:I18, "VALUE INCONSISTENCY") &gt; 0, "VALUE INCONSISTENCY", IF(COUNTIF('Governance Disclosures'!I12:I18, "OK") &gt; 0, "OK", "-"))</f>
        <v>-</v>
      </c>
    </row>
    <row r="62" spans="2:3" x14ac:dyDescent="0.3">
      <c r="B62" s="426" t="s">
        <v>4695</v>
      </c>
      <c r="C62" s="421" t="str">
        <f>IF(COUNTIF('Governance Disclosures'!I22:I26, "MISSING VALUE") &gt; 0, "MISSING VALUE", IF(COUNTIF('Governance Disclosures'!I22:I26, "OK") &gt; 0, "OK", "-"))</f>
        <v>-</v>
      </c>
    </row>
    <row r="63" spans="2:3" x14ac:dyDescent="0.3">
      <c r="B63" s="432" t="s">
        <v>4696</v>
      </c>
      <c r="C63" s="430" t="str">
        <f>IF(COUNTIF('Governance Disclosures'!I31:I32, "MISSING VALUE") &gt; 0, "MISSING VALUE", IF(COUNTIF('Governance Disclosures'!I31:I32, "OK") &gt; 0, "OK", "-"))</f>
        <v>-</v>
      </c>
    </row>
    <row r="64" spans="2:3" x14ac:dyDescent="0.3">
      <c r="B64" s="433" t="s">
        <v>4715</v>
      </c>
      <c r="C64" s="424"/>
    </row>
    <row r="65" spans="2:3" x14ac:dyDescent="0.3">
      <c r="B65" s="426" t="s">
        <v>4667</v>
      </c>
      <c r="C65" s="430" t="str">
        <f>IF('General Information'!I164="OK", "OK", "")</f>
        <v/>
      </c>
    </row>
    <row r="66" spans="2:3" x14ac:dyDescent="0.3">
      <c r="B66" s="422" t="s">
        <v>4680</v>
      </c>
      <c r="C66" s="430" t="str">
        <f>IF('Environmental Disclosures'!M244="OK", "OK", "")</f>
        <v/>
      </c>
    </row>
    <row r="67" spans="2:3" x14ac:dyDescent="0.3">
      <c r="B67" s="422" t="s">
        <v>4691</v>
      </c>
      <c r="C67" s="430" t="str">
        <f>IF('Social Disclosures'!I109="OK", "OK", "")</f>
        <v/>
      </c>
    </row>
    <row r="68" spans="2:3" ht="15" thickBot="1" x14ac:dyDescent="0.35">
      <c r="B68" s="434" t="s">
        <v>4697</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4734</v>
      </c>
      <c r="B1" s="309" t="s">
        <v>4735</v>
      </c>
    </row>
    <row r="2" spans="1:11" ht="14.4" customHeight="1" x14ac:dyDescent="0.3">
      <c r="A2" s="109"/>
      <c r="B2" s="109"/>
      <c r="C2" s="525" t="s">
        <v>4006</v>
      </c>
      <c r="D2" s="526"/>
      <c r="E2" s="527"/>
    </row>
    <row r="3" spans="1:11" ht="14.4" customHeight="1" x14ac:dyDescent="0.3">
      <c r="A3" s="109"/>
      <c r="B3" s="109"/>
      <c r="C3" s="146" t="s">
        <v>0</v>
      </c>
      <c r="D3" s="544"/>
      <c r="E3" s="545"/>
      <c r="F3" s="11" t="str">
        <f>IF(D3="","MISSING VALUE","OK")</f>
        <v>MISSING VALUE</v>
      </c>
    </row>
    <row r="4" spans="1:11" ht="14.4" customHeight="1" x14ac:dyDescent="0.3">
      <c r="A4" s="109"/>
      <c r="B4" s="109"/>
      <c r="C4" s="146" t="s">
        <v>4656</v>
      </c>
      <c r="D4" s="446"/>
      <c r="E4" s="71"/>
      <c r="F4" s="11" t="str">
        <f>IF(OR(D4="", E4=""),"MISSING VALUE","OK")</f>
        <v>MISSING VALUE</v>
      </c>
    </row>
    <row r="5" spans="1:11" ht="14.4" customHeight="1" thickBot="1" x14ac:dyDescent="0.35">
      <c r="C5" s="280" t="s">
        <v>3636</v>
      </c>
      <c r="D5" s="546"/>
      <c r="E5" s="547"/>
      <c r="F5" s="11" t="str">
        <f>IF(D5="","MISSING VALUE","OK")</f>
        <v>MISSING VALUE</v>
      </c>
      <c r="H5" s="53"/>
    </row>
    <row r="6" spans="1:11" ht="14.4" customHeight="1" x14ac:dyDescent="0.3">
      <c r="C6" s="279" t="s">
        <v>3783</v>
      </c>
      <c r="D6" s="548"/>
      <c r="E6" s="549"/>
      <c r="F6" s="498" t="str">
        <f>IF(OR(D6="", D7="", D8=""),
    "MISSING VALUE",
    IF(OR(
        AND(D7=2, D8&gt;29),
        AND(D7=2, D8=29, NOT(AND(MOD(D6,4)=0, OR(MOD(D6,100)&lt;&gt;0, MOD(D6,400)=0)))),
        AND(OR(D7=4, D7=6, D7=9, D7=11), D8=31)
    ),
        "ERROR",
        IF(F10="VALUE INCONSISTENCY", "VALUE INCONSISTENCY", "OK")
    )
)</f>
        <v>MISSING VALUE</v>
      </c>
    </row>
    <row r="7" spans="1:11" ht="14.4" customHeight="1" x14ac:dyDescent="0.3">
      <c r="C7" s="162" t="s">
        <v>3784</v>
      </c>
      <c r="D7" s="550"/>
      <c r="E7" s="551"/>
      <c r="F7" s="498"/>
    </row>
    <row r="8" spans="1:11" ht="14.4" customHeight="1" x14ac:dyDescent="0.3">
      <c r="C8" s="162" t="s">
        <v>3785</v>
      </c>
      <c r="D8" s="552"/>
      <c r="E8" s="553"/>
      <c r="F8" s="498"/>
    </row>
    <row r="9" spans="1:11" ht="14.4" customHeight="1" thickBot="1" x14ac:dyDescent="0.35">
      <c r="C9" s="143" t="s">
        <v>3786</v>
      </c>
      <c r="D9" s="559" t="str">
        <f>IF(OR(ISBLANK(D6), ISBLANK(D7), ISBLANK(D8)), "-", D6 &amp; "-" &amp; TEXT(D7, "00") &amp; "-" &amp; TEXT(D8, "00"))</f>
        <v>-</v>
      </c>
      <c r="E9" s="560"/>
      <c r="F9"/>
      <c r="H9" s="53"/>
    </row>
    <row r="10" spans="1:11" ht="14.4" customHeight="1" x14ac:dyDescent="0.3">
      <c r="C10" s="279" t="s">
        <v>3787</v>
      </c>
      <c r="D10" s="548"/>
      <c r="E10" s="549"/>
      <c r="F10" s="498"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MISSING VALUE</v>
      </c>
      <c r="K10" s="53"/>
    </row>
    <row r="11" spans="1:11" ht="14.4" customHeight="1" x14ac:dyDescent="0.3">
      <c r="C11" s="162" t="s">
        <v>3788</v>
      </c>
      <c r="D11" s="561"/>
      <c r="E11" s="562"/>
      <c r="F11" s="498"/>
    </row>
    <row r="12" spans="1:11" ht="14.4" customHeight="1" x14ac:dyDescent="0.3">
      <c r="C12" s="162" t="s">
        <v>3789</v>
      </c>
      <c r="D12" s="563"/>
      <c r="E12" s="564"/>
      <c r="F12" s="498"/>
    </row>
    <row r="13" spans="1:11" ht="14.4" customHeight="1" thickBot="1" x14ac:dyDescent="0.35">
      <c r="A13" s="109"/>
      <c r="B13" s="109"/>
      <c r="C13" s="143" t="s">
        <v>3790</v>
      </c>
      <c r="D13" s="559" t="str">
        <f>IF(OR(ISBLANK(D10), ISBLANK(D11), ISBLANK(D12)), "-", D10 &amp; "-" &amp; TEXT(D11, "00") &amp; "-" &amp; TEXT(D12, "00"))</f>
        <v>-</v>
      </c>
      <c r="E13" s="560"/>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30" t="s">
        <v>3641</v>
      </c>
      <c r="D16" s="531"/>
      <c r="E16" s="532"/>
    </row>
    <row r="17" spans="1:6" x14ac:dyDescent="0.3">
      <c r="A17" s="112"/>
      <c r="B17" s="109"/>
      <c r="C17" s="535">
        <v>16</v>
      </c>
      <c r="D17" s="536"/>
      <c r="E17" s="537"/>
      <c r="F17" s="281"/>
    </row>
    <row r="18" spans="1:6" ht="14.4" customHeight="1" x14ac:dyDescent="0.3">
      <c r="C18" s="494" t="s">
        <v>2</v>
      </c>
      <c r="D18" s="495"/>
      <c r="E18" s="72" t="b">
        <v>0</v>
      </c>
      <c r="F18" s="11" t="str">
        <f>IF(E18=FALSE,"","OK")</f>
        <v/>
      </c>
    </row>
    <row r="19" spans="1:6" ht="14.4" customHeight="1" x14ac:dyDescent="0.3">
      <c r="C19" s="538" t="s">
        <v>3</v>
      </c>
      <c r="D19" s="539"/>
      <c r="E19" s="73"/>
      <c r="F19" s="11" t="str">
        <f>IF(AND(E18=FALSE, E19=""), "",
IF(AND(E18=FALSE, E19&lt;&gt;""), "",
IF(AND(E18=TRUE, E19=""), "MISSING VALUE",
IF(AND(E18=TRUE, E19&lt;&gt;"", COUNTIF(E19:E28, E19) = COUNTA(E19:E28), COUNTA(E19:E28)&gt;1), "VALUE INCONSISTENCY",
"OK"))))</f>
        <v/>
      </c>
    </row>
    <row r="20" spans="1:6" ht="14.4" hidden="1" customHeight="1" outlineLevel="2" x14ac:dyDescent="0.3">
      <c r="C20" s="540"/>
      <c r="D20" s="541"/>
      <c r="E20" s="74"/>
      <c r="F20" s="11" t="str">
        <f>IF($E$18=FALSE, "",
IF(E20="", "",
IF(COUNTIF($E$19:$E$28, E20) &gt; 1, "VALUE INCONSISTENCY", "OK")))</f>
        <v/>
      </c>
    </row>
    <row r="21" spans="1:6" ht="14.4" hidden="1" customHeight="1" outlineLevel="2" x14ac:dyDescent="0.3">
      <c r="C21" s="540"/>
      <c r="D21" s="541"/>
      <c r="E21" s="74"/>
      <c r="F21" s="11" t="str">
        <f t="shared" ref="F21:F28" si="0">IF($E$18=FALSE, "",
IF(E21="", "",
IF(COUNTIF($E$19:$E$28, E21) &gt; 1, "VALUE INCONSISTENCY", "OK")))</f>
        <v/>
      </c>
    </row>
    <row r="22" spans="1:6" ht="14.4" hidden="1" customHeight="1" outlineLevel="2" x14ac:dyDescent="0.3">
      <c r="C22" s="540"/>
      <c r="D22" s="541"/>
      <c r="E22" s="74"/>
      <c r="F22" s="11" t="str">
        <f t="shared" si="0"/>
        <v/>
      </c>
    </row>
    <row r="23" spans="1:6" ht="14.4" hidden="1" customHeight="1" outlineLevel="2" x14ac:dyDescent="0.3">
      <c r="C23" s="540"/>
      <c r="D23" s="541"/>
      <c r="E23" s="74"/>
      <c r="F23" s="11" t="str">
        <f t="shared" si="0"/>
        <v/>
      </c>
    </row>
    <row r="24" spans="1:6" ht="14.4" hidden="1" customHeight="1" outlineLevel="2" x14ac:dyDescent="0.3">
      <c r="C24" s="540"/>
      <c r="D24" s="541"/>
      <c r="E24" s="74"/>
      <c r="F24" s="11" t="str">
        <f t="shared" si="0"/>
        <v/>
      </c>
    </row>
    <row r="25" spans="1:6" ht="14.4" hidden="1" customHeight="1" outlineLevel="2" x14ac:dyDescent="0.3">
      <c r="C25" s="540"/>
      <c r="D25" s="541"/>
      <c r="E25" s="74"/>
      <c r="F25" s="11" t="str">
        <f t="shared" si="0"/>
        <v/>
      </c>
    </row>
    <row r="26" spans="1:6" ht="14.4" hidden="1" customHeight="1" outlineLevel="2" x14ac:dyDescent="0.3">
      <c r="C26" s="540"/>
      <c r="D26" s="541"/>
      <c r="E26" s="74"/>
      <c r="F26" s="11" t="str">
        <f t="shared" si="0"/>
        <v/>
      </c>
    </row>
    <row r="27" spans="1:6" ht="14.4" hidden="1" customHeight="1" outlineLevel="2" x14ac:dyDescent="0.3">
      <c r="C27" s="540"/>
      <c r="D27" s="541"/>
      <c r="E27" s="74"/>
      <c r="F27" s="11" t="str">
        <f t="shared" si="0"/>
        <v/>
      </c>
    </row>
    <row r="28" spans="1:6" ht="14.4" hidden="1" customHeight="1" outlineLevel="2" x14ac:dyDescent="0.3">
      <c r="C28" s="542"/>
      <c r="D28" s="543"/>
      <c r="E28" s="74"/>
      <c r="F28" s="11" t="str">
        <f t="shared" si="0"/>
        <v/>
      </c>
    </row>
    <row r="29" spans="1:6" ht="14.4" customHeight="1" collapsed="1" thickBot="1" x14ac:dyDescent="0.35">
      <c r="A29" s="113"/>
      <c r="B29" s="113"/>
      <c r="C29" s="573" t="s">
        <v>3369</v>
      </c>
      <c r="D29" s="574"/>
      <c r="E29" s="256"/>
      <c r="F29" s="11" t="str">
        <f>IF(AND(E18=FALSE,E29=""),"",IF(AND(E18=TRUE,E29=""),"MISSING VALUE",
IF(AND(E18=FALSE,E29&lt;&gt;""),"",
IF(AND(E18=TRUE,E29&lt;&gt;"",OR(LEFT(E29,7)="http://",LEFT(E29,8)="https://",LEFT(E29,4)="www.")),"OK",
IF(E18=TRUE,"INVALID URL","MISSING VALUE")))))</f>
        <v/>
      </c>
    </row>
    <row r="30" spans="1:6" ht="15" thickBot="1" x14ac:dyDescent="0.35">
      <c r="A30" s="114"/>
      <c r="B30" s="114"/>
    </row>
    <row r="31" spans="1:6" ht="17.7" customHeight="1" x14ac:dyDescent="0.3">
      <c r="C31" s="499" t="str">
        <f>"B1 - Basis for Preparation and other undertaking's general information " &amp; template_reporting_period_display &amp; " [Always to be reported]"</f>
        <v>B1 - Basis for Preparation and other undertaking's general information from - to - [Always to be reported]</v>
      </c>
      <c r="D31" s="500"/>
      <c r="E31" s="501"/>
      <c r="F31"/>
    </row>
    <row r="32" spans="1:6" x14ac:dyDescent="0.3">
      <c r="A32" s="294" t="s">
        <v>4737</v>
      </c>
      <c r="B32" s="284" t="s">
        <v>1</v>
      </c>
      <c r="C32" s="533" t="s">
        <v>3774</v>
      </c>
      <c r="D32" s="534"/>
      <c r="E32" s="75"/>
      <c r="F32" s="11" t="str">
        <f>IF(E32="","MISSING VALUE","OK")</f>
        <v>MISSING VALUE</v>
      </c>
    </row>
    <row r="33" spans="1:6" x14ac:dyDescent="0.3">
      <c r="A33" s="294" t="s">
        <v>4738</v>
      </c>
      <c r="B33" s="284" t="s">
        <v>1</v>
      </c>
      <c r="C33" s="502" t="s">
        <v>4</v>
      </c>
      <c r="D33" s="503"/>
      <c r="E33" s="75"/>
      <c r="F33" s="11" t="str">
        <f>IF(E32="", "",
IF(AND(OR(E32="Option A (Basic Module only)", E32="Option B (Basic Module and Comprehensive Module)"), E33=""), "MISSING VALUE",
IF(COUNTIF(E33:E42, E33) &gt; 1, "VALUE INCONSISTENCY", "OK")))</f>
        <v/>
      </c>
    </row>
    <row r="34" spans="1:6" ht="14.4" hidden="1" customHeight="1" outlineLevel="2" x14ac:dyDescent="0.3">
      <c r="C34" s="502"/>
      <c r="D34" s="503"/>
      <c r="E34" s="76"/>
      <c r="F34" s="11" t="str">
        <f>IF(AND($E$33="None",E34&lt;&gt;""), "VALUE INCONSISTENCY",
IF(E34="", "",
IF(COUNTIF($E$33:$E$41, E34) &gt; 1,
   "VALUE INCONSISTENCY",
   "OK")))</f>
        <v/>
      </c>
    </row>
    <row r="35" spans="1:6" ht="14.4" hidden="1" customHeight="1" outlineLevel="2" x14ac:dyDescent="0.3">
      <c r="C35" s="502"/>
      <c r="D35" s="503"/>
      <c r="E35" s="76"/>
      <c r="F35" s="11" t="str">
        <f t="shared" ref="F35:F41" si="1">IF(AND($E$33="None",E35&lt;&gt;""), "VALUE INCONSISTENCY",
IF(E35="", "",
IF(COUNTIF($E$33:$E$41, E35) &gt; 1,
   "VALUE INCONSISTENCY",
   "OK")))</f>
        <v/>
      </c>
    </row>
    <row r="36" spans="1:6" ht="14.4" hidden="1" customHeight="1" outlineLevel="2" x14ac:dyDescent="0.3">
      <c r="C36" s="502"/>
      <c r="D36" s="503"/>
      <c r="E36" s="76"/>
      <c r="F36" s="11" t="str">
        <f t="shared" si="1"/>
        <v/>
      </c>
    </row>
    <row r="37" spans="1:6" ht="14.4" hidden="1" customHeight="1" outlineLevel="2" x14ac:dyDescent="0.3">
      <c r="C37" s="502"/>
      <c r="D37" s="503"/>
      <c r="E37" s="76"/>
      <c r="F37" s="11" t="str">
        <f t="shared" si="1"/>
        <v/>
      </c>
    </row>
    <row r="38" spans="1:6" ht="14.4" hidden="1" customHeight="1" outlineLevel="2" x14ac:dyDescent="0.3">
      <c r="C38" s="502"/>
      <c r="D38" s="503"/>
      <c r="E38" s="76"/>
      <c r="F38" s="11" t="str">
        <f t="shared" si="1"/>
        <v/>
      </c>
    </row>
    <row r="39" spans="1:6" ht="14.4" hidden="1" customHeight="1" outlineLevel="2" x14ac:dyDescent="0.3">
      <c r="C39" s="502"/>
      <c r="D39" s="503"/>
      <c r="E39" s="76"/>
      <c r="F39" s="11" t="str">
        <f t="shared" si="1"/>
        <v/>
      </c>
    </row>
    <row r="40" spans="1:6" ht="14.4" hidden="1" customHeight="1" outlineLevel="2" x14ac:dyDescent="0.3">
      <c r="C40" s="502"/>
      <c r="D40" s="503"/>
      <c r="E40" s="76"/>
      <c r="F40" s="11" t="str">
        <f t="shared" si="1"/>
        <v/>
      </c>
    </row>
    <row r="41" spans="1:6" ht="14.4" hidden="1" customHeight="1" outlineLevel="2" x14ac:dyDescent="0.3">
      <c r="C41" s="502"/>
      <c r="D41" s="503"/>
      <c r="E41" s="76"/>
      <c r="F41" s="11" t="str">
        <f t="shared" si="1"/>
        <v/>
      </c>
    </row>
    <row r="42" spans="1:6" collapsed="1" x14ac:dyDescent="0.3">
      <c r="A42" s="294" t="s">
        <v>4739</v>
      </c>
      <c r="B42" s="284" t="s">
        <v>1</v>
      </c>
      <c r="C42" s="533" t="s">
        <v>4003</v>
      </c>
      <c r="D42" s="534"/>
      <c r="E42" s="75"/>
      <c r="F42" s="11" t="str">
        <f>IF(AND(OR(E32="Option A (Basic Module only)", E32="Option B (Basic Module and Comprehensive Module)"),E42=""),"MISSING VALUE",IF(E32="","","OK"))</f>
        <v/>
      </c>
    </row>
    <row r="43" spans="1:6" x14ac:dyDescent="0.3">
      <c r="A43" s="554" t="s">
        <v>4819</v>
      </c>
      <c r="B43" s="556">
        <v>68</v>
      </c>
      <c r="C43" s="533" t="s">
        <v>5</v>
      </c>
      <c r="D43" s="534"/>
      <c r="E43" s="75"/>
      <c r="F43" s="11" t="str">
        <f>IF(AND(OR(E32="Option A (Basic Module only)", E32="Option B (Basic Module and Comprehensive Module)"),E43=""),"MISSING VALUE",IF(E32="","","OK"))</f>
        <v/>
      </c>
    </row>
    <row r="44" spans="1:6" x14ac:dyDescent="0.3">
      <c r="A44" s="555"/>
      <c r="B44" s="556"/>
      <c r="C44" s="557" t="s">
        <v>3777</v>
      </c>
      <c r="D44" s="558"/>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65" t="s">
        <v>4740</v>
      </c>
      <c r="B45" s="567" t="s">
        <v>4741</v>
      </c>
      <c r="C45" s="533" t="s">
        <v>2779</v>
      </c>
      <c r="D45" s="534"/>
      <c r="E45" s="75"/>
      <c r="F45" s="11" t="str">
        <f>IF(OR(E32="Option A (Basic Module only)", E32="Option B (Basic Module and Comprehensive Module)"),
    IF(COUNTIF(enum_ListNACECategories, E45)&gt;0, "ERROR",
        IF(E45="", "MISSING VALUE",
            IF(COUNTIF(E45:E59, E45)&gt;1, "VALUE INCONSISTENCY", "OK")
        )
    ),
    ""
)</f>
        <v/>
      </c>
    </row>
    <row r="46" spans="1:6" ht="14.4" hidden="1" customHeight="1" outlineLevel="1" x14ac:dyDescent="0.3">
      <c r="A46" s="566"/>
      <c r="B46" s="568"/>
      <c r="C46" s="533"/>
      <c r="D46" s="534"/>
      <c r="E46" s="78"/>
      <c r="F46" s="11" t="str">
        <f t="shared" ref="F46:F59" si="2">IF(COUNTIF(enum_ListNACECategories, E46)&gt;0, "ERROR",
IF(E46="", "",
IF(COUNTIF(E45:E59, E46)&gt;1, "VALUE INCONSISTENCY", "OK")))</f>
        <v/>
      </c>
    </row>
    <row r="47" spans="1:6" ht="14.4" hidden="1" customHeight="1" outlineLevel="1" x14ac:dyDescent="0.3">
      <c r="A47" s="566"/>
      <c r="B47" s="568"/>
      <c r="C47" s="533"/>
      <c r="D47" s="534"/>
      <c r="E47" s="78"/>
      <c r="F47" s="11" t="str">
        <f t="shared" si="2"/>
        <v/>
      </c>
    </row>
    <row r="48" spans="1:6" ht="14.4" hidden="1" customHeight="1" outlineLevel="1" x14ac:dyDescent="0.3">
      <c r="A48" s="566"/>
      <c r="B48" s="568"/>
      <c r="C48" s="533"/>
      <c r="D48" s="534"/>
      <c r="E48" s="78"/>
      <c r="F48" s="11" t="str">
        <f t="shared" si="2"/>
        <v/>
      </c>
    </row>
    <row r="49" spans="1:6" ht="14.4" hidden="1" customHeight="1" outlineLevel="1" x14ac:dyDescent="0.3">
      <c r="A49" s="566"/>
      <c r="B49" s="568"/>
      <c r="C49" s="533"/>
      <c r="D49" s="534"/>
      <c r="E49" s="78"/>
      <c r="F49" s="11" t="str">
        <f t="shared" si="2"/>
        <v/>
      </c>
    </row>
    <row r="50" spans="1:6" ht="14.4" hidden="1" customHeight="1" outlineLevel="1" x14ac:dyDescent="0.3">
      <c r="A50" s="566"/>
      <c r="B50" s="568"/>
      <c r="C50" s="533"/>
      <c r="D50" s="534"/>
      <c r="E50" s="78"/>
      <c r="F50" s="11" t="str">
        <f t="shared" si="2"/>
        <v/>
      </c>
    </row>
    <row r="51" spans="1:6" ht="14.4" hidden="1" customHeight="1" outlineLevel="1" x14ac:dyDescent="0.3">
      <c r="A51" s="566"/>
      <c r="B51" s="568"/>
      <c r="C51" s="533"/>
      <c r="D51" s="534"/>
      <c r="E51" s="78"/>
      <c r="F51" s="11" t="str">
        <f t="shared" si="2"/>
        <v/>
      </c>
    </row>
    <row r="52" spans="1:6" ht="14.4" hidden="1" customHeight="1" outlineLevel="1" x14ac:dyDescent="0.3">
      <c r="A52" s="566"/>
      <c r="B52" s="568"/>
      <c r="C52" s="533"/>
      <c r="D52" s="534"/>
      <c r="E52" s="78"/>
      <c r="F52" s="11" t="str">
        <f t="shared" si="2"/>
        <v/>
      </c>
    </row>
    <row r="53" spans="1:6" ht="14.4" hidden="1" customHeight="1" outlineLevel="1" x14ac:dyDescent="0.3">
      <c r="A53" s="566"/>
      <c r="B53" s="568"/>
      <c r="C53" s="533"/>
      <c r="D53" s="534"/>
      <c r="E53" s="78"/>
      <c r="F53" s="11" t="str">
        <f t="shared" si="2"/>
        <v/>
      </c>
    </row>
    <row r="54" spans="1:6" ht="14.4" hidden="1" customHeight="1" outlineLevel="1" x14ac:dyDescent="0.3">
      <c r="A54" s="566"/>
      <c r="B54" s="568"/>
      <c r="C54" s="533"/>
      <c r="D54" s="534"/>
      <c r="E54" s="78"/>
      <c r="F54" s="11" t="str">
        <f t="shared" si="2"/>
        <v/>
      </c>
    </row>
    <row r="55" spans="1:6" ht="14.4" hidden="1" customHeight="1" outlineLevel="1" x14ac:dyDescent="0.3">
      <c r="A55" s="566"/>
      <c r="B55" s="568"/>
      <c r="C55" s="533"/>
      <c r="D55" s="534"/>
      <c r="E55" s="78"/>
      <c r="F55" s="11" t="str">
        <f t="shared" si="2"/>
        <v/>
      </c>
    </row>
    <row r="56" spans="1:6" ht="14.4" hidden="1" customHeight="1" outlineLevel="1" x14ac:dyDescent="0.3">
      <c r="A56" s="566"/>
      <c r="B56" s="568"/>
      <c r="C56" s="533"/>
      <c r="D56" s="534"/>
      <c r="E56" s="78"/>
      <c r="F56" s="11" t="str">
        <f t="shared" si="2"/>
        <v/>
      </c>
    </row>
    <row r="57" spans="1:6" ht="14.4" hidden="1" customHeight="1" outlineLevel="1" x14ac:dyDescent="0.3">
      <c r="A57" s="566"/>
      <c r="B57" s="568"/>
      <c r="C57" s="533"/>
      <c r="D57" s="534"/>
      <c r="E57" s="78"/>
      <c r="F57" s="11" t="str">
        <f t="shared" si="2"/>
        <v/>
      </c>
    </row>
    <row r="58" spans="1:6" ht="14.4" hidden="1" customHeight="1" outlineLevel="1" x14ac:dyDescent="0.3">
      <c r="A58" s="566"/>
      <c r="B58" s="568"/>
      <c r="C58" s="533"/>
      <c r="D58" s="534"/>
      <c r="E58" s="78"/>
      <c r="F58" s="11" t="str">
        <f t="shared" si="2"/>
        <v/>
      </c>
    </row>
    <row r="59" spans="1:6" ht="14.4" hidden="1" customHeight="1" outlineLevel="1" x14ac:dyDescent="0.3">
      <c r="A59" s="566"/>
      <c r="B59" s="568"/>
      <c r="C59" s="533"/>
      <c r="D59" s="534"/>
      <c r="E59" s="78"/>
      <c r="F59" s="11" t="str">
        <f t="shared" si="2"/>
        <v/>
      </c>
    </row>
    <row r="60" spans="1:6" ht="14.4" customHeight="1" collapsed="1" x14ac:dyDescent="0.3">
      <c r="A60" s="294" t="s">
        <v>4742</v>
      </c>
      <c r="B60" s="284" t="s">
        <v>1</v>
      </c>
      <c r="C60" s="533" t="str">
        <f>"Size of balance sheet in " &amp; template_currency</f>
        <v xml:space="preserve">Size of balance sheet in </v>
      </c>
      <c r="D60" s="534"/>
      <c r="E60" s="79"/>
      <c r="F60" s="11" t="str">
        <f>IF(AND(OR(E32="Option A (Basic Module only)", E32="Option B (Basic Module and Comprehensive Module)"),E60=""),"MISSING VALUE",IF(E32="","","OK"))</f>
        <v/>
      </c>
    </row>
    <row r="61" spans="1:6" ht="14.4" customHeight="1" x14ac:dyDescent="0.3">
      <c r="A61" s="294" t="s">
        <v>4743</v>
      </c>
      <c r="B61" s="284" t="s">
        <v>1</v>
      </c>
      <c r="C61" s="533" t="str">
        <f>"Turnover in " &amp;  template_currency</f>
        <v xml:space="preserve">Turnover in </v>
      </c>
      <c r="D61" s="534"/>
      <c r="E61" s="79"/>
      <c r="F61" s="11" t="str">
        <f>IF(AND(OR(E32="Option A (Basic Module only)", E32="Option B (Basic Module and Comprehensive Module)"),E61=""),"MISSING VALUE",IF(E32="","","OK"))</f>
        <v/>
      </c>
    </row>
    <row r="62" spans="1:6" ht="14.4" customHeight="1" x14ac:dyDescent="0.3">
      <c r="A62" s="294" t="s">
        <v>4730</v>
      </c>
      <c r="B62" s="296" t="s">
        <v>4729</v>
      </c>
      <c r="C62" s="533" t="s">
        <v>6</v>
      </c>
      <c r="D62" s="534"/>
      <c r="E62" s="80"/>
      <c r="F62" s="11" t="str">
        <f>IF(AND(OR(E32="Option A (Basic Module only)", E32="Option B (Basic Module and Comprehensive Module)"),E62=""),"MISSING VALUE",IF(E32="","","OK"))</f>
        <v/>
      </c>
    </row>
    <row r="63" spans="1:6" ht="14.4" customHeight="1" x14ac:dyDescent="0.3">
      <c r="A63" s="294" t="s">
        <v>4730</v>
      </c>
      <c r="B63" s="296" t="s">
        <v>4744</v>
      </c>
      <c r="C63" s="496" t="s">
        <v>4011</v>
      </c>
      <c r="D63" s="497"/>
      <c r="E63" s="80"/>
      <c r="F63" s="11" t="str">
        <f>IF(AND(OR(E32="Option A (Basic Module only)", E32="Option B (Basic Module and Comprehensive Module)"),E63=""),"MISSING VALUE",IF(E32="","","OK"))</f>
        <v/>
      </c>
    </row>
    <row r="64" spans="1:6" ht="14.4" customHeight="1" x14ac:dyDescent="0.3">
      <c r="A64" s="294" t="s">
        <v>4730</v>
      </c>
      <c r="B64" s="296" t="s">
        <v>4744</v>
      </c>
      <c r="C64" s="533" t="s">
        <v>4012</v>
      </c>
      <c r="D64" s="534"/>
      <c r="E64" s="76"/>
      <c r="F64" s="11" t="str">
        <f>IF(AND(OR(E32="Option A (Basic Module only)", E32="Option B (Basic Module and Comprehensive Module)"),E64=""),"MISSING VALUE",IF(E32="","","OK"))</f>
        <v/>
      </c>
    </row>
    <row r="65" spans="1:6" ht="14.4" customHeight="1" thickBot="1" x14ac:dyDescent="0.35">
      <c r="A65" s="294" t="s">
        <v>4746</v>
      </c>
      <c r="B65" s="296" t="s">
        <v>4745</v>
      </c>
      <c r="C65" s="569" t="s">
        <v>7</v>
      </c>
      <c r="D65" s="570"/>
      <c r="E65" s="81"/>
      <c r="F65" s="11" t="str">
        <f>IF(AND(OR(E32="Option A (Basic Module only)", E32="Option B (Basic Module and Comprehensive Module)"),E65=""),"MISSING VALUE",IF(E32="","","OK"))</f>
        <v/>
      </c>
    </row>
    <row r="66" spans="1:6" ht="15" thickBot="1" x14ac:dyDescent="0.35">
      <c r="A66" s="282"/>
      <c r="B66" s="109"/>
    </row>
    <row r="67" spans="1:6" ht="14.4" customHeight="1" x14ac:dyDescent="0.3">
      <c r="A67" s="109"/>
      <c r="B67" s="109"/>
      <c r="C67" s="499" t="str">
        <f xml:space="preserve"> "B1 - List of subsidiaries " &amp; template_reporting_period_display &amp; " [If applicable]"</f>
        <v>B1 - List of subsidiaries from - to - [If applicable]</v>
      </c>
      <c r="D67" s="500"/>
      <c r="E67" s="501"/>
    </row>
    <row r="68" spans="1:6" ht="14.4" customHeight="1" x14ac:dyDescent="0.3">
      <c r="A68" s="109"/>
      <c r="B68" s="109"/>
      <c r="C68" s="514" t="s">
        <v>4747</v>
      </c>
      <c r="D68" s="515"/>
      <c r="E68" s="516"/>
      <c r="F68" s="115"/>
    </row>
    <row r="69" spans="1:6" ht="14.4" customHeight="1" x14ac:dyDescent="0.3">
      <c r="A69" s="109"/>
      <c r="B69" s="109"/>
      <c r="C69" s="4" t="s">
        <v>8</v>
      </c>
      <c r="D69" s="1" t="s">
        <v>9</v>
      </c>
      <c r="E69" s="116" t="s">
        <v>3742</v>
      </c>
    </row>
    <row r="70" spans="1:6" ht="14.4" customHeight="1" thickBot="1" x14ac:dyDescent="0.35">
      <c r="A70" s="109"/>
      <c r="B70" s="109"/>
      <c r="C70" s="261">
        <v>1</v>
      </c>
      <c r="D70" s="82"/>
      <c r="E70" s="83"/>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519" t="str">
        <f xml:space="preserve"> "B1 - Disclosure of sustainability-related certification(s) or label(s) " &amp; template_reporting_period_display &amp; " [If applicable]"</f>
        <v>B1 - Disclosure of sustainability-related certification(s) or label(s) from - to - [If applicable]</v>
      </c>
      <c r="D96" s="520"/>
      <c r="E96" s="520"/>
      <c r="F96" s="520"/>
      <c r="G96" s="520"/>
      <c r="H96" s="521"/>
    </row>
    <row r="97" spans="3:13" ht="14.4" customHeight="1" x14ac:dyDescent="0.3">
      <c r="C97" s="514">
        <v>25</v>
      </c>
      <c r="D97" s="515"/>
      <c r="E97" s="515"/>
      <c r="F97" s="515"/>
      <c r="G97" s="515"/>
      <c r="H97" s="516"/>
    </row>
    <row r="98" spans="3:13" ht="14.4" customHeight="1" x14ac:dyDescent="0.3">
      <c r="C98" s="522">
        <v>77</v>
      </c>
      <c r="D98" s="523"/>
      <c r="E98" s="523"/>
      <c r="F98" s="523"/>
      <c r="G98" s="523"/>
      <c r="H98" s="524"/>
    </row>
    <row r="99" spans="3:13" ht="14.4" customHeight="1" x14ac:dyDescent="0.3">
      <c r="C99" s="506" t="s">
        <v>4002</v>
      </c>
      <c r="D99" s="507"/>
      <c r="E99" s="508" t="b">
        <v>0</v>
      </c>
      <c r="F99" s="509"/>
      <c r="G99" s="509"/>
      <c r="H99" s="510"/>
    </row>
    <row r="100" spans="3:13" ht="30" customHeight="1" thickBot="1" x14ac:dyDescent="0.35">
      <c r="C100" s="528" t="s">
        <v>10</v>
      </c>
      <c r="D100" s="529"/>
      <c r="E100" s="595"/>
      <c r="F100" s="596"/>
      <c r="G100" s="596"/>
      <c r="H100" s="597"/>
      <c r="I100" s="16" t="str">
        <f>IF(AND(E99=TRUE,E100=""), "MISSING VALUE",IF(AND(E99=TRUE,E100&lt;&gt;""), "OK",""))</f>
        <v/>
      </c>
    </row>
    <row r="101" spans="3:13" ht="15" thickBot="1" x14ac:dyDescent="0.35"/>
    <row r="102" spans="3:13" x14ac:dyDescent="0.3">
      <c r="C102" s="499" t="str">
        <f xml:space="preserve"> "B1 - List of site(s) " &amp; template_reporting_period_display &amp; " [Always to be reported]"</f>
        <v>B1 - List of site(s) from - to - [Always to be reported]</v>
      </c>
      <c r="D102" s="500"/>
      <c r="E102" s="500"/>
      <c r="F102" s="500"/>
      <c r="G102" s="500"/>
      <c r="H102" s="501"/>
    </row>
    <row r="103" spans="3:13" x14ac:dyDescent="0.3">
      <c r="C103" s="514" t="s">
        <v>4748</v>
      </c>
      <c r="D103" s="515"/>
      <c r="E103" s="515"/>
      <c r="F103" s="515"/>
      <c r="G103" s="515"/>
      <c r="H103" s="516"/>
    </row>
    <row r="104" spans="3:13" x14ac:dyDescent="0.3">
      <c r="C104" s="511" t="s">
        <v>4745</v>
      </c>
      <c r="D104" s="512"/>
      <c r="E104" s="512"/>
      <c r="F104" s="512"/>
      <c r="G104" s="512"/>
      <c r="H104" s="513"/>
    </row>
    <row r="105" spans="3:13" x14ac:dyDescent="0.3">
      <c r="C105" s="606" t="s">
        <v>8</v>
      </c>
      <c r="D105" s="609" t="s">
        <v>11</v>
      </c>
      <c r="E105" s="609" t="s">
        <v>12</v>
      </c>
      <c r="F105" s="602" t="s">
        <v>13</v>
      </c>
      <c r="G105" s="609" t="s">
        <v>14</v>
      </c>
      <c r="H105" s="243" t="s">
        <v>3640</v>
      </c>
      <c r="I105" s="117"/>
    </row>
    <row r="106" spans="3:13" ht="141.6" customHeight="1" x14ac:dyDescent="0.3">
      <c r="C106" s="607"/>
      <c r="D106" s="610"/>
      <c r="E106" s="610"/>
      <c r="F106" s="612"/>
      <c r="G106" s="610"/>
      <c r="H106" s="244" t="s">
        <v>4533</v>
      </c>
      <c r="I106" s="117"/>
      <c r="J106" s="2"/>
    </row>
    <row r="107" spans="3:13" x14ac:dyDescent="0.3">
      <c r="C107" s="608"/>
      <c r="D107" s="611"/>
      <c r="E107" s="611"/>
      <c r="F107" s="603"/>
      <c r="G107" s="611"/>
      <c r="H107" s="440" t="b">
        <v>1</v>
      </c>
      <c r="I107" s="117"/>
    </row>
    <row r="108" spans="3:13" x14ac:dyDescent="0.3">
      <c r="C108" s="259">
        <v>1</v>
      </c>
      <c r="D108" s="89"/>
      <c r="E108" s="90"/>
      <c r="F108" s="91"/>
      <c r="G108" s="89"/>
      <c r="H108" s="234" t="str">
        <f>IF(COUNTA(D108:G108)=COLUMNS(D108:G108), IFERROR('Technical Sheet'!G2, "-"), "-")</f>
        <v>-</v>
      </c>
      <c r="I108" s="17" t="str">
        <f>IF(OR(E32="Option A (Basic Module only)", E32="Option B (Basic Module and Comprehensive Module)"),
    IF(AND(D108&lt;&gt;"", E108&lt;&gt;"", F108&lt;&gt;"", G108&lt;&gt;"", H108&lt;&gt;""),
        "OK",
        "MISSING VALUE"
    ),
    ""
)</f>
        <v/>
      </c>
      <c r="J108" s="242" t="str">
        <f>IF(AND(D108&lt;&gt;"", E108&lt;&gt;"", F108&lt;&gt;"", G108&lt;&gt;""),
    IFERROR(HYPERLINK("https://www.openstreetmap.org/search?lat=" &amp; 'Technical Sheet'!E2 &amp; "&amp;lon=" &amp; 'Technical Sheet'!F2, "OpenStreetMap Link"),
    ""),
"")</f>
        <v/>
      </c>
      <c r="K108" s="118" t="str">
        <f t="shared" ref="K108:K132" si="4">LOWER(SUBSTITUTE(D108," ","+" )) &amp; "+" &amp; LOWER(SUBSTITUTE(E108," ","+" )) &amp; "+" &amp; LOWER(SUBSTITUTE(F108," ","+" )) &amp; "+" &amp; LOWER(SUBSTITUTE(G108," ","+" )) &amp; "+"</f>
        <v>++++</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598"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 to - [If applicable]</v>
      </c>
      <c r="D134" s="599"/>
      <c r="E134" s="599"/>
      <c r="F134" s="599"/>
      <c r="G134" s="599"/>
      <c r="H134" s="599"/>
      <c r="I134" s="599"/>
      <c r="J134" s="599"/>
      <c r="K134" s="599"/>
      <c r="L134" s="599"/>
      <c r="M134" s="599"/>
      <c r="N134" s="599"/>
      <c r="O134" s="600"/>
    </row>
    <row r="135" spans="3:17" s="10" customFormat="1" x14ac:dyDescent="0.3">
      <c r="C135" s="514" t="s">
        <v>4749</v>
      </c>
      <c r="D135" s="515"/>
      <c r="E135" s="515"/>
      <c r="F135" s="515"/>
      <c r="G135" s="515"/>
      <c r="H135" s="515"/>
      <c r="I135" s="515"/>
      <c r="J135" s="515"/>
      <c r="K135" s="515"/>
      <c r="L135" s="515"/>
      <c r="M135" s="515"/>
      <c r="N135" s="515"/>
      <c r="O135" s="516"/>
      <c r="P135"/>
      <c r="Q135"/>
    </row>
    <row r="136" spans="3:17" x14ac:dyDescent="0.3">
      <c r="C136" s="511" t="s">
        <v>4750</v>
      </c>
      <c r="D136" s="512"/>
      <c r="E136" s="512"/>
      <c r="F136" s="512"/>
      <c r="G136" s="512"/>
      <c r="H136" s="512"/>
      <c r="I136" s="512"/>
      <c r="J136" s="512"/>
      <c r="K136" s="512"/>
      <c r="L136" s="512"/>
      <c r="M136" s="512"/>
      <c r="N136" s="512"/>
      <c r="O136" s="513"/>
    </row>
    <row r="137" spans="3:17" x14ac:dyDescent="0.3">
      <c r="C137" s="504" t="s">
        <v>4523</v>
      </c>
      <c r="D137" s="601" t="s">
        <v>4527</v>
      </c>
      <c r="E137" s="601"/>
      <c r="F137" s="601"/>
      <c r="G137" s="601"/>
      <c r="H137" s="601"/>
      <c r="I137" s="601"/>
      <c r="J137" s="601"/>
      <c r="K137" s="601"/>
      <c r="L137" s="601"/>
      <c r="M137" s="601"/>
      <c r="N137" s="602" t="s">
        <v>4524</v>
      </c>
      <c r="O137" s="604" t="s">
        <v>4525</v>
      </c>
    </row>
    <row r="138" spans="3:17" ht="41.4" customHeight="1" x14ac:dyDescent="0.3">
      <c r="C138" s="505"/>
      <c r="D138" s="106" t="s">
        <v>3305</v>
      </c>
      <c r="E138" s="106" t="s">
        <v>3306</v>
      </c>
      <c r="F138" s="106" t="s">
        <v>3307</v>
      </c>
      <c r="G138" s="106" t="s">
        <v>3308</v>
      </c>
      <c r="H138" s="106" t="s">
        <v>3309</v>
      </c>
      <c r="I138" s="106" t="s">
        <v>3310</v>
      </c>
      <c r="J138" s="106" t="s">
        <v>2666</v>
      </c>
      <c r="K138" s="106" t="s">
        <v>3311</v>
      </c>
      <c r="L138" s="106" t="s">
        <v>3312</v>
      </c>
      <c r="M138" s="106" t="s">
        <v>3303</v>
      </c>
      <c r="N138" s="603"/>
      <c r="O138" s="605"/>
    </row>
    <row r="139" spans="3:17" ht="15" thickBot="1" x14ac:dyDescent="0.35">
      <c r="C139" s="233" t="b">
        <v>0</v>
      </c>
      <c r="D139" s="232" t="b">
        <v>0</v>
      </c>
      <c r="E139" s="230" t="b">
        <v>0</v>
      </c>
      <c r="F139" s="230" t="b">
        <v>0</v>
      </c>
      <c r="G139" s="230" t="b">
        <v>0</v>
      </c>
      <c r="H139" s="230" t="b">
        <v>0</v>
      </c>
      <c r="I139" s="230" t="b">
        <v>0</v>
      </c>
      <c r="J139" s="230" t="b">
        <v>0</v>
      </c>
      <c r="K139" s="230" t="b">
        <v>0</v>
      </c>
      <c r="L139" s="230" t="b">
        <v>0</v>
      </c>
      <c r="M139" s="230" t="b">
        <v>0</v>
      </c>
      <c r="N139" s="230" t="b">
        <v>0</v>
      </c>
      <c r="O139" s="231" t="b">
        <v>0</v>
      </c>
      <c r="P139" s="16" t="str">
        <f>IF(C139=TRUE, IF(COUNTIF(D139:M139, TRUE)&gt;0, "OK", "MISSING VALUE"), "")</f>
        <v/>
      </c>
    </row>
    <row r="140" spans="3:17" ht="57.45" customHeight="1" thickBot="1" x14ac:dyDescent="0.35">
      <c r="F140"/>
    </row>
    <row r="141" spans="3:17" x14ac:dyDescent="0.3">
      <c r="C141" s="517" t="str">
        <f xml:space="preserve"> "B2 - Cooperative specific disclosures " &amp; template_reporting_period_display &amp; " [If applicable]"</f>
        <v>B2 - Cooperative specific disclosures from - to - [If applicable]</v>
      </c>
      <c r="D141" s="518"/>
      <c r="F141"/>
    </row>
    <row r="142" spans="3:17" x14ac:dyDescent="0.3">
      <c r="C142" s="474">
        <v>79</v>
      </c>
      <c r="D142" s="475"/>
      <c r="F142"/>
    </row>
    <row r="143" spans="3:17" ht="28.8" x14ac:dyDescent="0.3">
      <c r="C143" s="312" t="s">
        <v>4643</v>
      </c>
      <c r="D143" s="348"/>
      <c r="E143" s="16" t="str">
        <f>IF(AND(D143&lt;&gt;"",UndertakingsLegalForm="cooperative"),"OK","")</f>
        <v/>
      </c>
      <c r="F143"/>
    </row>
    <row r="144" spans="3:17" ht="43.2" x14ac:dyDescent="0.3">
      <c r="C144" s="312" t="s">
        <v>4644</v>
      </c>
      <c r="D144" s="349"/>
      <c r="E144" s="16" t="str">
        <f>IF(AND(D144&lt;&gt;"",UndertakingsLegalForm="cooperative"),"OK","")</f>
        <v/>
      </c>
      <c r="F144"/>
    </row>
    <row r="145" spans="1:8" ht="57.45" customHeight="1" thickBot="1" x14ac:dyDescent="0.35">
      <c r="C145" s="135" t="s">
        <v>4645</v>
      </c>
      <c r="D145" s="350"/>
      <c r="E145" s="16" t="str">
        <f>IF(AND(D145&lt;&gt;"",UndertakingsLegalForm="cooperative"),"OK","")</f>
        <v/>
      </c>
      <c r="F145"/>
    </row>
    <row r="146" spans="1:8" ht="49.8" customHeight="1" thickBot="1" x14ac:dyDescent="0.35">
      <c r="F146"/>
    </row>
    <row r="147" spans="1:8" x14ac:dyDescent="0.3">
      <c r="C147" s="491"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 to - [If applicable linked with B2]</v>
      </c>
      <c r="D147" s="492"/>
      <c r="E147" s="492"/>
      <c r="F147" s="492"/>
      <c r="G147" s="493"/>
    </row>
    <row r="148" spans="1:8" ht="37.799999999999997" customHeight="1" x14ac:dyDescent="0.3">
      <c r="A148" s="297">
        <v>48</v>
      </c>
      <c r="B148" s="298">
        <v>213</v>
      </c>
      <c r="C148" s="494" t="s">
        <v>4529</v>
      </c>
      <c r="D148" s="495"/>
      <c r="E148" s="485"/>
      <c r="F148" s="486"/>
      <c r="G148" s="487"/>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
      </c>
    </row>
    <row r="149" spans="1:8" x14ac:dyDescent="0.3">
      <c r="A149" s="285" t="s">
        <v>1</v>
      </c>
      <c r="B149" s="298">
        <v>213</v>
      </c>
      <c r="C149" s="496" t="s">
        <v>4528</v>
      </c>
      <c r="D149" s="497"/>
      <c r="E149" s="485"/>
      <c r="F149" s="486"/>
      <c r="G149" s="487"/>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7">
        <v>49</v>
      </c>
      <c r="B150" s="298">
        <v>213</v>
      </c>
      <c r="C150" s="483" t="s">
        <v>4526</v>
      </c>
      <c r="D150" s="484"/>
      <c r="E150" s="488"/>
      <c r="F150" s="489"/>
      <c r="G150" s="490"/>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
      </c>
    </row>
    <row r="151" spans="1:8" ht="14.55" customHeight="1" x14ac:dyDescent="0.3">
      <c r="F151"/>
    </row>
    <row r="152" spans="1:8" ht="14.55" customHeight="1" thickBot="1" x14ac:dyDescent="0.35">
      <c r="F152"/>
    </row>
    <row r="153" spans="1:8" ht="14.85" customHeight="1" x14ac:dyDescent="0.3">
      <c r="C153" s="491" t="str">
        <f xml:space="preserve"> "C1 – Strategy: Business Model and Sustainability – Related Initiatives " &amp; template_reporting_period_display &amp; " [Always to be reported]"</f>
        <v>C1 – Strategy: Business Model and Sustainability – Related Initiatives from - to - [Always to be reported]</v>
      </c>
      <c r="D153" s="492"/>
      <c r="E153" s="492"/>
      <c r="F153" s="492"/>
      <c r="G153" s="493"/>
    </row>
    <row r="154" spans="1:8" x14ac:dyDescent="0.3">
      <c r="A154" s="294" t="s">
        <v>4751</v>
      </c>
      <c r="B154" s="284" t="s">
        <v>1</v>
      </c>
      <c r="C154" s="591" t="s">
        <v>16</v>
      </c>
      <c r="D154" s="592"/>
      <c r="E154" s="580"/>
      <c r="F154" s="581"/>
      <c r="G154" s="582"/>
      <c r="H154" s="16" t="str">
        <f>IF(AND($E$32="Option B (Basic Module and Comprehensive Module)", E154=""), "MISSING VALUE",
   IF(AND($E$32="Option A (Basic Module only)", E154&lt;&gt;""), "OK",
   IF(AND($E$32="Option B (Basic Module and Comprehensive Module)", E154&lt;&gt;""), "OK", "")))</f>
        <v/>
      </c>
    </row>
    <row r="155" spans="1:8" x14ac:dyDescent="0.3">
      <c r="A155" s="294" t="s">
        <v>4752</v>
      </c>
      <c r="B155" s="284" t="s">
        <v>1</v>
      </c>
      <c r="C155" s="593" t="s">
        <v>3738</v>
      </c>
      <c r="D155" s="594"/>
      <c r="E155" s="583"/>
      <c r="F155" s="583"/>
      <c r="G155" s="584"/>
      <c r="H155" s="16" t="str">
        <f>IF(AND($E$32="Option B (Basic Module and Comprehensive Module)", E155=""), "MISSING VALUE",
   IF(AND($E$32="Option A (Basic Module only)", E155&lt;&gt;""), "OK",
   IF(AND($E$32="Option B (Basic Module and Comprehensive Module)", E155&lt;&gt;""), "OK", "")))</f>
        <v/>
      </c>
    </row>
    <row r="156" spans="1:8" ht="15" thickBot="1" x14ac:dyDescent="0.35">
      <c r="A156" s="294" t="s">
        <v>4753</v>
      </c>
      <c r="B156" s="296">
        <v>212</v>
      </c>
      <c r="C156" s="589" t="s">
        <v>3739</v>
      </c>
      <c r="D156" s="590"/>
      <c r="E156" s="585"/>
      <c r="F156" s="585"/>
      <c r="G156" s="586"/>
      <c r="H156" s="16" t="str">
        <f>IF(AND($E$32="Option B (Basic Module and Comprehensive Module)", E156=""), "MISSING VALUE",
   IF(AND($E$32="Option A (Basic Module only)", E156&lt;&gt;""), "OK",
   IF(AND($E$32="Option B (Basic Module and Comprehensive Module)", E156&lt;&gt;""), "OK", "")))</f>
        <v/>
      </c>
    </row>
    <row r="157" spans="1:8" ht="27" customHeight="1" thickBot="1" x14ac:dyDescent="0.35">
      <c r="F157"/>
    </row>
    <row r="158" spans="1:8" x14ac:dyDescent="0.3">
      <c r="C158" s="480" t="str">
        <f xml:space="preserve"> "C1 – Strategy: Business Model and Sustainability – Related Initiatives " &amp; template_reporting_period_display &amp; " [If applicable]"</f>
        <v>C1 – Strategy: Business Model and Sustainability – Related Initiatives from - to - [If applicable]</v>
      </c>
      <c r="D158" s="481"/>
      <c r="E158" s="481"/>
      <c r="F158" s="481"/>
      <c r="G158" s="482"/>
    </row>
    <row r="159" spans="1:8" x14ac:dyDescent="0.3">
      <c r="C159" s="476" t="s">
        <v>3991</v>
      </c>
      <c r="D159" s="477"/>
      <c r="E159" s="478" t="b">
        <v>0</v>
      </c>
      <c r="F159" s="478"/>
      <c r="G159" s="479"/>
    </row>
    <row r="160" spans="1:8" ht="15" thickBot="1" x14ac:dyDescent="0.35">
      <c r="A160" s="294" t="s">
        <v>4754</v>
      </c>
      <c r="B160" s="284" t="s">
        <v>1</v>
      </c>
      <c r="C160" s="483" t="s">
        <v>4530</v>
      </c>
      <c r="D160" s="484"/>
      <c r="E160" s="587"/>
      <c r="F160" s="587"/>
      <c r="G160" s="588"/>
      <c r="H160" s="16" t="str">
        <f>IF(AND($E$32="Option B (Basic Module and Comprehensive Module)", E160="",E159=TRUE), "MISSING VALUE",
   IF(AND($E$32="Option A (Basic Module only)", E160&lt;&gt;"",E159=TRUE), "OK",
   IF(AND($E$32="Option B (Basic Module and Comprehensive Module)", E160&lt;&gt;"",E159=TRUE), "OK", "")))</f>
        <v/>
      </c>
    </row>
    <row r="161" spans="2:15" ht="15" thickBot="1" x14ac:dyDescent="0.35"/>
    <row r="162" spans="2:15" ht="14.85" customHeight="1" x14ac:dyDescent="0.3">
      <c r="C162" s="577"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 to - [May (optional)] </v>
      </c>
      <c r="D162" s="578"/>
      <c r="E162" s="578"/>
      <c r="F162" s="578"/>
      <c r="G162" s="578"/>
      <c r="H162" s="579"/>
      <c r="I162" s="10"/>
      <c r="J162" s="10"/>
      <c r="K162" s="10"/>
      <c r="L162" s="10"/>
      <c r="M162" s="10"/>
      <c r="N162" s="10"/>
      <c r="O162" s="10"/>
    </row>
    <row r="163" spans="2:15" ht="14.85" customHeight="1" x14ac:dyDescent="0.3">
      <c r="B163" s="286"/>
      <c r="C163" s="575">
        <v>10</v>
      </c>
      <c r="D163" s="575"/>
      <c r="E163" s="575"/>
      <c r="F163" s="575"/>
      <c r="G163" s="575"/>
      <c r="H163" s="576"/>
      <c r="I163" s="10"/>
      <c r="J163" s="10"/>
      <c r="K163" s="10"/>
      <c r="L163" s="10"/>
      <c r="M163" s="10"/>
      <c r="N163" s="10"/>
      <c r="O163" s="10"/>
    </row>
    <row r="164" spans="2:15" ht="15" thickBot="1" x14ac:dyDescent="0.35">
      <c r="C164" s="571"/>
      <c r="D164" s="572"/>
      <c r="E164" s="572"/>
      <c r="F164" s="572"/>
      <c r="G164" s="572"/>
      <c r="H164" s="572"/>
      <c r="I164" s="108" t="str">
        <f>IF(C164&lt;&gt;"", "OK", "")</f>
        <v/>
      </c>
    </row>
  </sheetData>
  <sheetProtection algorithmName="SHA-512" hashValue="7Rh2pBv16tkclIFIs67Y8FD0YHPTKmxZq2WCwscPTmV6fkg2oI0F9naBFvY7NIA3kH2K2KpdaKDmLsxmt38UZw==" saltValue="OVPvu6AGpHFSGW7DxhX87A==" spinCount="100000" sheet="1" formatColumns="0" formatRows="0" insertRows="0"/>
  <mergeCells count="83">
    <mergeCell ref="C135:O135"/>
    <mergeCell ref="D137:M137"/>
    <mergeCell ref="N137:N138"/>
    <mergeCell ref="O137:O138"/>
    <mergeCell ref="C105:C107"/>
    <mergeCell ref="G105:G107"/>
    <mergeCell ref="F105:F107"/>
    <mergeCell ref="E105:E107"/>
    <mergeCell ref="D105:D107"/>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A45:A59"/>
    <mergeCell ref="B45:B59"/>
    <mergeCell ref="C45:D59"/>
    <mergeCell ref="C64:D64"/>
    <mergeCell ref="C65:D65"/>
    <mergeCell ref="C60:D60"/>
    <mergeCell ref="A43:A44"/>
    <mergeCell ref="B43:B44"/>
    <mergeCell ref="C44:D44"/>
    <mergeCell ref="C43:D43"/>
    <mergeCell ref="D9:E9"/>
    <mergeCell ref="D10:E10"/>
    <mergeCell ref="D11:E11"/>
    <mergeCell ref="D12:E12"/>
    <mergeCell ref="D13:E13"/>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142:D142"/>
    <mergeCell ref="C159:D159"/>
    <mergeCell ref="E159:G159"/>
    <mergeCell ref="C158:G158"/>
    <mergeCell ref="C150:D150"/>
    <mergeCell ref="E148:G148"/>
    <mergeCell ref="E150:G150"/>
    <mergeCell ref="C147:G147"/>
    <mergeCell ref="E149:G149"/>
    <mergeCell ref="C148:D148"/>
    <mergeCell ref="C149:D149"/>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4736</v>
      </c>
      <c r="B1" s="309" t="s">
        <v>4735</v>
      </c>
    </row>
    <row r="2" spans="1:12" x14ac:dyDescent="0.3">
      <c r="C2" s="519" t="str">
        <f>"B3 - Total Energy Consumption (in MWh) " &amp; template_reporting_period_display  &amp; " [Always to be reported]"</f>
        <v>B3 - Total Energy Consumption (in MWh) from - to - [Always to be reported]</v>
      </c>
      <c r="D2" s="520"/>
      <c r="E2" s="520"/>
      <c r="F2" s="520"/>
      <c r="G2" s="520"/>
      <c r="H2" s="520"/>
      <c r="I2" s="520"/>
      <c r="J2" s="520"/>
      <c r="K2" s="521"/>
    </row>
    <row r="3" spans="1:12" x14ac:dyDescent="0.3">
      <c r="C3" s="514">
        <v>29</v>
      </c>
      <c r="D3" s="515"/>
      <c r="E3" s="515"/>
      <c r="F3" s="515"/>
      <c r="G3" s="515"/>
      <c r="H3" s="515"/>
      <c r="I3" s="515"/>
      <c r="J3" s="515"/>
      <c r="K3" s="516"/>
    </row>
    <row r="4" spans="1:12" x14ac:dyDescent="0.3">
      <c r="C4" s="708" t="s">
        <v>4755</v>
      </c>
      <c r="D4" s="709"/>
      <c r="E4" s="709"/>
      <c r="F4" s="709"/>
      <c r="G4" s="709"/>
      <c r="H4" s="709"/>
      <c r="I4" s="709"/>
      <c r="J4" s="709"/>
      <c r="K4" s="710"/>
    </row>
    <row r="5" spans="1:12" ht="15" thickBot="1" x14ac:dyDescent="0.35">
      <c r="C5" s="845" t="s">
        <v>3287</v>
      </c>
      <c r="D5" s="846"/>
      <c r="E5" s="846"/>
      <c r="F5" s="847"/>
      <c r="G5" s="861"/>
      <c r="H5" s="862"/>
      <c r="I5" s="862"/>
      <c r="J5" s="862"/>
      <c r="K5" s="863"/>
      <c r="L5" s="16" t="str">
        <f>IF(AND(OR('General Information'!E32="Option A (Basic Module only)", 'General Information'!E32="Option B (Basic Module and Comprehensive Module)"),G5=""),"MISSING VALUE",IF('General Information'!E32="","","OK"))</f>
        <v/>
      </c>
    </row>
    <row r="6" spans="1:12" ht="15" thickBot="1" x14ac:dyDescent="0.35"/>
    <row r="7" spans="1:12" x14ac:dyDescent="0.3">
      <c r="C7" s="519" t="str">
        <f>"B3 - Breakdown of energy consumption (in MWh) " &amp; template_reporting_period_display &amp; " [If applicable]"</f>
        <v>B3 - Breakdown of energy consumption (in MWh) from - to - [If applicable]</v>
      </c>
      <c r="D7" s="520"/>
      <c r="E7" s="520"/>
      <c r="F7" s="520"/>
      <c r="G7" s="520"/>
      <c r="H7" s="520"/>
      <c r="I7" s="520"/>
      <c r="J7" s="520"/>
      <c r="K7" s="521"/>
    </row>
    <row r="8" spans="1:12" x14ac:dyDescent="0.3">
      <c r="C8" s="514">
        <v>29</v>
      </c>
      <c r="D8" s="515"/>
      <c r="E8" s="515"/>
      <c r="F8" s="515"/>
      <c r="G8" s="515"/>
      <c r="H8" s="515"/>
      <c r="I8" s="515"/>
      <c r="J8" s="515"/>
      <c r="K8" s="516"/>
    </row>
    <row r="9" spans="1:12" x14ac:dyDescent="0.3">
      <c r="C9" s="708" t="s">
        <v>4755</v>
      </c>
      <c r="D9" s="709"/>
      <c r="E9" s="709"/>
      <c r="F9" s="709"/>
      <c r="G9" s="709"/>
      <c r="H9" s="709"/>
      <c r="I9" s="709"/>
      <c r="J9" s="709"/>
      <c r="K9" s="710"/>
    </row>
    <row r="10" spans="1:12" x14ac:dyDescent="0.3">
      <c r="C10" s="696" t="s">
        <v>3990</v>
      </c>
      <c r="D10" s="697"/>
      <c r="E10" s="697"/>
      <c r="F10" s="697"/>
      <c r="G10" s="478" t="b">
        <v>0</v>
      </c>
      <c r="H10" s="478"/>
      <c r="I10" s="478"/>
      <c r="J10" s="478"/>
      <c r="K10" s="479"/>
    </row>
    <row r="11" spans="1:12" ht="38.700000000000003" customHeight="1" x14ac:dyDescent="0.3">
      <c r="C11" s="864"/>
      <c r="D11" s="865"/>
      <c r="E11" s="865"/>
      <c r="F11" s="865"/>
      <c r="G11" s="859" t="s">
        <v>3778</v>
      </c>
      <c r="H11" s="860"/>
      <c r="I11" s="860"/>
      <c r="J11" s="124" t="s">
        <v>3779</v>
      </c>
      <c r="K11" s="125" t="s">
        <v>3780</v>
      </c>
      <c r="L11" s="16"/>
    </row>
    <row r="12" spans="1:12" x14ac:dyDescent="0.3">
      <c r="C12" s="848" t="s">
        <v>17</v>
      </c>
      <c r="D12" s="849"/>
      <c r="E12" s="849"/>
      <c r="F12" s="850"/>
      <c r="G12" s="854"/>
      <c r="H12" s="855"/>
      <c r="I12" s="718"/>
      <c r="J12" s="313"/>
      <c r="K12" s="351" t="str">
        <f>IF(AND(G12="",J12=""),"-",SUM(G12:J12))</f>
        <v>-</v>
      </c>
      <c r="L12" s="651" t="str" cm="1">
        <f t="array" ref="L12">IF(G10=TRUE,
    IF(SUMPRODUCT(--(G12:J14&lt;&gt;"-"), --(G12:J14&lt;&gt;""))&gt;0,
        IF(SUM(G12:J14) &gt; TotalEnergyConsumption, "VALUE INCONSISTENCY", "OK"),
        "MISSING VALUE"),
"")</f>
        <v/>
      </c>
    </row>
    <row r="13" spans="1:12" x14ac:dyDescent="0.3">
      <c r="C13" s="851" t="s">
        <v>4456</v>
      </c>
      <c r="D13" s="852"/>
      <c r="E13" s="852"/>
      <c r="F13" s="853"/>
      <c r="G13" s="854"/>
      <c r="H13" s="855"/>
      <c r="I13" s="718"/>
      <c r="J13" s="313"/>
      <c r="K13" s="351" t="str">
        <f>IF(AND(G13="",J13=""),"-",SUM(G13:J13))</f>
        <v>-</v>
      </c>
      <c r="L13" s="651"/>
    </row>
    <row r="14" spans="1:12" ht="15" thickBot="1" x14ac:dyDescent="0.35">
      <c r="C14" s="803" t="s">
        <v>4818</v>
      </c>
      <c r="D14" s="804"/>
      <c r="E14" s="804"/>
      <c r="F14" s="805"/>
      <c r="G14" s="856" t="str">
        <f>'Fuel Converter'!A32</f>
        <v>-</v>
      </c>
      <c r="H14" s="857"/>
      <c r="I14" s="858"/>
      <c r="J14" s="314" t="str">
        <f>'Fuel Converter'!B32</f>
        <v>-</v>
      </c>
      <c r="K14" s="352" t="str">
        <f>IF(AND(G14="-",J14="-"),"-",SUM(G14:J14))</f>
        <v>-</v>
      </c>
      <c r="L14" s="651"/>
    </row>
    <row r="15" spans="1:12" ht="15" thickBot="1" x14ac:dyDescent="0.35"/>
    <row r="16" spans="1:12" ht="28.5" customHeight="1" x14ac:dyDescent="0.3">
      <c r="C16" s="631" t="s">
        <v>4506</v>
      </c>
      <c r="D16" s="632"/>
      <c r="E16" s="632"/>
      <c r="F16" s="633"/>
      <c r="G16" s="842" t="s">
        <v>4505</v>
      </c>
      <c r="H16" s="843"/>
      <c r="I16" s="843"/>
      <c r="J16" s="843"/>
      <c r="K16" s="844"/>
    </row>
    <row r="17" spans="3:12" x14ac:dyDescent="0.3">
      <c r="C17" s="634">
        <v>30</v>
      </c>
      <c r="D17" s="635"/>
      <c r="E17" s="635"/>
      <c r="F17" s="636"/>
      <c r="G17" s="634" t="s">
        <v>4757</v>
      </c>
      <c r="H17" s="635"/>
      <c r="I17" s="635"/>
      <c r="J17" s="300" t="s">
        <v>4759</v>
      </c>
      <c r="K17" s="301" t="s">
        <v>4760</v>
      </c>
    </row>
    <row r="18" spans="3:12" ht="15" thickBot="1" x14ac:dyDescent="0.35">
      <c r="C18" s="287" t="s">
        <v>1</v>
      </c>
      <c r="D18" s="554" t="s">
        <v>4756</v>
      </c>
      <c r="E18" s="554"/>
      <c r="F18" s="841"/>
      <c r="G18" s="628" t="s">
        <v>4758</v>
      </c>
      <c r="H18" s="629"/>
      <c r="I18" s="629"/>
      <c r="J18" s="294" t="s">
        <v>4758</v>
      </c>
      <c r="K18" s="302" t="s">
        <v>4758</v>
      </c>
    </row>
    <row r="19" spans="3:12" ht="30" customHeight="1" x14ac:dyDescent="0.3">
      <c r="C19" s="806"/>
      <c r="D19" s="807"/>
      <c r="E19" s="807"/>
      <c r="F19" s="808"/>
      <c r="G19" s="866" t="s">
        <v>3992</v>
      </c>
      <c r="H19" s="866"/>
      <c r="I19" s="866"/>
      <c r="J19" s="197" t="b">
        <v>0</v>
      </c>
      <c r="K19" s="127"/>
    </row>
    <row r="20" spans="3:12" ht="28.8" x14ac:dyDescent="0.3">
      <c r="C20" s="128"/>
      <c r="D20" s="734" t="s">
        <v>18</v>
      </c>
      <c r="E20" s="734"/>
      <c r="F20" s="812"/>
      <c r="G20" s="733" t="s">
        <v>4457</v>
      </c>
      <c r="H20" s="734"/>
      <c r="I20" s="734"/>
      <c r="J20" s="6" t="s">
        <v>4458</v>
      </c>
      <c r="K20" s="55" t="s">
        <v>4482</v>
      </c>
    </row>
    <row r="21" spans="3:12" x14ac:dyDescent="0.3">
      <c r="C21" s="68" t="s">
        <v>3631</v>
      </c>
      <c r="D21" s="813" t="str">
        <f>IF('General Information'!$D$9="", "-", 'General Information'!$D$9) &amp; "  -  " &amp; IF('General Information'!$D$13="", "-", 'General Information'!$D$13)</f>
        <v>-  -  -</v>
      </c>
      <c r="E21" s="813"/>
      <c r="F21" s="814"/>
      <c r="G21" s="716"/>
      <c r="H21" s="717"/>
      <c r="I21" s="717"/>
      <c r="J21" s="166"/>
      <c r="K21" s="130"/>
      <c r="L21" s="16" t="str">
        <f>IF(AND(J19=TRUE,G21&lt;&gt;"",J21&lt;&gt;""),"OK",IF(AND(J19=TRUE,G21="",J21=""),"MISSING VALUE",IF(AND(J19=FALSE,G21="",J21=""),"",IF(AND(J19=TRUE,OR(G21="",J21="")),"MISSING VALUE",""))))</f>
        <v/>
      </c>
    </row>
    <row r="22" spans="3:12" x14ac:dyDescent="0.3">
      <c r="C22" s="4" t="s">
        <v>4459</v>
      </c>
      <c r="D22" s="817"/>
      <c r="E22" s="817"/>
      <c r="F22" s="818"/>
      <c r="G22" s="718"/>
      <c r="H22" s="719"/>
      <c r="I22" s="719"/>
      <c r="J22" s="313"/>
      <c r="K22" s="131" t="str">
        <f>IF(AND(G22="", J22=""), "-", IFERROR(-(1 - (J22 / G22)), "-"))</f>
        <v>-</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
      </c>
    </row>
    <row r="23" spans="3:12" x14ac:dyDescent="0.3">
      <c r="C23" s="4" t="s">
        <v>4460</v>
      </c>
      <c r="D23" s="821"/>
      <c r="E23" s="822"/>
      <c r="F23" s="823"/>
      <c r="G23" s="718"/>
      <c r="H23" s="719"/>
      <c r="I23" s="719"/>
      <c r="J23" s="313"/>
      <c r="K23" s="131" t="str">
        <f t="shared" ref="K23:K26" si="0">IF(AND(G23="", J23=""), "-", IFERROR(-(1 - (J23 / G23)), "-"))</f>
        <v>-</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
      </c>
    </row>
    <row r="24" spans="3:12" x14ac:dyDescent="0.3">
      <c r="C24" s="4" t="s">
        <v>4461</v>
      </c>
      <c r="D24" s="817"/>
      <c r="E24" s="817"/>
      <c r="F24" s="818"/>
      <c r="G24" s="718"/>
      <c r="H24" s="719"/>
      <c r="I24" s="719"/>
      <c r="J24" s="313"/>
      <c r="K24" s="131" t="str">
        <f t="shared" si="0"/>
        <v>-</v>
      </c>
      <c r="L24" s="16" t="str">
        <f>IF(D24&lt;&gt;"", IF(AND(G24="", J24=""), "OK", IF(AND(G24&lt;&gt;"", J24=""), "MISSING VALUE", "OK")), "")</f>
        <v/>
      </c>
    </row>
    <row r="25" spans="3:12" x14ac:dyDescent="0.3">
      <c r="C25" s="13" t="s">
        <v>4462</v>
      </c>
      <c r="D25" s="721" t="str">
        <f>IF(AND(D22="",D23=""),"-",SUM(D22,D23))</f>
        <v>-</v>
      </c>
      <c r="E25" s="721"/>
      <c r="F25" s="737"/>
      <c r="G25" s="722" t="str">
        <f>IF(AND(G22="",G23=""),"-",SUM(G22,G23))</f>
        <v>-</v>
      </c>
      <c r="H25" s="721"/>
      <c r="I25" s="721"/>
      <c r="J25" s="316" t="str">
        <f>IF(AND(J22="",J23=""),"-",SUM(J22,J23))</f>
        <v>-</v>
      </c>
      <c r="K25" s="131" t="str">
        <f t="shared" si="0"/>
        <v>-</v>
      </c>
    </row>
    <row r="26" spans="3:12" ht="15" thickBot="1" x14ac:dyDescent="0.35">
      <c r="C26" s="5" t="s">
        <v>4463</v>
      </c>
      <c r="D26" s="750" t="str">
        <f>IF(OR(D22="",D24=""),"-",SUM(D22,D24))</f>
        <v>-</v>
      </c>
      <c r="E26" s="723"/>
      <c r="F26" s="751"/>
      <c r="G26" s="723" t="str">
        <f>IF(OR(G22="",G24=""),"-",SUM(G22,G24))</f>
        <v>-</v>
      </c>
      <c r="H26" s="723"/>
      <c r="I26" s="724"/>
      <c r="J26" s="317" t="str">
        <f>IF(OR(J22="",J24=""),"-",SUM(J22,J24))</f>
        <v>-</v>
      </c>
      <c r="K26" s="131" t="str">
        <f t="shared" si="0"/>
        <v>-</v>
      </c>
    </row>
    <row r="27" spans="3:12" x14ac:dyDescent="0.3">
      <c r="C27" s="820" t="s">
        <v>4761</v>
      </c>
      <c r="D27" s="725"/>
      <c r="E27" s="725"/>
      <c r="F27" s="725"/>
      <c r="G27" s="725">
        <v>54</v>
      </c>
      <c r="H27" s="725"/>
      <c r="I27" s="725"/>
      <c r="J27" s="725"/>
      <c r="K27" s="132"/>
    </row>
    <row r="28" spans="3:12" ht="15" thickBot="1" x14ac:dyDescent="0.35">
      <c r="C28" s="287" t="s">
        <v>1</v>
      </c>
      <c r="D28" s="554" t="s">
        <v>4762</v>
      </c>
      <c r="E28" s="554"/>
      <c r="F28" s="554"/>
      <c r="G28" s="726" t="s">
        <v>1</v>
      </c>
      <c r="H28" s="726"/>
      <c r="I28" s="726"/>
      <c r="J28" s="288" t="s">
        <v>1</v>
      </c>
      <c r="K28" s="133"/>
    </row>
    <row r="29" spans="3:12" ht="22.2" customHeight="1" x14ac:dyDescent="0.3">
      <c r="C29" s="809" t="s">
        <v>4650</v>
      </c>
      <c r="D29" s="810"/>
      <c r="E29" s="810"/>
      <c r="F29" s="811"/>
      <c r="G29" s="792" t="b">
        <v>0</v>
      </c>
      <c r="H29" s="793"/>
      <c r="I29" s="793"/>
      <c r="J29" s="793"/>
      <c r="K29" s="794"/>
    </row>
    <row r="30" spans="3:12" x14ac:dyDescent="0.3">
      <c r="C30" s="123" t="s">
        <v>4488</v>
      </c>
      <c r="D30" s="646"/>
      <c r="E30" s="646"/>
      <c r="F30" s="616"/>
      <c r="G30" s="675"/>
      <c r="H30" s="646"/>
      <c r="I30" s="646"/>
      <c r="J30" s="318"/>
      <c r="K30" s="346" t="str">
        <f>IF(OR(G30="", J30=""), "-", IFERROR(-(1 - (J30 / G30)), "-"))</f>
        <v>-</v>
      </c>
      <c r="L30" s="676" t="str" cm="1">
        <f t="array" ref="L30">IF(
   OR(
      SUMPRODUCT((G30:G44&lt;&gt;"")*(J30:J44="")) &gt; 0,
      SUMPRODUCT((J30:J44&lt;&gt;"")*(G30:G44="")) &gt; 0
   ),
   "MISSING VALUE",
   IF(
      AND(G29=TRUE, COUNTA(D30:F44)=0),
      "MISSING VALUE",
      IF(G29=FALSE, "", "OK")
   )
)</f>
        <v/>
      </c>
    </row>
    <row r="31" spans="3:12" x14ac:dyDescent="0.3">
      <c r="C31" s="123" t="s">
        <v>4489</v>
      </c>
      <c r="D31" s="646"/>
      <c r="E31" s="646"/>
      <c r="F31" s="616"/>
      <c r="G31" s="675"/>
      <c r="H31" s="646"/>
      <c r="I31" s="646"/>
      <c r="J31" s="318"/>
      <c r="K31" s="346" t="str">
        <f t="shared" ref="K31:K44" si="1">IF(OR(G31="", J31=""), "-", IFERROR(-(1 - (J31 / G31)), "-"))</f>
        <v>-</v>
      </c>
      <c r="L31" s="676"/>
    </row>
    <row r="32" spans="3:12" x14ac:dyDescent="0.3">
      <c r="C32" s="123" t="s">
        <v>4514</v>
      </c>
      <c r="D32" s="646"/>
      <c r="E32" s="646"/>
      <c r="F32" s="616"/>
      <c r="G32" s="675"/>
      <c r="H32" s="646"/>
      <c r="I32" s="646"/>
      <c r="J32" s="318"/>
      <c r="K32" s="346" t="str">
        <f t="shared" si="1"/>
        <v>-</v>
      </c>
      <c r="L32" s="676"/>
    </row>
    <row r="33" spans="3:12" x14ac:dyDescent="0.3">
      <c r="C33" s="123" t="s">
        <v>4490</v>
      </c>
      <c r="D33" s="646"/>
      <c r="E33" s="646"/>
      <c r="F33" s="616"/>
      <c r="G33" s="675"/>
      <c r="H33" s="646"/>
      <c r="I33" s="646"/>
      <c r="J33" s="318"/>
      <c r="K33" s="346" t="str">
        <f t="shared" si="1"/>
        <v>-</v>
      </c>
      <c r="L33" s="676"/>
    </row>
    <row r="34" spans="3:12" x14ac:dyDescent="0.3">
      <c r="C34" s="123" t="s">
        <v>4491</v>
      </c>
      <c r="D34" s="646"/>
      <c r="E34" s="646"/>
      <c r="F34" s="616"/>
      <c r="G34" s="675"/>
      <c r="H34" s="646"/>
      <c r="I34" s="646"/>
      <c r="J34" s="318"/>
      <c r="K34" s="346" t="str">
        <f t="shared" si="1"/>
        <v>-</v>
      </c>
      <c r="L34" s="676"/>
    </row>
    <row r="35" spans="3:12" x14ac:dyDescent="0.3">
      <c r="C35" s="123" t="s">
        <v>4492</v>
      </c>
      <c r="D35" s="646"/>
      <c r="E35" s="646"/>
      <c r="F35" s="616"/>
      <c r="G35" s="675"/>
      <c r="H35" s="646"/>
      <c r="I35" s="646"/>
      <c r="J35" s="318"/>
      <c r="K35" s="346" t="str">
        <f t="shared" si="1"/>
        <v>-</v>
      </c>
      <c r="L35" s="676"/>
    </row>
    <row r="36" spans="3:12" x14ac:dyDescent="0.3">
      <c r="C36" s="123" t="s">
        <v>4493</v>
      </c>
      <c r="D36" s="646"/>
      <c r="E36" s="646"/>
      <c r="F36" s="616"/>
      <c r="G36" s="675"/>
      <c r="H36" s="646"/>
      <c r="I36" s="646"/>
      <c r="J36" s="318"/>
      <c r="K36" s="346" t="str">
        <f t="shared" si="1"/>
        <v>-</v>
      </c>
      <c r="L36" s="676"/>
    </row>
    <row r="37" spans="3:12" x14ac:dyDescent="0.3">
      <c r="C37" s="123" t="s">
        <v>4494</v>
      </c>
      <c r="D37" s="646"/>
      <c r="E37" s="646"/>
      <c r="F37" s="616"/>
      <c r="G37" s="675"/>
      <c r="H37" s="646"/>
      <c r="I37" s="646"/>
      <c r="J37" s="318"/>
      <c r="K37" s="346" t="str">
        <f t="shared" si="1"/>
        <v>-</v>
      </c>
      <c r="L37" s="676"/>
    </row>
    <row r="38" spans="3:12" x14ac:dyDescent="0.3">
      <c r="C38" s="123" t="s">
        <v>4495</v>
      </c>
      <c r="D38" s="646"/>
      <c r="E38" s="646"/>
      <c r="F38" s="616"/>
      <c r="G38" s="675"/>
      <c r="H38" s="646"/>
      <c r="I38" s="646"/>
      <c r="J38" s="318"/>
      <c r="K38" s="346" t="str">
        <f t="shared" si="1"/>
        <v>-</v>
      </c>
      <c r="L38" s="676"/>
    </row>
    <row r="39" spans="3:12" x14ac:dyDescent="0.3">
      <c r="C39" s="123" t="s">
        <v>4496</v>
      </c>
      <c r="D39" s="646"/>
      <c r="E39" s="646"/>
      <c r="F39" s="616"/>
      <c r="G39" s="675"/>
      <c r="H39" s="646"/>
      <c r="I39" s="646"/>
      <c r="J39" s="318"/>
      <c r="K39" s="346" t="str">
        <f t="shared" si="1"/>
        <v>-</v>
      </c>
      <c r="L39" s="676"/>
    </row>
    <row r="40" spans="3:12" x14ac:dyDescent="0.3">
      <c r="C40" s="123" t="s">
        <v>4497</v>
      </c>
      <c r="D40" s="646"/>
      <c r="E40" s="646"/>
      <c r="F40" s="616"/>
      <c r="G40" s="675"/>
      <c r="H40" s="646"/>
      <c r="I40" s="646"/>
      <c r="J40" s="318"/>
      <c r="K40" s="346" t="str">
        <f t="shared" si="1"/>
        <v>-</v>
      </c>
      <c r="L40" s="676"/>
    </row>
    <row r="41" spans="3:12" x14ac:dyDescent="0.3">
      <c r="C41" s="123" t="s">
        <v>4498</v>
      </c>
      <c r="D41" s="646"/>
      <c r="E41" s="646"/>
      <c r="F41" s="616"/>
      <c r="G41" s="675"/>
      <c r="H41" s="646"/>
      <c r="I41" s="646"/>
      <c r="J41" s="318"/>
      <c r="K41" s="346" t="str">
        <f t="shared" si="1"/>
        <v>-</v>
      </c>
      <c r="L41" s="676"/>
    </row>
    <row r="42" spans="3:12" x14ac:dyDescent="0.3">
      <c r="C42" s="123" t="s">
        <v>4499</v>
      </c>
      <c r="D42" s="646"/>
      <c r="E42" s="646"/>
      <c r="F42" s="616"/>
      <c r="G42" s="675"/>
      <c r="H42" s="646"/>
      <c r="I42" s="646"/>
      <c r="J42" s="318"/>
      <c r="K42" s="346" t="str">
        <f t="shared" si="1"/>
        <v>-</v>
      </c>
      <c r="L42" s="676"/>
    </row>
    <row r="43" spans="3:12" x14ac:dyDescent="0.3">
      <c r="C43" s="123" t="s">
        <v>4500</v>
      </c>
      <c r="D43" s="646"/>
      <c r="E43" s="646"/>
      <c r="F43" s="616"/>
      <c r="G43" s="675"/>
      <c r="H43" s="646"/>
      <c r="I43" s="646"/>
      <c r="J43" s="318"/>
      <c r="K43" s="346" t="str">
        <f t="shared" si="1"/>
        <v>-</v>
      </c>
      <c r="L43" s="676"/>
    </row>
    <row r="44" spans="3:12" x14ac:dyDescent="0.3">
      <c r="C44" s="123" t="s">
        <v>4501</v>
      </c>
      <c r="D44" s="646"/>
      <c r="E44" s="646"/>
      <c r="F44" s="616"/>
      <c r="G44" s="675"/>
      <c r="H44" s="646"/>
      <c r="I44" s="646"/>
      <c r="J44" s="318"/>
      <c r="K44" s="346" t="str">
        <f t="shared" si="1"/>
        <v>-</v>
      </c>
      <c r="L44" s="676"/>
    </row>
    <row r="45" spans="3:12" ht="15" thickBot="1" x14ac:dyDescent="0.35">
      <c r="C45" s="134" t="s">
        <v>4536</v>
      </c>
      <c r="D45" s="622" t="str">
        <f>IF(AND(G29=FALSE, COUNTA(D30:F44)=0), "-", IF(G29=TRUE, IF(SUM(D30:F44)=0, "-", SUM(D30:F44)), "-"))</f>
        <v>-</v>
      </c>
      <c r="E45" s="622"/>
      <c r="F45" s="819"/>
      <c r="G45" s="727" t="str">
        <f>IF(AND(G29=FALSE, COUNTA(G30:I44)=0), "-", IF(G29=TRUE, IF(SUM(G30:I44)=0, "-", SUM(G30:I44)), "-"))</f>
        <v>-</v>
      </c>
      <c r="H45" s="622"/>
      <c r="I45" s="622"/>
      <c r="J45" s="319" t="str">
        <f>IF(AND(G29=FALSE, COUNTA(J30:J44)=0), "-", IF(G29=TRUE, IF(SUM(J30:J44)=0, "-", SUM(J30:J44)), "-"))</f>
        <v>-</v>
      </c>
      <c r="K45" s="257" t="str">
        <f t="shared" ref="K45:K47" si="2">IF(AND(G45="", J45=""), "-", IFERROR(-(1 - (J45 / G45)), "-"))</f>
        <v>-</v>
      </c>
      <c r="L45" s="16"/>
    </row>
    <row r="46" spans="3:12" x14ac:dyDescent="0.3">
      <c r="C46" s="13" t="s">
        <v>4464</v>
      </c>
      <c r="D46" s="721" t="str">
        <f>IF(G29=FALSE, "-", IF(AND(D22="", D23="", D45=""), "-", IF(SUM(D22, D23, D45)=0, "-", SUM(D22, D23, D45))))</f>
        <v>-</v>
      </c>
      <c r="E46" s="721"/>
      <c r="F46" s="737"/>
      <c r="G46" s="720" t="str">
        <f>IF(G29=FALSE, "-", IF(AND(G22="", G23="", G45=""), "-", IF(SUM(G22, G23, G45)=0, "-", SUM(G22, G23, G45))))</f>
        <v>-</v>
      </c>
      <c r="H46" s="721"/>
      <c r="I46" s="721"/>
      <c r="J46" s="315" t="str">
        <f>IF(G29=FALSE, "-", IF(AND(J22="", J23="", J45=""), "-", IF(SUM(J22, J23, J45)=0, "-", SUM(J22, J23, J45))))</f>
        <v>-</v>
      </c>
      <c r="K46" s="258" t="str">
        <f t="shared" si="2"/>
        <v>-</v>
      </c>
    </row>
    <row r="47" spans="3:12" ht="15" thickBot="1" x14ac:dyDescent="0.35">
      <c r="C47" s="135" t="s">
        <v>4531</v>
      </c>
      <c r="D47" s="750" t="str">
        <f>IF(G29=FALSE,"-",IF(OR(D22="",D24="",D45=""),"-",SUM(D22,D24,D45)))</f>
        <v>-</v>
      </c>
      <c r="E47" s="723"/>
      <c r="F47" s="751"/>
      <c r="G47" s="752" t="str">
        <f>IF(G29=FALSE, "-", IF(OR(G22="", G24="", G45=""), "-", IF(SUM(G22, G24, G45)=0, "-", SUM(G22, G24, G45))))</f>
        <v>-</v>
      </c>
      <c r="H47" s="723"/>
      <c r="I47" s="724"/>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745" t="str">
        <f xml:space="preserve"> "C3 - Disclosure of list of main actions the entity seeks in order to achieve its targets " &amp; template_reporting_period_display &amp; " [If applicable]"</f>
        <v>C3 - Disclosure of list of main actions the entity seeks in order to achieve its targets from - to - [If applicable]</v>
      </c>
      <c r="D49" s="745"/>
      <c r="E49" s="745"/>
      <c r="F49" s="745"/>
      <c r="G49" s="745"/>
      <c r="H49" s="745"/>
      <c r="I49" s="745"/>
      <c r="J49" s="745"/>
      <c r="K49" s="746"/>
      <c r="L49" s="8"/>
    </row>
    <row r="50" spans="1:12" x14ac:dyDescent="0.3">
      <c r="C50" s="514" t="s">
        <v>4763</v>
      </c>
      <c r="D50" s="514"/>
      <c r="E50" s="514"/>
      <c r="F50" s="514"/>
      <c r="G50" s="514"/>
      <c r="H50" s="514"/>
      <c r="I50" s="514"/>
      <c r="J50" s="514"/>
      <c r="K50" s="683"/>
    </row>
    <row r="51" spans="1:12" x14ac:dyDescent="0.3">
      <c r="C51" s="708">
        <v>223</v>
      </c>
      <c r="D51" s="708"/>
      <c r="E51" s="708"/>
      <c r="F51" s="708"/>
      <c r="G51" s="708"/>
      <c r="H51" s="708"/>
      <c r="I51" s="708"/>
      <c r="J51" s="708"/>
      <c r="K51" s="708"/>
      <c r="L51" s="8"/>
    </row>
    <row r="52" spans="1:12" ht="15" thickBot="1" x14ac:dyDescent="0.35">
      <c r="C52" s="743"/>
      <c r="D52" s="743"/>
      <c r="E52" s="743"/>
      <c r="F52" s="743"/>
      <c r="G52" s="743"/>
      <c r="H52" s="743"/>
      <c r="I52" s="743"/>
      <c r="J52" s="743"/>
      <c r="K52" s="744"/>
      <c r="L52" s="126" t="str">
        <f>IF(AND(J19=TRUE,C52&lt;&gt;""),"OK",IF(AND(J19=TRUE,C52=""),"MISSING VALUE",""))</f>
        <v/>
      </c>
    </row>
    <row r="54" spans="1:12" ht="15" thickBot="1" x14ac:dyDescent="0.35">
      <c r="C54" s="9"/>
      <c r="D54" s="9"/>
      <c r="E54" s="9"/>
      <c r="F54" s="9"/>
      <c r="G54" s="9"/>
      <c r="H54" s="9"/>
      <c r="I54" s="9"/>
      <c r="J54" s="9"/>
      <c r="K54" s="9"/>
    </row>
    <row r="55" spans="1:12" x14ac:dyDescent="0.3">
      <c r="C55" s="745" t="str">
        <f xml:space="preserve"> "C3 - Transition plan for undertakings operating in high climate impact sectors " &amp; template_reporting_period_display &amp; " [If applicable]"</f>
        <v>C3 - Transition plan for undertakings operating in high climate impact sectors from - to - [If applicable]</v>
      </c>
      <c r="D55" s="745"/>
      <c r="E55" s="745"/>
      <c r="F55" s="745"/>
      <c r="G55" s="745"/>
      <c r="H55" s="745"/>
      <c r="I55" s="745"/>
      <c r="J55" s="745"/>
      <c r="K55" s="840"/>
    </row>
    <row r="56" spans="1:12" ht="38.4" customHeight="1" x14ac:dyDescent="0.3">
      <c r="A56" s="294">
        <v>55</v>
      </c>
      <c r="B56" s="296" t="s">
        <v>4731</v>
      </c>
      <c r="C56" s="123" t="s">
        <v>3993</v>
      </c>
      <c r="D56" s="762"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763"/>
      <c r="F56" s="763"/>
      <c r="G56" s="763"/>
      <c r="H56" s="763"/>
      <c r="I56" s="763"/>
      <c r="J56" s="763"/>
      <c r="K56" s="764"/>
      <c r="L56" s="16"/>
    </row>
    <row r="57" spans="1:12" x14ac:dyDescent="0.3">
      <c r="A57" s="300">
        <v>55</v>
      </c>
      <c r="B57" s="296" t="s">
        <v>4731</v>
      </c>
      <c r="C57" s="123" t="s">
        <v>4483</v>
      </c>
      <c r="D57" s="738"/>
      <c r="E57" s="739"/>
      <c r="F57" s="739"/>
      <c r="G57" s="739"/>
      <c r="H57" s="739"/>
      <c r="I57" s="739"/>
      <c r="J57" s="739"/>
      <c r="K57" s="740"/>
      <c r="L57" s="16" t="str">
        <f>IF(AND(OR(D57="A transition plan has already been adopted", D57="Adoption of a transition plan is planned in the future"), D56=TRUE),
   "OK",
   IF(AND(BasisForPreparation="Option B (Basic Module and Comprehensive Module)", D57="", D56=TRUE),
      "MISSING VALUE",
      "")
)</f>
        <v/>
      </c>
    </row>
    <row r="58" spans="1:12" ht="28.8" x14ac:dyDescent="0.3">
      <c r="A58" s="300">
        <v>55</v>
      </c>
      <c r="B58" s="296" t="s">
        <v>4731</v>
      </c>
      <c r="C58" s="137" t="s">
        <v>4005</v>
      </c>
      <c r="D58" s="741"/>
      <c r="E58" s="741"/>
      <c r="F58" s="741"/>
      <c r="G58" s="741"/>
      <c r="H58" s="741"/>
      <c r="I58" s="741"/>
      <c r="J58" s="741"/>
      <c r="K58" s="742"/>
      <c r="L58" s="16" t="str">
        <f>IF(AND(D57="A transition plan has already been adopted",DescriptionOfATransitionPlanForClimateChangeMitigationIncludingAnExplanationOfHowItIsContributingToReduceGhgEmissions&lt;&gt;""),"OK","")</f>
        <v/>
      </c>
    </row>
    <row r="59" spans="1:12" x14ac:dyDescent="0.3">
      <c r="A59" s="875">
        <v>56</v>
      </c>
      <c r="B59" s="841" t="s">
        <v>4731</v>
      </c>
      <c r="C59" s="753" t="s">
        <v>4469</v>
      </c>
      <c r="D59" s="882" t="s">
        <v>3751</v>
      </c>
      <c r="E59" s="883"/>
      <c r="F59" s="883"/>
      <c r="G59" s="883"/>
      <c r="H59" s="884"/>
      <c r="I59" s="885"/>
      <c r="J59" s="886"/>
      <c r="K59" s="887"/>
      <c r="L59" s="651"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
      </c>
    </row>
    <row r="60" spans="1:12" x14ac:dyDescent="0.3">
      <c r="A60" s="876"/>
      <c r="B60" s="878"/>
      <c r="C60" s="880"/>
      <c r="D60" s="882" t="s">
        <v>3752</v>
      </c>
      <c r="E60" s="883"/>
      <c r="F60" s="883"/>
      <c r="G60" s="883"/>
      <c r="H60" s="884"/>
      <c r="I60" s="885"/>
      <c r="J60" s="886"/>
      <c r="K60" s="887"/>
      <c r="L60" s="651"/>
    </row>
    <row r="61" spans="1:12" x14ac:dyDescent="0.3">
      <c r="A61" s="876"/>
      <c r="B61" s="878"/>
      <c r="C61" s="880"/>
      <c r="D61" s="882" t="s">
        <v>4817</v>
      </c>
      <c r="E61" s="883"/>
      <c r="F61" s="883"/>
      <c r="G61" s="883"/>
      <c r="H61" s="884"/>
      <c r="I61" s="885"/>
      <c r="J61" s="886"/>
      <c r="K61" s="887"/>
      <c r="L61" s="651"/>
    </row>
    <row r="62" spans="1:12" ht="15" thickBot="1" x14ac:dyDescent="0.35">
      <c r="A62" s="877"/>
      <c r="B62" s="879"/>
      <c r="C62" s="881"/>
      <c r="D62" s="760" t="str">
        <f>IF(OR(ISBLANK(I59), ISBLANK(I60), ISBLANK(I61)), "-", I59 &amp; "-" &amp; TEXT(I60, "00") &amp; "-" &amp; TEXT(I61, "00"))</f>
        <v>-</v>
      </c>
      <c r="E62" s="760"/>
      <c r="F62" s="760"/>
      <c r="G62" s="760"/>
      <c r="H62" s="760"/>
      <c r="I62" s="760"/>
      <c r="J62" s="760"/>
      <c r="K62" s="761"/>
      <c r="L62" s="441"/>
    </row>
    <row r="63" spans="1:12" ht="15" thickBot="1" x14ac:dyDescent="0.35"/>
    <row r="64" spans="1:12" ht="14.85" customHeight="1" x14ac:dyDescent="0.3">
      <c r="C64" s="499" t="str">
        <f xml:space="preserve"> "B3 - Greenhouse gas emission intensity per turnover (in tCO2e/" &amp; template_currency &amp; ") " &amp; template_reporting_period_display &amp; " [Always to be reported]"</f>
        <v>B3 - Greenhouse gas emission intensity per turnover (in tCO2e/) from - to - [Always to be reported]</v>
      </c>
      <c r="D64" s="499"/>
      <c r="E64" s="499"/>
      <c r="F64" s="499"/>
      <c r="G64" s="499"/>
      <c r="H64" s="499"/>
      <c r="I64" s="499"/>
      <c r="J64" s="499"/>
      <c r="K64" s="839"/>
    </row>
    <row r="65" spans="3:12" ht="14.85" customHeight="1" x14ac:dyDescent="0.3">
      <c r="C65" s="837">
        <v>31</v>
      </c>
      <c r="D65" s="837"/>
      <c r="E65" s="837"/>
      <c r="F65" s="837"/>
      <c r="G65" s="837"/>
      <c r="H65" s="837"/>
      <c r="I65" s="837"/>
      <c r="J65" s="837"/>
      <c r="K65" s="838"/>
    </row>
    <row r="66" spans="3:12" x14ac:dyDescent="0.3">
      <c r="C66" s="494" t="s">
        <v>4473</v>
      </c>
      <c r="D66" s="495"/>
      <c r="E66" s="495"/>
      <c r="F66" s="495"/>
      <c r="G66" s="835" t="str">
        <f>IF(G29=TRUE,
   "-",
   IFERROR(
      IF(OR(D25="", Turnover=""), "-", D25/Turnover),
      "-"
   )
)</f>
        <v>-</v>
      </c>
      <c r="H66" s="835"/>
      <c r="I66" s="835"/>
      <c r="J66" s="835"/>
      <c r="K66" s="836"/>
    </row>
    <row r="67" spans="3:12" x14ac:dyDescent="0.3">
      <c r="C67" s="753" t="s">
        <v>4474</v>
      </c>
      <c r="D67" s="754"/>
      <c r="E67" s="754"/>
      <c r="F67" s="754"/>
      <c r="G67" s="755" t="str">
        <f>IF(G29=TRUE,
   "-",
   IFERROR(
      IF(OR(D26="", Turnover=""), "-", D26/Turnover),
      "-"
   )
)</f>
        <v>-</v>
      </c>
      <c r="H67" s="755"/>
      <c r="I67" s="755"/>
      <c r="J67" s="755"/>
      <c r="K67" s="756"/>
    </row>
    <row r="68" spans="3:12" x14ac:dyDescent="0.3">
      <c r="C68" s="494" t="s">
        <v>4475</v>
      </c>
      <c r="D68" s="495"/>
      <c r="E68" s="495"/>
      <c r="F68" s="815"/>
      <c r="G68" s="747" t="str">
        <f>IF(G29=FALSE,
   "-",
   IFERROR(
      IF(OR(D46="", Turnover=""), "-", D46/Turnover),
      "-"
   )
)</f>
        <v>-</v>
      </c>
      <c r="H68" s="748"/>
      <c r="I68" s="748"/>
      <c r="J68" s="748"/>
      <c r="K68" s="749"/>
    </row>
    <row r="69" spans="3:12" ht="15" thickBot="1" x14ac:dyDescent="0.35">
      <c r="C69" s="483" t="s">
        <v>4535</v>
      </c>
      <c r="D69" s="484"/>
      <c r="E69" s="484"/>
      <c r="F69" s="816"/>
      <c r="G69" s="728" t="str">
        <f>IF(G29=FALSE,
   "-",
   IFERROR(
      IF(OR(D47="", Turnover=""), "-", D47/Turnover),
      "-"
   )
)</f>
        <v>-</v>
      </c>
      <c r="H69" s="729"/>
      <c r="I69" s="729"/>
      <c r="J69" s="729"/>
      <c r="K69" s="730"/>
      <c r="L69" s="8"/>
    </row>
    <row r="70" spans="3:12" ht="15" thickBot="1" x14ac:dyDescent="0.35"/>
    <row r="71" spans="3:12" x14ac:dyDescent="0.3">
      <c r="C71" s="631" t="str">
        <f xml:space="preserve"> "B4 – Pollution of air, water and soil " &amp; template_reporting_period_display &amp; " [If applicable]"</f>
        <v>B4 – Pollution of air, water and soil from - to - [If applicable]</v>
      </c>
      <c r="D71" s="632"/>
      <c r="E71" s="632"/>
      <c r="F71" s="632"/>
      <c r="G71" s="632"/>
      <c r="H71" s="632"/>
      <c r="I71" s="632"/>
      <c r="J71" s="632"/>
      <c r="K71" s="633"/>
    </row>
    <row r="72" spans="3:12" x14ac:dyDescent="0.3">
      <c r="C72" s="634">
        <v>32</v>
      </c>
      <c r="D72" s="635"/>
      <c r="E72" s="635"/>
      <c r="F72" s="635"/>
      <c r="G72" s="635"/>
      <c r="H72" s="635"/>
      <c r="I72" s="635"/>
      <c r="J72" s="635"/>
      <c r="K72" s="636"/>
    </row>
    <row r="73" spans="3:12" x14ac:dyDescent="0.3">
      <c r="C73" s="628" t="s">
        <v>4764</v>
      </c>
      <c r="D73" s="629"/>
      <c r="E73" s="629"/>
      <c r="F73" s="629"/>
      <c r="G73" s="629"/>
      <c r="H73" s="629"/>
      <c r="I73" s="629"/>
      <c r="J73" s="629"/>
      <c r="K73" s="630"/>
    </row>
    <row r="74" spans="3:12" ht="30" customHeight="1" x14ac:dyDescent="0.3">
      <c r="C74" s="506" t="s">
        <v>3994</v>
      </c>
      <c r="D74" s="679"/>
      <c r="E74" s="679"/>
      <c r="F74" s="507"/>
      <c r="G74" s="765" t="b">
        <v>0</v>
      </c>
      <c r="H74" s="766"/>
      <c r="I74" s="766"/>
      <c r="J74" s="766"/>
      <c r="K74" s="767"/>
      <c r="L74" s="16"/>
    </row>
    <row r="75" spans="3:12" x14ac:dyDescent="0.3">
      <c r="C75" s="494" t="s">
        <v>3807</v>
      </c>
      <c r="D75" s="495"/>
      <c r="E75" s="495"/>
      <c r="F75" s="495"/>
      <c r="G75" s="735" t="b">
        <v>0</v>
      </c>
      <c r="H75" s="735"/>
      <c r="I75" s="735"/>
      <c r="J75" s="735"/>
      <c r="K75" s="736"/>
      <c r="L75" s="16" t="str" cm="1">
        <f t="array" ref="L75">IF(AND(G75=TRUE,D80:K119=""),"OK",IF(AND(OR(D80:K119&lt;&gt;""),G75=TRUE),"VALUE INCONSISTENCY",""))</f>
        <v/>
      </c>
    </row>
    <row r="76" spans="3:12" x14ac:dyDescent="0.3">
      <c r="C76" s="494" t="s">
        <v>3806</v>
      </c>
      <c r="D76" s="495"/>
      <c r="E76" s="495"/>
      <c r="F76" s="495"/>
      <c r="G76" s="731"/>
      <c r="H76" s="642"/>
      <c r="I76" s="642"/>
      <c r="J76" s="642"/>
      <c r="K76" s="732"/>
      <c r="L76" s="16" t="str">
        <f>IF(G75=TRUE,
   IF(G76="",
      "MISSING VALUE",
      IF(OR(LEFT(G76,7)="http://", LEFT(G76,8)="https://", LEFT(G76,4)="www."),
         "OK",
         "INVALID URL")),
   "")</f>
        <v/>
      </c>
    </row>
    <row r="77" spans="3:12" x14ac:dyDescent="0.3">
      <c r="C77" s="757" t="s">
        <v>3800</v>
      </c>
      <c r="D77" s="758"/>
      <c r="E77" s="758"/>
      <c r="F77" s="758"/>
      <c r="G77" s="758"/>
      <c r="H77" s="758"/>
      <c r="I77" s="758"/>
      <c r="J77" s="758"/>
      <c r="K77" s="759"/>
    </row>
    <row r="78" spans="3:12" x14ac:dyDescent="0.3">
      <c r="C78" s="680"/>
      <c r="D78" s="681"/>
      <c r="E78" s="681"/>
      <c r="F78" s="681"/>
      <c r="G78" s="681"/>
      <c r="H78" s="681"/>
      <c r="I78" s="681"/>
      <c r="J78" s="681"/>
      <c r="K78" s="682"/>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
      </c>
    </row>
    <row r="79" spans="3:12" x14ac:dyDescent="0.3">
      <c r="C79" s="139" t="s">
        <v>20</v>
      </c>
      <c r="D79" s="734" t="s">
        <v>4018</v>
      </c>
      <c r="E79" s="734"/>
      <c r="F79" s="734"/>
      <c r="G79" s="734" t="s">
        <v>3799</v>
      </c>
      <c r="H79" s="734"/>
      <c r="I79" s="734"/>
      <c r="J79" s="6" t="s">
        <v>3801</v>
      </c>
      <c r="K79" s="129" t="s">
        <v>3802</v>
      </c>
    </row>
    <row r="80" spans="3:12" x14ac:dyDescent="0.3">
      <c r="C80" s="259">
        <v>1</v>
      </c>
      <c r="D80" s="642"/>
      <c r="E80" s="642"/>
      <c r="F80" s="642"/>
      <c r="G80" s="616"/>
      <c r="H80" s="617"/>
      <c r="I80" s="618"/>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
      </c>
    </row>
    <row r="81" spans="3:12" x14ac:dyDescent="0.3">
      <c r="C81" s="259">
        <v>2</v>
      </c>
      <c r="D81" s="642"/>
      <c r="E81" s="642"/>
      <c r="F81" s="642"/>
      <c r="G81" s="616"/>
      <c r="H81" s="617"/>
      <c r="I81" s="618"/>
      <c r="J81" s="318"/>
      <c r="K81" s="320"/>
      <c r="L81" s="16" t="str">
        <f>IF(AND($G$74=TRUE,$G$75=TRUE,OR(D81&lt;&gt;"",G81&lt;&gt;"",J81&lt;&gt;"",K81&lt;&gt;"")),
    "VALUE INCONSISTENCY",
IF($G$74&lt;&gt;TRUE, "",
IF(AND(D81="", G81="", J81="", K81=""), "",
IF(AND(D81&lt;&gt;"", G81="", J81="", K81=""), "MISSING VALUE",
IF(AND(D81&lt;&gt;"", OR(G81&lt;&gt;"", J81&lt;&gt;"", K81&lt;&gt;"")),
    IF(COUNTIF($D$80:$D$119, D81)&gt;1, "VALUE INCONSISTENCY", "OK"),
"MISSING VALUE")))))</f>
        <v/>
      </c>
    </row>
    <row r="82" spans="3:12" ht="15" thickBot="1" x14ac:dyDescent="0.35">
      <c r="C82" s="261">
        <v>3</v>
      </c>
      <c r="D82" s="874"/>
      <c r="E82" s="874"/>
      <c r="F82" s="874"/>
      <c r="G82" s="870"/>
      <c r="H82" s="871"/>
      <c r="I82" s="872"/>
      <c r="J82" s="321"/>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
      </c>
    </row>
    <row r="83" spans="3:12" hidden="1" outlineLevel="1" x14ac:dyDescent="0.3">
      <c r="C83" s="260">
        <v>4</v>
      </c>
      <c r="D83" s="802"/>
      <c r="E83" s="802"/>
      <c r="F83" s="802"/>
      <c r="G83" s="873"/>
      <c r="H83" s="873"/>
      <c r="I83" s="873"/>
      <c r="J83" s="323"/>
      <c r="K83" s="324"/>
      <c r="L83" s="16" t="str">
        <f t="shared" si="3"/>
        <v/>
      </c>
    </row>
    <row r="84" spans="3:12" hidden="1" outlineLevel="1" x14ac:dyDescent="0.3">
      <c r="C84" s="259">
        <v>5</v>
      </c>
      <c r="D84" s="642"/>
      <c r="E84" s="642"/>
      <c r="F84" s="642"/>
      <c r="G84" s="646"/>
      <c r="H84" s="646"/>
      <c r="I84" s="646"/>
      <c r="J84" s="318"/>
      <c r="K84" s="320"/>
      <c r="L84" s="16" t="str">
        <f t="shared" si="3"/>
        <v/>
      </c>
    </row>
    <row r="85" spans="3:12" hidden="1" outlineLevel="1" x14ac:dyDescent="0.3">
      <c r="C85" s="259">
        <v>6</v>
      </c>
      <c r="D85" s="642"/>
      <c r="E85" s="642"/>
      <c r="F85" s="642"/>
      <c r="G85" s="646"/>
      <c r="H85" s="646"/>
      <c r="I85" s="646"/>
      <c r="J85" s="318"/>
      <c r="K85" s="320"/>
      <c r="L85" s="16" t="str">
        <f t="shared" si="3"/>
        <v/>
      </c>
    </row>
    <row r="86" spans="3:12" hidden="1" outlineLevel="1" x14ac:dyDescent="0.3">
      <c r="C86" s="259">
        <v>7</v>
      </c>
      <c r="D86" s="642"/>
      <c r="E86" s="642"/>
      <c r="F86" s="642"/>
      <c r="G86" s="646"/>
      <c r="H86" s="646"/>
      <c r="I86" s="646"/>
      <c r="J86" s="318"/>
      <c r="K86" s="320"/>
      <c r="L86" s="16" t="str">
        <f t="shared" si="3"/>
        <v/>
      </c>
    </row>
    <row r="87" spans="3:12" hidden="1" outlineLevel="1" x14ac:dyDescent="0.3">
      <c r="C87" s="259">
        <v>8</v>
      </c>
      <c r="D87" s="642"/>
      <c r="E87" s="642"/>
      <c r="F87" s="642"/>
      <c r="G87" s="646"/>
      <c r="H87" s="646"/>
      <c r="I87" s="646"/>
      <c r="J87" s="318"/>
      <c r="K87" s="320"/>
      <c r="L87" s="16" t="str">
        <f t="shared" si="3"/>
        <v/>
      </c>
    </row>
    <row r="88" spans="3:12" hidden="1" outlineLevel="1" x14ac:dyDescent="0.3">
      <c r="C88" s="259">
        <v>9</v>
      </c>
      <c r="D88" s="642"/>
      <c r="E88" s="642"/>
      <c r="F88" s="642"/>
      <c r="G88" s="646"/>
      <c r="H88" s="646"/>
      <c r="I88" s="646"/>
      <c r="J88" s="318"/>
      <c r="K88" s="320"/>
      <c r="L88" s="16" t="str">
        <f t="shared" si="3"/>
        <v/>
      </c>
    </row>
    <row r="89" spans="3:12" hidden="1" outlineLevel="1" x14ac:dyDescent="0.3">
      <c r="C89" s="259">
        <v>10</v>
      </c>
      <c r="D89" s="642"/>
      <c r="E89" s="642"/>
      <c r="F89" s="642"/>
      <c r="G89" s="646"/>
      <c r="H89" s="646"/>
      <c r="I89" s="646"/>
      <c r="J89" s="318"/>
      <c r="K89" s="320"/>
      <c r="L89" s="16" t="str">
        <f t="shared" si="3"/>
        <v/>
      </c>
    </row>
    <row r="90" spans="3:12" hidden="1" outlineLevel="1" x14ac:dyDescent="0.3">
      <c r="C90" s="259">
        <v>11</v>
      </c>
      <c r="D90" s="642"/>
      <c r="E90" s="642"/>
      <c r="F90" s="642"/>
      <c r="G90" s="646"/>
      <c r="H90" s="646"/>
      <c r="I90" s="646"/>
      <c r="J90" s="318"/>
      <c r="K90" s="320"/>
      <c r="L90" s="16" t="str">
        <f t="shared" si="3"/>
        <v/>
      </c>
    </row>
    <row r="91" spans="3:12" hidden="1" outlineLevel="1" x14ac:dyDescent="0.3">
      <c r="C91" s="259">
        <v>12</v>
      </c>
      <c r="D91" s="642"/>
      <c r="E91" s="642"/>
      <c r="F91" s="642"/>
      <c r="G91" s="646"/>
      <c r="H91" s="646"/>
      <c r="I91" s="646"/>
      <c r="J91" s="318"/>
      <c r="K91" s="320"/>
      <c r="L91" s="16" t="str">
        <f t="shared" si="3"/>
        <v/>
      </c>
    </row>
    <row r="92" spans="3:12" hidden="1" outlineLevel="1" x14ac:dyDescent="0.3">
      <c r="C92" s="259">
        <v>13</v>
      </c>
      <c r="D92" s="642"/>
      <c r="E92" s="642"/>
      <c r="F92" s="642"/>
      <c r="G92" s="646"/>
      <c r="H92" s="646"/>
      <c r="I92" s="646"/>
      <c r="J92" s="318"/>
      <c r="K92" s="320"/>
      <c r="L92" s="16" t="str">
        <f t="shared" si="3"/>
        <v/>
      </c>
    </row>
    <row r="93" spans="3:12" hidden="1" outlineLevel="1" x14ac:dyDescent="0.3">
      <c r="C93" s="259">
        <v>14</v>
      </c>
      <c r="D93" s="642"/>
      <c r="E93" s="642"/>
      <c r="F93" s="642"/>
      <c r="G93" s="646"/>
      <c r="H93" s="646"/>
      <c r="I93" s="646"/>
      <c r="J93" s="318"/>
      <c r="K93" s="320"/>
      <c r="L93" s="16" t="str">
        <f t="shared" si="3"/>
        <v/>
      </c>
    </row>
    <row r="94" spans="3:12" hidden="1" outlineLevel="1" x14ac:dyDescent="0.3">
      <c r="C94" s="259">
        <v>15</v>
      </c>
      <c r="D94" s="642"/>
      <c r="E94" s="642"/>
      <c r="F94" s="642"/>
      <c r="G94" s="646"/>
      <c r="H94" s="646"/>
      <c r="I94" s="646"/>
      <c r="J94" s="318"/>
      <c r="K94" s="320"/>
      <c r="L94" s="16" t="str">
        <f t="shared" si="3"/>
        <v/>
      </c>
    </row>
    <row r="95" spans="3:12" hidden="1" outlineLevel="1" x14ac:dyDescent="0.3">
      <c r="C95" s="259">
        <v>16</v>
      </c>
      <c r="D95" s="642"/>
      <c r="E95" s="642"/>
      <c r="F95" s="642"/>
      <c r="G95" s="646"/>
      <c r="H95" s="646"/>
      <c r="I95" s="646"/>
      <c r="J95" s="318"/>
      <c r="K95" s="320"/>
      <c r="L95" s="16" t="str">
        <f t="shared" si="3"/>
        <v/>
      </c>
    </row>
    <row r="96" spans="3:12" hidden="1" outlineLevel="1" x14ac:dyDescent="0.3">
      <c r="C96" s="259">
        <v>17</v>
      </c>
      <c r="D96" s="642"/>
      <c r="E96" s="642"/>
      <c r="F96" s="642"/>
      <c r="G96" s="646"/>
      <c r="H96" s="646"/>
      <c r="I96" s="646"/>
      <c r="J96" s="318"/>
      <c r="K96" s="320"/>
      <c r="L96" s="16" t="str">
        <f t="shared" si="3"/>
        <v/>
      </c>
    </row>
    <row r="97" spans="3:13" hidden="1" outlineLevel="1" x14ac:dyDescent="0.3">
      <c r="C97" s="259">
        <v>18</v>
      </c>
      <c r="D97" s="642"/>
      <c r="E97" s="642"/>
      <c r="F97" s="642"/>
      <c r="G97" s="646"/>
      <c r="H97" s="646"/>
      <c r="I97" s="646"/>
      <c r="J97" s="318"/>
      <c r="K97" s="320"/>
      <c r="L97" s="16" t="str">
        <f t="shared" si="3"/>
        <v/>
      </c>
    </row>
    <row r="98" spans="3:13" hidden="1" outlineLevel="1" x14ac:dyDescent="0.3">
      <c r="C98" s="259">
        <v>19</v>
      </c>
      <c r="D98" s="642"/>
      <c r="E98" s="642"/>
      <c r="F98" s="642"/>
      <c r="G98" s="646"/>
      <c r="H98" s="646"/>
      <c r="I98" s="646"/>
      <c r="J98" s="318"/>
      <c r="K98" s="320"/>
      <c r="L98" s="16" t="str">
        <f t="shared" si="3"/>
        <v/>
      </c>
    </row>
    <row r="99" spans="3:13" hidden="1" outlineLevel="1" x14ac:dyDescent="0.3">
      <c r="C99" s="259">
        <v>20</v>
      </c>
      <c r="D99" s="642"/>
      <c r="E99" s="642"/>
      <c r="F99" s="642"/>
      <c r="G99" s="646"/>
      <c r="H99" s="646"/>
      <c r="I99" s="646"/>
      <c r="J99" s="318"/>
      <c r="K99" s="320"/>
      <c r="L99" s="16" t="str">
        <f t="shared" si="3"/>
        <v/>
      </c>
    </row>
    <row r="100" spans="3:13" hidden="1" outlineLevel="1" x14ac:dyDescent="0.3">
      <c r="C100" s="259">
        <v>21</v>
      </c>
      <c r="D100" s="642"/>
      <c r="E100" s="642"/>
      <c r="F100" s="642"/>
      <c r="G100" s="646"/>
      <c r="H100" s="646"/>
      <c r="I100" s="646"/>
      <c r="J100" s="318"/>
      <c r="K100" s="320"/>
      <c r="L100" s="16" t="str">
        <f t="shared" si="3"/>
        <v/>
      </c>
    </row>
    <row r="101" spans="3:13" hidden="1" outlineLevel="1" x14ac:dyDescent="0.3">
      <c r="C101" s="259">
        <v>22</v>
      </c>
      <c r="D101" s="642"/>
      <c r="E101" s="642"/>
      <c r="F101" s="642"/>
      <c r="G101" s="646"/>
      <c r="H101" s="646"/>
      <c r="I101" s="646"/>
      <c r="J101" s="318"/>
      <c r="K101" s="320"/>
      <c r="L101" s="16" t="str">
        <f t="shared" si="3"/>
        <v/>
      </c>
    </row>
    <row r="102" spans="3:13" hidden="1" outlineLevel="1" x14ac:dyDescent="0.3">
      <c r="C102" s="259">
        <v>23</v>
      </c>
      <c r="D102" s="642"/>
      <c r="E102" s="642"/>
      <c r="F102" s="642"/>
      <c r="G102" s="646"/>
      <c r="H102" s="646"/>
      <c r="I102" s="646"/>
      <c r="J102" s="318"/>
      <c r="K102" s="320"/>
      <c r="L102" s="16" t="str">
        <f t="shared" si="3"/>
        <v/>
      </c>
    </row>
    <row r="103" spans="3:13" hidden="1" outlineLevel="1" x14ac:dyDescent="0.3">
      <c r="C103" s="259">
        <v>24</v>
      </c>
      <c r="D103" s="642"/>
      <c r="E103" s="642"/>
      <c r="F103" s="642"/>
      <c r="G103" s="646"/>
      <c r="H103" s="646"/>
      <c r="I103" s="646"/>
      <c r="J103" s="318"/>
      <c r="K103" s="320"/>
      <c r="L103" s="16" t="str">
        <f t="shared" si="3"/>
        <v/>
      </c>
    </row>
    <row r="104" spans="3:13" hidden="1" outlineLevel="1" x14ac:dyDescent="0.3">
      <c r="C104" s="259">
        <v>25</v>
      </c>
      <c r="D104" s="642"/>
      <c r="E104" s="642"/>
      <c r="F104" s="642"/>
      <c r="G104" s="646"/>
      <c r="H104" s="646"/>
      <c r="I104" s="646"/>
      <c r="J104" s="318"/>
      <c r="K104" s="320"/>
      <c r="L104" s="16" t="str">
        <f t="shared" si="3"/>
        <v/>
      </c>
    </row>
    <row r="105" spans="3:13" hidden="1" outlineLevel="1" x14ac:dyDescent="0.3">
      <c r="C105" s="259">
        <v>26</v>
      </c>
      <c r="D105" s="642"/>
      <c r="E105" s="642"/>
      <c r="F105" s="642"/>
      <c r="G105" s="646"/>
      <c r="H105" s="646"/>
      <c r="I105" s="646"/>
      <c r="J105" s="318"/>
      <c r="K105" s="320"/>
      <c r="L105" s="16" t="str">
        <f t="shared" si="3"/>
        <v/>
      </c>
    </row>
    <row r="106" spans="3:13" hidden="1" outlineLevel="1" x14ac:dyDescent="0.3">
      <c r="C106" s="259">
        <v>27</v>
      </c>
      <c r="D106" s="642"/>
      <c r="E106" s="642"/>
      <c r="F106" s="642"/>
      <c r="G106" s="646"/>
      <c r="H106" s="646"/>
      <c r="I106" s="646"/>
      <c r="J106" s="318"/>
      <c r="K106" s="320"/>
      <c r="L106" s="16" t="str">
        <f t="shared" si="3"/>
        <v/>
      </c>
    </row>
    <row r="107" spans="3:13" hidden="1" outlineLevel="1" x14ac:dyDescent="0.3">
      <c r="C107" s="259">
        <v>28</v>
      </c>
      <c r="D107" s="642"/>
      <c r="E107" s="642"/>
      <c r="F107" s="642"/>
      <c r="G107" s="646"/>
      <c r="H107" s="646"/>
      <c r="I107" s="646"/>
      <c r="J107" s="318"/>
      <c r="K107" s="320"/>
      <c r="L107" s="16" t="str">
        <f t="shared" si="3"/>
        <v/>
      </c>
    </row>
    <row r="108" spans="3:13" hidden="1" outlineLevel="1" x14ac:dyDescent="0.3">
      <c r="C108" s="259">
        <v>29</v>
      </c>
      <c r="D108" s="642"/>
      <c r="E108" s="642"/>
      <c r="F108" s="642"/>
      <c r="G108" s="646"/>
      <c r="H108" s="646"/>
      <c r="I108" s="646"/>
      <c r="J108" s="318"/>
      <c r="K108" s="320"/>
      <c r="L108" s="16" t="str">
        <f t="shared" si="3"/>
        <v/>
      </c>
      <c r="M108" s="140"/>
    </row>
    <row r="109" spans="3:13" hidden="1" outlineLevel="1" x14ac:dyDescent="0.3">
      <c r="C109" s="259">
        <v>30</v>
      </c>
      <c r="D109" s="642"/>
      <c r="E109" s="642"/>
      <c r="F109" s="642"/>
      <c r="G109" s="646"/>
      <c r="H109" s="646"/>
      <c r="I109" s="646"/>
      <c r="J109" s="318"/>
      <c r="K109" s="320"/>
      <c r="L109" s="16" t="str">
        <f t="shared" si="3"/>
        <v/>
      </c>
    </row>
    <row r="110" spans="3:13" hidden="1" outlineLevel="1" x14ac:dyDescent="0.3">
      <c r="C110" s="259">
        <v>31</v>
      </c>
      <c r="D110" s="642"/>
      <c r="E110" s="642"/>
      <c r="F110" s="642"/>
      <c r="G110" s="646"/>
      <c r="H110" s="646"/>
      <c r="I110" s="646"/>
      <c r="J110" s="318"/>
      <c r="K110" s="320"/>
      <c r="L110" s="16" t="str">
        <f t="shared" si="3"/>
        <v/>
      </c>
    </row>
    <row r="111" spans="3:13" hidden="1" outlineLevel="1" x14ac:dyDescent="0.3">
      <c r="C111" s="259">
        <v>32</v>
      </c>
      <c r="D111" s="642"/>
      <c r="E111" s="642"/>
      <c r="F111" s="642"/>
      <c r="G111" s="646"/>
      <c r="H111" s="646"/>
      <c r="I111" s="646"/>
      <c r="J111" s="318"/>
      <c r="K111" s="320"/>
      <c r="L111" s="16" t="str">
        <f t="shared" si="3"/>
        <v/>
      </c>
    </row>
    <row r="112" spans="3:13" hidden="1" outlineLevel="1" x14ac:dyDescent="0.3">
      <c r="C112" s="259">
        <v>33</v>
      </c>
      <c r="D112" s="642"/>
      <c r="E112" s="642"/>
      <c r="F112" s="642"/>
      <c r="G112" s="646"/>
      <c r="H112" s="646"/>
      <c r="I112" s="646"/>
      <c r="J112" s="318"/>
      <c r="K112" s="320"/>
      <c r="L112" s="16" t="str">
        <f t="shared" si="3"/>
        <v/>
      </c>
    </row>
    <row r="113" spans="3:12" hidden="1" outlineLevel="1" x14ac:dyDescent="0.3">
      <c r="C113" s="259">
        <v>34</v>
      </c>
      <c r="D113" s="642"/>
      <c r="E113" s="642"/>
      <c r="F113" s="642"/>
      <c r="G113" s="646"/>
      <c r="H113" s="646"/>
      <c r="I113" s="646"/>
      <c r="J113" s="318"/>
      <c r="K113" s="320"/>
      <c r="L113" s="16" t="str">
        <f t="shared" si="3"/>
        <v/>
      </c>
    </row>
    <row r="114" spans="3:12" hidden="1" outlineLevel="1" x14ac:dyDescent="0.3">
      <c r="C114" s="259">
        <v>35</v>
      </c>
      <c r="D114" s="642"/>
      <c r="E114" s="642"/>
      <c r="F114" s="642"/>
      <c r="G114" s="646"/>
      <c r="H114" s="646"/>
      <c r="I114" s="646"/>
      <c r="J114" s="318"/>
      <c r="K114" s="320"/>
      <c r="L114" s="16" t="str">
        <f t="shared" si="3"/>
        <v/>
      </c>
    </row>
    <row r="115" spans="3:12" hidden="1" outlineLevel="1" x14ac:dyDescent="0.3">
      <c r="C115" s="259">
        <v>36</v>
      </c>
      <c r="D115" s="642"/>
      <c r="E115" s="642"/>
      <c r="F115" s="642"/>
      <c r="G115" s="646"/>
      <c r="H115" s="646"/>
      <c r="I115" s="646"/>
      <c r="J115" s="318"/>
      <c r="K115" s="320"/>
      <c r="L115" s="16" t="str">
        <f t="shared" si="3"/>
        <v/>
      </c>
    </row>
    <row r="116" spans="3:12" hidden="1" outlineLevel="1" x14ac:dyDescent="0.3">
      <c r="C116" s="259">
        <v>37</v>
      </c>
      <c r="D116" s="642"/>
      <c r="E116" s="642"/>
      <c r="F116" s="642"/>
      <c r="G116" s="646"/>
      <c r="H116" s="646"/>
      <c r="I116" s="646"/>
      <c r="J116" s="318"/>
      <c r="K116" s="320"/>
      <c r="L116" s="16" t="str">
        <f t="shared" si="3"/>
        <v/>
      </c>
    </row>
    <row r="117" spans="3:12" hidden="1" outlineLevel="1" x14ac:dyDescent="0.3">
      <c r="C117" s="259">
        <v>38</v>
      </c>
      <c r="D117" s="642"/>
      <c r="E117" s="642"/>
      <c r="F117" s="642"/>
      <c r="G117" s="646"/>
      <c r="H117" s="646"/>
      <c r="I117" s="646"/>
      <c r="J117" s="318"/>
      <c r="K117" s="320"/>
      <c r="L117" s="16" t="str">
        <f t="shared" si="3"/>
        <v/>
      </c>
    </row>
    <row r="118" spans="3:12" hidden="1" outlineLevel="1" x14ac:dyDescent="0.3">
      <c r="C118" s="259">
        <v>39</v>
      </c>
      <c r="D118" s="642"/>
      <c r="E118" s="642"/>
      <c r="F118" s="642"/>
      <c r="G118" s="646"/>
      <c r="H118" s="646"/>
      <c r="I118" s="646"/>
      <c r="J118" s="318"/>
      <c r="K118" s="320"/>
      <c r="L118" s="16" t="str">
        <f t="shared" si="3"/>
        <v/>
      </c>
    </row>
    <row r="119" spans="3:12" ht="15" hidden="1" outlineLevel="1" thickBot="1" x14ac:dyDescent="0.35">
      <c r="C119" s="259">
        <v>40</v>
      </c>
      <c r="D119" s="642"/>
      <c r="E119" s="642"/>
      <c r="F119" s="642"/>
      <c r="G119" s="692"/>
      <c r="H119" s="692"/>
      <c r="I119" s="692"/>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72" t="str">
        <f>"B5 - Sites in biodiversity sensitive areas " &amp; template_reporting_period_display &amp; " [If applicable]"</f>
        <v>B5 - Sites in biodiversity sensitive areas from - to - [If applicable]</v>
      </c>
      <c r="D121" s="772"/>
      <c r="E121" s="772"/>
      <c r="F121" s="772"/>
      <c r="G121" s="772"/>
      <c r="H121" s="772"/>
      <c r="I121" s="772"/>
      <c r="J121" s="772"/>
      <c r="K121" s="773"/>
    </row>
    <row r="122" spans="3:12" x14ac:dyDescent="0.3">
      <c r="C122" s="514">
        <v>33</v>
      </c>
      <c r="D122" s="514"/>
      <c r="E122" s="514"/>
      <c r="F122" s="514"/>
      <c r="G122" s="514"/>
      <c r="H122" s="514"/>
      <c r="I122" s="514"/>
      <c r="J122" s="514"/>
      <c r="K122" s="683"/>
    </row>
    <row r="123" spans="3:12" x14ac:dyDescent="0.3">
      <c r="C123" s="511" t="s">
        <v>4765</v>
      </c>
      <c r="D123" s="511"/>
      <c r="E123" s="511"/>
      <c r="F123" s="511"/>
      <c r="G123" s="511"/>
      <c r="H123" s="511"/>
      <c r="I123" s="511"/>
      <c r="J123" s="511"/>
      <c r="K123" s="774"/>
    </row>
    <row r="124" spans="3:12" x14ac:dyDescent="0.3">
      <c r="C124" s="696" t="s">
        <v>3995</v>
      </c>
      <c r="D124" s="697"/>
      <c r="E124" s="697"/>
      <c r="F124" s="697"/>
      <c r="G124" s="698" t="b">
        <v>0</v>
      </c>
      <c r="H124" s="699"/>
      <c r="I124" s="699"/>
      <c r="J124" s="699"/>
      <c r="K124" s="700"/>
    </row>
    <row r="125" spans="3:12" x14ac:dyDescent="0.3">
      <c r="C125" s="684" t="s">
        <v>3797</v>
      </c>
      <c r="D125" s="685"/>
      <c r="E125" s="685"/>
      <c r="F125" s="685"/>
      <c r="G125" s="685"/>
      <c r="H125" s="685"/>
      <c r="I125" s="685"/>
      <c r="J125" s="685"/>
      <c r="K125" s="686"/>
    </row>
    <row r="126" spans="3:12" ht="15" thickBot="1" x14ac:dyDescent="0.35">
      <c r="C126" s="680"/>
      <c r="D126" s="681"/>
      <c r="E126" s="681"/>
      <c r="F126" s="681"/>
      <c r="G126" s="681"/>
      <c r="H126" s="681"/>
      <c r="I126" s="681"/>
      <c r="J126" s="681"/>
      <c r="K126" s="682"/>
      <c r="L126" s="17" t="str">
        <f>IF(AND(G124=TRUE,C126=""),"MISSING VALUE",IF(AND(G124=TRUE,C126&lt;&gt;""),"OK",""))</f>
        <v/>
      </c>
    </row>
    <row r="127" spans="3:12" ht="57.6" customHeight="1" x14ac:dyDescent="0.3">
      <c r="C127" s="142" t="s">
        <v>4477</v>
      </c>
      <c r="D127" s="689" t="s">
        <v>4481</v>
      </c>
      <c r="E127" s="690"/>
      <c r="F127" s="691"/>
      <c r="G127" s="689" t="s">
        <v>3795</v>
      </c>
      <c r="H127" s="690"/>
      <c r="I127" s="691"/>
      <c r="J127" s="267" t="s">
        <v>3632</v>
      </c>
      <c r="K127" s="268" t="s">
        <v>3633</v>
      </c>
    </row>
    <row r="128" spans="3:12" x14ac:dyDescent="0.3">
      <c r="C128" s="259"/>
      <c r="D128" s="799"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
      </c>
      <c r="E128" s="800"/>
      <c r="F128" s="801"/>
      <c r="G128" s="647"/>
      <c r="H128" s="648"/>
      <c r="I128" s="648"/>
      <c r="J128" s="272" t="b">
        <v>0</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
      </c>
    </row>
    <row r="129" spans="3:17" x14ac:dyDescent="0.3">
      <c r="C129" s="260"/>
      <c r="D129" s="654"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55"/>
      <c r="F129" s="656"/>
      <c r="G129" s="647"/>
      <c r="H129" s="648"/>
      <c r="I129" s="648"/>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830"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831"/>
      <c r="F130" s="832"/>
      <c r="G130" s="775"/>
      <c r="H130" s="775"/>
      <c r="I130" s="775"/>
      <c r="J130" s="273" t="b">
        <v>0</v>
      </c>
      <c r="K130" s="271" t="b">
        <v>0</v>
      </c>
      <c r="L130" s="17" t="str">
        <f t="shared" si="4"/>
        <v/>
      </c>
    </row>
    <row r="131" spans="3:17" hidden="1" outlineLevel="1" x14ac:dyDescent="0.3">
      <c r="C131" s="260"/>
      <c r="D131" s="867"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868"/>
      <c r="F131" s="869"/>
      <c r="G131" s="776"/>
      <c r="H131" s="777"/>
      <c r="I131" s="778"/>
      <c r="J131" s="274" t="b">
        <v>0</v>
      </c>
      <c r="K131" s="269" t="b">
        <v>0</v>
      </c>
      <c r="L131" s="17" t="str">
        <f t="shared" si="4"/>
        <v/>
      </c>
      <c r="M131" s="10"/>
      <c r="N131" s="10"/>
      <c r="O131" s="10"/>
      <c r="P131" s="10"/>
      <c r="Q131" s="10"/>
    </row>
    <row r="132" spans="3:17" hidden="1" outlineLevel="1" x14ac:dyDescent="0.3">
      <c r="C132" s="260"/>
      <c r="D132" s="654"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55"/>
      <c r="F132" s="656"/>
      <c r="G132" s="647"/>
      <c r="H132" s="648"/>
      <c r="I132" s="649"/>
      <c r="J132" s="275" t="b">
        <v>0</v>
      </c>
      <c r="K132" s="270" t="b">
        <v>0</v>
      </c>
      <c r="L132" s="17" t="str">
        <f t="shared" si="4"/>
        <v/>
      </c>
      <c r="M132" s="10"/>
      <c r="N132" s="10"/>
      <c r="O132" s="10"/>
      <c r="P132" s="10"/>
      <c r="Q132" s="10"/>
    </row>
    <row r="133" spans="3:17" hidden="1" outlineLevel="1" x14ac:dyDescent="0.3">
      <c r="C133" s="260"/>
      <c r="D133" s="654"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55"/>
      <c r="F133" s="656"/>
      <c r="G133" s="647"/>
      <c r="H133" s="648"/>
      <c r="I133" s="649"/>
      <c r="J133" s="275" t="b">
        <v>0</v>
      </c>
      <c r="K133" s="270" t="b">
        <v>0</v>
      </c>
      <c r="L133" s="17" t="str">
        <f t="shared" si="4"/>
        <v/>
      </c>
      <c r="M133" s="10"/>
      <c r="N133" s="10"/>
      <c r="O133" s="10"/>
      <c r="P133" s="10"/>
      <c r="Q133" s="10"/>
    </row>
    <row r="134" spans="3:17" hidden="1" outlineLevel="1" x14ac:dyDescent="0.3">
      <c r="C134" s="260"/>
      <c r="D134" s="654"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55"/>
      <c r="F134" s="656"/>
      <c r="G134" s="647"/>
      <c r="H134" s="648"/>
      <c r="I134" s="649"/>
      <c r="J134" s="275" t="b">
        <v>0</v>
      </c>
      <c r="K134" s="270" t="b">
        <v>0</v>
      </c>
      <c r="L134" s="17" t="str">
        <f t="shared" si="4"/>
        <v/>
      </c>
      <c r="M134" s="10"/>
      <c r="N134" s="10"/>
      <c r="O134" s="10"/>
      <c r="P134" s="10"/>
      <c r="Q134" s="10"/>
    </row>
    <row r="135" spans="3:17" hidden="1" outlineLevel="1" x14ac:dyDescent="0.3">
      <c r="C135" s="260"/>
      <c r="D135" s="654"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55"/>
      <c r="F135" s="656"/>
      <c r="G135" s="647"/>
      <c r="H135" s="648"/>
      <c r="I135" s="649"/>
      <c r="J135" s="275" t="b">
        <v>0</v>
      </c>
      <c r="K135" s="270" t="b">
        <v>0</v>
      </c>
      <c r="L135" s="17" t="str">
        <f t="shared" si="4"/>
        <v/>
      </c>
      <c r="M135" s="10"/>
      <c r="N135" s="10"/>
      <c r="O135" s="10"/>
      <c r="P135" s="10"/>
      <c r="Q135" s="10"/>
    </row>
    <row r="136" spans="3:17" hidden="1" outlineLevel="1" x14ac:dyDescent="0.3">
      <c r="C136" s="260"/>
      <c r="D136" s="654"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55"/>
      <c r="F136" s="656"/>
      <c r="G136" s="647"/>
      <c r="H136" s="648"/>
      <c r="I136" s="649"/>
      <c r="J136" s="275" t="b">
        <v>0</v>
      </c>
      <c r="K136" s="270" t="b">
        <v>0</v>
      </c>
      <c r="L136" s="17" t="str">
        <f t="shared" si="4"/>
        <v/>
      </c>
      <c r="M136" s="10"/>
      <c r="N136" s="10"/>
      <c r="O136" s="10"/>
      <c r="P136" s="10"/>
      <c r="Q136" s="10"/>
    </row>
    <row r="137" spans="3:17" hidden="1" outlineLevel="1" x14ac:dyDescent="0.3">
      <c r="C137" s="260"/>
      <c r="D137" s="654"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55"/>
      <c r="F137" s="656"/>
      <c r="G137" s="647"/>
      <c r="H137" s="648"/>
      <c r="I137" s="649"/>
      <c r="J137" s="275" t="b">
        <v>0</v>
      </c>
      <c r="K137" s="270" t="b">
        <v>0</v>
      </c>
      <c r="L137" s="17" t="str">
        <f t="shared" si="4"/>
        <v/>
      </c>
      <c r="M137" s="10"/>
      <c r="N137" s="10"/>
      <c r="O137" s="10"/>
      <c r="P137" s="10"/>
      <c r="Q137" s="10"/>
    </row>
    <row r="138" spans="3:17" hidden="1" outlineLevel="1" x14ac:dyDescent="0.3">
      <c r="C138" s="260"/>
      <c r="D138" s="654"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55"/>
      <c r="F138" s="656"/>
      <c r="G138" s="647"/>
      <c r="H138" s="648"/>
      <c r="I138" s="649"/>
      <c r="J138" s="275" t="b">
        <v>0</v>
      </c>
      <c r="K138" s="270" t="b">
        <v>0</v>
      </c>
      <c r="L138" s="17" t="str">
        <f t="shared" si="4"/>
        <v/>
      </c>
      <c r="M138" s="10"/>
      <c r="N138" s="10"/>
      <c r="O138" s="10"/>
      <c r="P138" s="10"/>
      <c r="Q138" s="10"/>
    </row>
    <row r="139" spans="3:17" hidden="1" outlineLevel="1" x14ac:dyDescent="0.3">
      <c r="C139" s="260"/>
      <c r="D139" s="654"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55"/>
      <c r="F139" s="656"/>
      <c r="G139" s="647"/>
      <c r="H139" s="648"/>
      <c r="I139" s="649"/>
      <c r="J139" s="275" t="b">
        <v>0</v>
      </c>
      <c r="K139" s="270" t="b">
        <v>0</v>
      </c>
      <c r="L139" s="17" t="str">
        <f t="shared" si="4"/>
        <v/>
      </c>
      <c r="M139" s="10"/>
      <c r="N139" s="10"/>
      <c r="O139" s="10"/>
      <c r="P139" s="10"/>
      <c r="Q139" s="10"/>
    </row>
    <row r="140" spans="3:17" hidden="1" outlineLevel="1" x14ac:dyDescent="0.3">
      <c r="C140" s="260"/>
      <c r="D140" s="654"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55"/>
      <c r="F140" s="656"/>
      <c r="G140" s="647"/>
      <c r="H140" s="648"/>
      <c r="I140" s="649"/>
      <c r="J140" s="275" t="b">
        <v>0</v>
      </c>
      <c r="K140" s="270" t="b">
        <v>0</v>
      </c>
      <c r="L140" s="17" t="str">
        <f t="shared" si="4"/>
        <v/>
      </c>
      <c r="M140" s="10"/>
      <c r="N140" s="10"/>
      <c r="O140" s="10"/>
      <c r="P140" s="10"/>
      <c r="Q140" s="10"/>
    </row>
    <row r="141" spans="3:17" hidden="1" outlineLevel="1" x14ac:dyDescent="0.3">
      <c r="C141" s="260"/>
      <c r="D141" s="654"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55"/>
      <c r="F141" s="656"/>
      <c r="G141" s="647"/>
      <c r="H141" s="648"/>
      <c r="I141" s="649"/>
      <c r="J141" s="275" t="b">
        <v>0</v>
      </c>
      <c r="K141" s="270" t="b">
        <v>0</v>
      </c>
      <c r="L141" s="17" t="str">
        <f t="shared" si="4"/>
        <v/>
      </c>
      <c r="M141" s="10"/>
      <c r="N141" s="10"/>
      <c r="O141" s="10"/>
      <c r="P141" s="10"/>
      <c r="Q141" s="10"/>
    </row>
    <row r="142" spans="3:17" hidden="1" outlineLevel="1" x14ac:dyDescent="0.3">
      <c r="C142" s="260"/>
      <c r="D142" s="654"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55"/>
      <c r="F142" s="656"/>
      <c r="G142" s="647"/>
      <c r="H142" s="648"/>
      <c r="I142" s="649"/>
      <c r="J142" s="275" t="b">
        <v>0</v>
      </c>
      <c r="K142" s="270" t="b">
        <v>0</v>
      </c>
      <c r="L142" s="17" t="str">
        <f t="shared" si="4"/>
        <v/>
      </c>
      <c r="M142" s="10"/>
      <c r="N142" s="10"/>
      <c r="O142" s="10"/>
      <c r="P142" s="10"/>
      <c r="Q142" s="10"/>
    </row>
    <row r="143" spans="3:17" hidden="1" outlineLevel="1" x14ac:dyDescent="0.3">
      <c r="C143" s="260"/>
      <c r="D143" s="654"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55"/>
      <c r="F143" s="656"/>
      <c r="G143" s="647"/>
      <c r="H143" s="648"/>
      <c r="I143" s="649"/>
      <c r="J143" s="275" t="b">
        <v>0</v>
      </c>
      <c r="K143" s="270" t="b">
        <v>0</v>
      </c>
      <c r="L143" s="17" t="str">
        <f t="shared" si="4"/>
        <v/>
      </c>
      <c r="M143" s="10"/>
      <c r="N143" s="10"/>
      <c r="O143" s="10"/>
      <c r="P143" s="10"/>
      <c r="Q143" s="10"/>
    </row>
    <row r="144" spans="3:17" hidden="1" outlineLevel="1" x14ac:dyDescent="0.3">
      <c r="C144" s="260"/>
      <c r="D144" s="654"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55"/>
      <c r="F144" s="656"/>
      <c r="G144" s="647"/>
      <c r="H144" s="648"/>
      <c r="I144" s="649"/>
      <c r="J144" s="275" t="b">
        <v>0</v>
      </c>
      <c r="K144" s="270" t="b">
        <v>0</v>
      </c>
      <c r="L144" s="17" t="str">
        <f t="shared" si="4"/>
        <v/>
      </c>
      <c r="M144" s="10"/>
      <c r="N144" s="10"/>
      <c r="O144" s="10"/>
      <c r="P144" s="10"/>
      <c r="Q144" s="10"/>
    </row>
    <row r="145" spans="3:17" hidden="1" outlineLevel="1" x14ac:dyDescent="0.3">
      <c r="C145" s="260"/>
      <c r="D145" s="654"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55"/>
      <c r="F145" s="656"/>
      <c r="G145" s="647"/>
      <c r="H145" s="648"/>
      <c r="I145" s="649"/>
      <c r="J145" s="275" t="b">
        <v>0</v>
      </c>
      <c r="K145" s="270" t="b">
        <v>0</v>
      </c>
      <c r="L145" s="17" t="str">
        <f t="shared" si="4"/>
        <v/>
      </c>
      <c r="M145" s="10"/>
      <c r="N145" s="10"/>
      <c r="O145" s="10"/>
      <c r="P145" s="10"/>
      <c r="Q145" s="10"/>
    </row>
    <row r="146" spans="3:17" hidden="1" outlineLevel="1" x14ac:dyDescent="0.3">
      <c r="C146" s="260"/>
      <c r="D146" s="654"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55"/>
      <c r="F146" s="656"/>
      <c r="G146" s="647"/>
      <c r="H146" s="648"/>
      <c r="I146" s="649"/>
      <c r="J146" s="275" t="b">
        <v>0</v>
      </c>
      <c r="K146" s="270" t="b">
        <v>0</v>
      </c>
      <c r="L146" s="17" t="str">
        <f t="shared" si="4"/>
        <v/>
      </c>
      <c r="M146" s="10"/>
      <c r="N146" s="10"/>
      <c r="O146" s="10"/>
      <c r="P146" s="10"/>
      <c r="Q146" s="10"/>
    </row>
    <row r="147" spans="3:17" hidden="1" outlineLevel="1" x14ac:dyDescent="0.3">
      <c r="C147" s="260"/>
      <c r="D147" s="654"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55"/>
      <c r="F147" s="656"/>
      <c r="G147" s="647"/>
      <c r="H147" s="648"/>
      <c r="I147" s="649"/>
      <c r="J147" s="275" t="b">
        <v>0</v>
      </c>
      <c r="K147" s="270" t="b">
        <v>0</v>
      </c>
      <c r="L147" s="17" t="str">
        <f t="shared" si="4"/>
        <v/>
      </c>
      <c r="M147" s="10"/>
      <c r="N147" s="10"/>
      <c r="O147" s="10"/>
      <c r="P147" s="10"/>
      <c r="Q147" s="10"/>
    </row>
    <row r="148" spans="3:17" hidden="1" outlineLevel="1" x14ac:dyDescent="0.3">
      <c r="C148" s="260"/>
      <c r="D148" s="654"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55"/>
      <c r="F148" s="656"/>
      <c r="G148" s="647"/>
      <c r="H148" s="648"/>
      <c r="I148" s="649"/>
      <c r="J148" s="275" t="b">
        <v>0</v>
      </c>
      <c r="K148" s="270" t="b">
        <v>0</v>
      </c>
      <c r="L148" s="17" t="str">
        <f t="shared" si="4"/>
        <v/>
      </c>
      <c r="M148" s="10"/>
      <c r="N148" s="10"/>
      <c r="O148" s="10"/>
      <c r="P148" s="10"/>
      <c r="Q148" s="10"/>
    </row>
    <row r="149" spans="3:17" hidden="1" outlineLevel="1" x14ac:dyDescent="0.3">
      <c r="C149" s="260"/>
      <c r="D149" s="654"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55"/>
      <c r="F149" s="656"/>
      <c r="G149" s="647"/>
      <c r="H149" s="648"/>
      <c r="I149" s="649"/>
      <c r="J149" s="275" t="b">
        <v>0</v>
      </c>
      <c r="K149" s="270" t="b">
        <v>0</v>
      </c>
      <c r="L149" s="17" t="str">
        <f t="shared" si="4"/>
        <v/>
      </c>
      <c r="M149" s="10"/>
      <c r="N149" s="10"/>
      <c r="O149" s="10"/>
      <c r="P149" s="10"/>
      <c r="Q149" s="10"/>
    </row>
    <row r="150" spans="3:17" hidden="1" outlineLevel="1" x14ac:dyDescent="0.3">
      <c r="C150" s="260"/>
      <c r="D150" s="654"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55"/>
      <c r="F150" s="656"/>
      <c r="G150" s="647"/>
      <c r="H150" s="648"/>
      <c r="I150" s="649"/>
      <c r="J150" s="275" t="b">
        <v>0</v>
      </c>
      <c r="K150" s="270" t="b">
        <v>0</v>
      </c>
      <c r="L150" s="17" t="str">
        <f t="shared" si="4"/>
        <v/>
      </c>
      <c r="M150" s="10"/>
      <c r="N150" s="10"/>
      <c r="O150" s="10"/>
      <c r="P150" s="10"/>
      <c r="Q150" s="10"/>
    </row>
    <row r="151" spans="3:17" hidden="1" outlineLevel="1" x14ac:dyDescent="0.3">
      <c r="C151" s="260"/>
      <c r="D151" s="654"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55"/>
      <c r="F151" s="656"/>
      <c r="G151" s="647"/>
      <c r="H151" s="648"/>
      <c r="I151" s="649"/>
      <c r="J151" s="275" t="b">
        <v>0</v>
      </c>
      <c r="K151" s="270" t="b">
        <v>0</v>
      </c>
      <c r="L151" s="17" t="str">
        <f t="shared" si="4"/>
        <v/>
      </c>
      <c r="M151" s="10"/>
      <c r="N151" s="10"/>
      <c r="O151" s="10"/>
      <c r="P151" s="10"/>
      <c r="Q151" s="10"/>
    </row>
    <row r="152" spans="3:17" hidden="1" outlineLevel="1" x14ac:dyDescent="0.3">
      <c r="C152" s="260"/>
      <c r="D152" s="654"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55"/>
      <c r="F152" s="656"/>
      <c r="G152" s="669"/>
      <c r="H152" s="648"/>
      <c r="I152" s="649"/>
      <c r="J152" s="275" t="b">
        <v>0</v>
      </c>
      <c r="K152" s="270" t="b">
        <v>0</v>
      </c>
      <c r="L152" s="17" t="str">
        <f t="shared" si="4"/>
        <v/>
      </c>
      <c r="M152" s="10"/>
      <c r="N152" s="10"/>
      <c r="O152" s="10"/>
      <c r="P152" s="10"/>
      <c r="Q152" s="10"/>
    </row>
    <row r="153" spans="3:17" ht="15" hidden="1" outlineLevel="1" thickBot="1" x14ac:dyDescent="0.35">
      <c r="C153" s="262"/>
      <c r="D153" s="654"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55"/>
      <c r="F153" s="656"/>
      <c r="G153" s="833"/>
      <c r="H153" s="775"/>
      <c r="I153" s="834"/>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598" t="str">
        <f>"B5 - Biodiversity - Land-use  " &amp; template_reporting_period_display &amp; "  [May (optional)]"</f>
        <v>B5 - Biodiversity - Land-use  from - to -  [May (optional)]</v>
      </c>
      <c r="D155" s="599"/>
      <c r="E155" s="599"/>
      <c r="F155" s="600"/>
    </row>
    <row r="156" spans="3:17" x14ac:dyDescent="0.3">
      <c r="C156" s="514">
        <v>34</v>
      </c>
      <c r="D156" s="515"/>
      <c r="E156" s="515"/>
      <c r="F156" s="516"/>
    </row>
    <row r="157" spans="3:17" x14ac:dyDescent="0.3">
      <c r="C157" s="511" t="s">
        <v>4766</v>
      </c>
      <c r="D157" s="512"/>
      <c r="E157" s="512"/>
      <c r="F157" s="513"/>
    </row>
    <row r="158" spans="3:17" ht="16.95" customHeight="1" x14ac:dyDescent="0.3">
      <c r="C158" s="768" t="s">
        <v>3797</v>
      </c>
      <c r="D158" s="663"/>
      <c r="E158" s="663"/>
      <c r="F158" s="664"/>
    </row>
    <row r="159" spans="3:17" x14ac:dyDescent="0.3">
      <c r="C159" s="769"/>
      <c r="D159" s="770"/>
      <c r="E159" s="770"/>
      <c r="F159" s="771"/>
      <c r="G159" s="16" t="str">
        <f>IF(C159&lt;&gt;"","OK",IF(AND(OR(D161&lt;&gt;"",D162&lt;&gt;"",D163&lt;&gt;"",D164&lt;&gt;""),C159=""),"MISSING VALUE",""))</f>
        <v/>
      </c>
      <c r="H159" s="144"/>
      <c r="K159" s="16"/>
    </row>
    <row r="160" spans="3:17" x14ac:dyDescent="0.3">
      <c r="C160" s="145" t="s">
        <v>22</v>
      </c>
      <c r="D160" s="663" t="s">
        <v>4454</v>
      </c>
      <c r="E160" s="663"/>
      <c r="F160" s="664"/>
      <c r="G160" s="16"/>
      <c r="H160" s="144"/>
      <c r="K160" s="16"/>
    </row>
    <row r="161" spans="3:12" x14ac:dyDescent="0.3">
      <c r="C161" s="146" t="s">
        <v>23</v>
      </c>
      <c r="D161" s="665"/>
      <c r="E161" s="665"/>
      <c r="F161" s="666"/>
      <c r="G161" s="651" t="str">
        <f>IF(AND(G159="OK",COUNTIF(D161:F164,"&lt;&gt;")&gt;0),
"OK",
IF(AND(G159="OK",COUNTA(D161:F164)=0),
"MISSING VALUE",IF(AND(G159="MISSING VALUE",COUNTIF(D161:F164,"&lt;&gt;")&gt;0),"VALUE INCONSISTENCY",
""
)
))</f>
        <v/>
      </c>
      <c r="H161" s="147"/>
      <c r="K161" s="16"/>
    </row>
    <row r="162" spans="3:12" x14ac:dyDescent="0.3">
      <c r="C162" s="148" t="s">
        <v>24</v>
      </c>
      <c r="D162" s="657"/>
      <c r="E162" s="658"/>
      <c r="F162" s="659"/>
      <c r="G162" s="651"/>
      <c r="H162" s="147"/>
      <c r="K162" s="16"/>
    </row>
    <row r="163" spans="3:12" x14ac:dyDescent="0.3">
      <c r="C163" s="148" t="s">
        <v>25</v>
      </c>
      <c r="D163" s="657"/>
      <c r="E163" s="658"/>
      <c r="F163" s="659"/>
      <c r="G163" s="651"/>
      <c r="H163" s="147"/>
      <c r="K163" s="16"/>
    </row>
    <row r="164" spans="3:12" ht="15" thickBot="1" x14ac:dyDescent="0.35">
      <c r="C164" s="135" t="s">
        <v>26</v>
      </c>
      <c r="D164" s="660"/>
      <c r="E164" s="661"/>
      <c r="F164" s="662"/>
      <c r="G164" s="651"/>
      <c r="H164" s="147"/>
      <c r="K164" s="16"/>
    </row>
    <row r="165" spans="3:12" ht="15" thickBot="1" x14ac:dyDescent="0.35"/>
    <row r="166" spans="3:12" x14ac:dyDescent="0.3">
      <c r="C166" s="598" t="str">
        <f xml:space="preserve"> "B6 - Water Withdrawal " &amp; template_reporting_period_display &amp; " [Always to be reported]"</f>
        <v>B6 - Water Withdrawal from - to - [Always to be reported]</v>
      </c>
      <c r="D166" s="824"/>
      <c r="E166" s="15"/>
      <c r="F166" s="15"/>
      <c r="G166" s="16"/>
      <c r="H166" s="16"/>
      <c r="I166" s="16"/>
      <c r="K166" s="16"/>
    </row>
    <row r="167" spans="3:12" x14ac:dyDescent="0.3">
      <c r="C167" s="514">
        <v>35</v>
      </c>
      <c r="D167" s="683"/>
      <c r="E167" s="149"/>
      <c r="F167" s="149"/>
      <c r="G167" s="16"/>
      <c r="H167" s="16"/>
      <c r="I167" s="16"/>
    </row>
    <row r="168" spans="3:12" x14ac:dyDescent="0.3">
      <c r="C168" s="511" t="s">
        <v>4767</v>
      </c>
      <c r="D168" s="774"/>
      <c r="E168" s="150"/>
      <c r="F168" s="150"/>
      <c r="G168" s="16"/>
      <c r="H168" s="16"/>
      <c r="I168" s="16"/>
      <c r="K168" s="53"/>
      <c r="L168" s="53"/>
    </row>
    <row r="169" spans="3:12" x14ac:dyDescent="0.3">
      <c r="C169" s="121" t="s">
        <v>4568</v>
      </c>
      <c r="D169" s="326"/>
      <c r="E169" s="825" t="str">
        <f>IF(AND(OR('General Information'!E32="Option A (Basic Module only)", 'General Information'!E32="Option B (Basic Module and Comprehensive Module)"),TotalAmountOfWaterWithdrawnFromAllSites=""),"MISSING VALUE",IF('General Information'!E32="","","OK"))</f>
        <v/>
      </c>
      <c r="F169" s="826"/>
      <c r="G169" s="16"/>
      <c r="H169" s="16"/>
      <c r="I169" s="16"/>
    </row>
    <row r="170" spans="3:12" ht="15" thickBot="1" x14ac:dyDescent="0.35">
      <c r="C170" s="151" t="s">
        <v>4569</v>
      </c>
      <c r="D170" s="327"/>
      <c r="E170" s="795" t="str">
        <f>IF(AND(OR('General Information'!E32="Option A (Basic Module only)", 'General Information'!E32="Option B (Basic Module and Comprehensive Module)"),AmountOfWaterWithdrawnAtSitesLocatedInAreasOfHighWaterStress=""),"MISSING VALUE",IF('General Information'!E32="","","OK"))</f>
        <v/>
      </c>
      <c r="F170" s="796"/>
      <c r="G170" s="16"/>
      <c r="H170" s="16"/>
      <c r="I170" s="16"/>
    </row>
    <row r="171" spans="3:12" ht="15" thickBot="1" x14ac:dyDescent="0.35">
      <c r="K171" s="39"/>
    </row>
    <row r="172" spans="3:12" x14ac:dyDescent="0.3">
      <c r="C172" s="598" t="str">
        <f xml:space="preserve"> "B6 - Water Consumption " &amp; template_reporting_period_display &amp; " [If applicable]"</f>
        <v>B6 - Water Consumption from - to - [If applicable]</v>
      </c>
      <c r="D172" s="824"/>
      <c r="E172" s="15"/>
      <c r="F172" s="15"/>
    </row>
    <row r="173" spans="3:12" x14ac:dyDescent="0.3">
      <c r="C173" s="634">
        <v>36</v>
      </c>
      <c r="D173" s="636"/>
      <c r="E173" s="149"/>
      <c r="F173" s="149"/>
    </row>
    <row r="174" spans="3:12" x14ac:dyDescent="0.3">
      <c r="C174" s="511" t="s">
        <v>4768</v>
      </c>
      <c r="D174" s="513"/>
      <c r="E174" s="150"/>
      <c r="F174" s="150"/>
    </row>
    <row r="175" spans="3:12" ht="50.7" customHeight="1" x14ac:dyDescent="0.3">
      <c r="C175" s="153" t="s">
        <v>4812</v>
      </c>
      <c r="D175" s="168" t="b">
        <v>0</v>
      </c>
      <c r="E175" s="152"/>
      <c r="F175" s="152"/>
      <c r="G175" s="16"/>
      <c r="H175" s="16"/>
      <c r="I175" s="16"/>
    </row>
    <row r="176" spans="3:12" ht="15" thickBot="1" x14ac:dyDescent="0.35">
      <c r="C176" s="151" t="s">
        <v>4455</v>
      </c>
      <c r="D176" s="344"/>
      <c r="E176" s="796" t="str">
        <f>IF(AND(D175=TRUE,D176=""),"MISSING VALUE",IF(AND(D175=TRUE,D176&lt;&gt;""),"OK",""))</f>
        <v/>
      </c>
      <c r="F176" s="796"/>
      <c r="G176" s="16"/>
      <c r="H176" s="16"/>
      <c r="I176" s="16"/>
    </row>
    <row r="177" spans="3:13" ht="21" customHeight="1" thickBot="1" x14ac:dyDescent="0.35">
      <c r="C177" s="154" t="s">
        <v>4567</v>
      </c>
      <c r="D177" s="345" t="str">
        <f>IF(D176&lt;&gt;"",$D$169-$D$176,"-")</f>
        <v>-</v>
      </c>
      <c r="E177" s="155"/>
      <c r="F177" s="155"/>
    </row>
    <row r="178" spans="3:13" ht="15" thickBot="1" x14ac:dyDescent="0.35"/>
    <row r="179" spans="3:13" x14ac:dyDescent="0.3">
      <c r="C179" s="631" t="str">
        <f xml:space="preserve"> "B7 - Description of circular economy principles " &amp; template_reporting_period_display &amp; " [Always to be reported]"</f>
        <v>B7 - Description of circular economy principles from - to - [Always to be reported]</v>
      </c>
      <c r="D179" s="632"/>
      <c r="E179" s="797"/>
      <c r="F179" s="797"/>
      <c r="G179" s="633"/>
      <c r="H179" s="16"/>
      <c r="I179" s="16"/>
    </row>
    <row r="180" spans="3:13" x14ac:dyDescent="0.3">
      <c r="C180" s="634">
        <v>37</v>
      </c>
      <c r="D180" s="635"/>
      <c r="E180" s="798"/>
      <c r="F180" s="798"/>
      <c r="G180" s="636"/>
      <c r="H180" s="156"/>
      <c r="I180" s="156"/>
    </row>
    <row r="181" spans="3:13" x14ac:dyDescent="0.3">
      <c r="C181" s="628">
        <v>159</v>
      </c>
      <c r="D181" s="629"/>
      <c r="E181" s="556"/>
      <c r="F181" s="556"/>
      <c r="G181" s="630"/>
      <c r="H181" s="157"/>
      <c r="I181" s="157"/>
    </row>
    <row r="182" spans="3:13" x14ac:dyDescent="0.3">
      <c r="C182" s="119" t="s">
        <v>4466</v>
      </c>
      <c r="D182" s="827"/>
      <c r="E182" s="828"/>
      <c r="F182" s="828"/>
      <c r="G182" s="829"/>
      <c r="H182" s="674" t="str">
        <f>IF(AND(OR('General Information'!E32="Option A (Basic Module only)", 'General Information'!E32="Option B (Basic Module and Comprehensive Module)"),UndertakingAppliesCircularEconomyPrinciples=""),"MISSING VALUE",IF('General Information'!E32="","","OK"))</f>
        <v/>
      </c>
      <c r="I182" s="498"/>
      <c r="J182" s="16"/>
    </row>
    <row r="183" spans="3:13" ht="15" thickBot="1" x14ac:dyDescent="0.35">
      <c r="C183" s="138" t="s">
        <v>3637</v>
      </c>
      <c r="D183" s="587"/>
      <c r="E183" s="595"/>
      <c r="F183" s="595"/>
      <c r="G183" s="588"/>
      <c r="H183" s="674" t="str">
        <f>IF(AND(D182="YES",D183=""),"MISSING VALUE",IF(AND(D182="YES",D183&lt;&gt;""),"OK",IF(AND(D182="NO",D183&lt;&gt;""),"VALUE INCONSISTENCY","")))</f>
        <v/>
      </c>
      <c r="I183" s="498"/>
      <c r="J183" s="16"/>
    </row>
    <row r="184" spans="3:13" ht="15" thickBot="1" x14ac:dyDescent="0.35"/>
    <row r="185" spans="3:13" x14ac:dyDescent="0.3">
      <c r="C185" s="631" t="str">
        <f>"B7 - Waste generated " &amp; template_reporting_period_display &amp; " [Always to be reported]"</f>
        <v>B7 - Waste generated from - to - [Always to be reported]</v>
      </c>
      <c r="D185" s="632"/>
      <c r="E185" s="632"/>
      <c r="F185" s="632"/>
      <c r="G185" s="632"/>
      <c r="H185" s="632"/>
      <c r="I185" s="632"/>
      <c r="J185" s="632"/>
      <c r="K185" s="632"/>
      <c r="L185" s="633"/>
    </row>
    <row r="186" spans="3:13" x14ac:dyDescent="0.3">
      <c r="C186" s="634" t="s">
        <v>4732</v>
      </c>
      <c r="D186" s="635"/>
      <c r="E186" s="635"/>
      <c r="F186" s="635"/>
      <c r="G186" s="635"/>
      <c r="H186" s="635"/>
      <c r="I186" s="635"/>
      <c r="J186" s="635"/>
      <c r="K186" s="635"/>
      <c r="L186" s="636"/>
    </row>
    <row r="187" spans="3:13" x14ac:dyDescent="0.3">
      <c r="C187" s="628" t="s">
        <v>4769</v>
      </c>
      <c r="D187" s="629"/>
      <c r="E187" s="629"/>
      <c r="F187" s="629"/>
      <c r="G187" s="629"/>
      <c r="H187" s="629"/>
      <c r="I187" s="629"/>
      <c r="J187" s="629"/>
      <c r="K187" s="629"/>
      <c r="L187" s="630"/>
    </row>
    <row r="188" spans="3:13" ht="49.2" customHeight="1" x14ac:dyDescent="0.3">
      <c r="C188" s="158" t="s">
        <v>20</v>
      </c>
      <c r="D188" s="713" t="s">
        <v>2781</v>
      </c>
      <c r="E188" s="713"/>
      <c r="F188" s="713"/>
      <c r="G188" s="715" t="s">
        <v>2777</v>
      </c>
      <c r="H188" s="715"/>
      <c r="I188" s="715"/>
      <c r="J188" s="159" t="s">
        <v>4476</v>
      </c>
      <c r="K188" s="160" t="s">
        <v>3804</v>
      </c>
      <c r="L188" s="161" t="s">
        <v>3805</v>
      </c>
    </row>
    <row r="189" spans="3:13" x14ac:dyDescent="0.3">
      <c r="C189" s="444">
        <v>1</v>
      </c>
      <c r="D189" s="670"/>
      <c r="E189" s="670"/>
      <c r="F189" s="670"/>
      <c r="G189" s="650"/>
      <c r="H189" s="650"/>
      <c r="I189" s="650"/>
      <c r="J189" s="328"/>
      <c r="K189" s="329"/>
      <c r="L189" s="330" t="str">
        <f>IF(AND(D189="",J189="",K189=""),"-",SUM(J189:K189))</f>
        <v>-</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
      </c>
    </row>
    <row r="190" spans="3:13" x14ac:dyDescent="0.3">
      <c r="C190" s="444">
        <v>2</v>
      </c>
      <c r="D190" s="670"/>
      <c r="E190" s="670"/>
      <c r="F190" s="670"/>
      <c r="G190" s="650"/>
      <c r="H190" s="650"/>
      <c r="I190" s="650"/>
      <c r="J190" s="331"/>
      <c r="K190" s="331"/>
      <c r="L190" s="332" t="str">
        <f t="shared" ref="L190:L203" si="5">IF(AND(D190="",J190="",K190=""),"-",SUM(J190:K190))</f>
        <v>-</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
      </c>
    </row>
    <row r="191" spans="3:13" ht="15" thickBot="1" x14ac:dyDescent="0.35">
      <c r="C191" s="445">
        <v>3</v>
      </c>
      <c r="D191" s="712"/>
      <c r="E191" s="712"/>
      <c r="F191" s="712"/>
      <c r="G191" s="694"/>
      <c r="H191" s="694"/>
      <c r="I191" s="694"/>
      <c r="J191" s="333"/>
      <c r="K191" s="333"/>
      <c r="L191" s="334" t="str">
        <f t="shared" si="5"/>
        <v>-</v>
      </c>
      <c r="M191" s="16" t="str">
        <f t="shared" si="6"/>
        <v/>
      </c>
    </row>
    <row r="192" spans="3:13" hidden="1" outlineLevel="1" x14ac:dyDescent="0.3">
      <c r="C192" s="442">
        <v>4</v>
      </c>
      <c r="D192" s="714"/>
      <c r="E192" s="714"/>
      <c r="F192" s="714"/>
      <c r="G192" s="695"/>
      <c r="H192" s="695"/>
      <c r="I192" s="695"/>
      <c r="J192" s="335"/>
      <c r="K192" s="335"/>
      <c r="L192" s="336" t="str">
        <f t="shared" si="5"/>
        <v>-</v>
      </c>
      <c r="M192" s="16" t="str">
        <f t="shared" si="6"/>
        <v/>
      </c>
    </row>
    <row r="193" spans="3:13" hidden="1" outlineLevel="1" x14ac:dyDescent="0.3">
      <c r="C193" s="444">
        <v>5</v>
      </c>
      <c r="D193" s="670"/>
      <c r="E193" s="670"/>
      <c r="F193" s="670"/>
      <c r="G193" s="650"/>
      <c r="H193" s="650"/>
      <c r="I193" s="650"/>
      <c r="J193" s="331"/>
      <c r="K193" s="331"/>
      <c r="L193" s="332" t="str">
        <f t="shared" si="5"/>
        <v>-</v>
      </c>
      <c r="M193" s="16" t="str">
        <f t="shared" si="6"/>
        <v/>
      </c>
    </row>
    <row r="194" spans="3:13" hidden="1" outlineLevel="1" x14ac:dyDescent="0.3">
      <c r="C194" s="444">
        <v>6</v>
      </c>
      <c r="D194" s="671"/>
      <c r="E194" s="672"/>
      <c r="F194" s="673"/>
      <c r="G194" s="650"/>
      <c r="H194" s="650"/>
      <c r="I194" s="650"/>
      <c r="J194" s="331"/>
      <c r="K194" s="331"/>
      <c r="L194" s="332" t="str">
        <f>IF(AND(D194="",J194="",K194=""),"-",SUM(J194:K194))</f>
        <v>-</v>
      </c>
      <c r="M194" s="16" t="str">
        <f t="shared" si="6"/>
        <v/>
      </c>
    </row>
    <row r="195" spans="3:13" hidden="1" outlineLevel="1" x14ac:dyDescent="0.3">
      <c r="C195" s="444">
        <v>7</v>
      </c>
      <c r="D195" s="670"/>
      <c r="E195" s="670"/>
      <c r="F195" s="670"/>
      <c r="G195" s="650"/>
      <c r="H195" s="650"/>
      <c r="I195" s="650"/>
      <c r="J195" s="331"/>
      <c r="K195" s="331"/>
      <c r="L195" s="332" t="str">
        <f>IF(AND(D195="",J195="",K195=""),"-",SUM(J195:K195))</f>
        <v>-</v>
      </c>
      <c r="M195" s="16" t="str">
        <f t="shared" si="6"/>
        <v/>
      </c>
    </row>
    <row r="196" spans="3:13" hidden="1" outlineLevel="1" x14ac:dyDescent="0.3">
      <c r="C196" s="444">
        <v>8</v>
      </c>
      <c r="D196" s="670"/>
      <c r="E196" s="670"/>
      <c r="F196" s="670"/>
      <c r="G196" s="650"/>
      <c r="H196" s="650"/>
      <c r="I196" s="650"/>
      <c r="J196" s="331"/>
      <c r="K196" s="331"/>
      <c r="L196" s="332" t="str">
        <f t="shared" si="5"/>
        <v>-</v>
      </c>
      <c r="M196" s="16" t="str">
        <f t="shared" si="6"/>
        <v/>
      </c>
    </row>
    <row r="197" spans="3:13" hidden="1" outlineLevel="1" x14ac:dyDescent="0.3">
      <c r="C197" s="444">
        <v>9</v>
      </c>
      <c r="D197" s="670"/>
      <c r="E197" s="670"/>
      <c r="F197" s="670"/>
      <c r="G197" s="650"/>
      <c r="H197" s="650"/>
      <c r="I197" s="650"/>
      <c r="J197" s="331"/>
      <c r="K197" s="331"/>
      <c r="L197" s="332" t="str">
        <f t="shared" si="5"/>
        <v>-</v>
      </c>
      <c r="M197" s="16" t="str">
        <f t="shared" si="6"/>
        <v/>
      </c>
    </row>
    <row r="198" spans="3:13" hidden="1" outlineLevel="1" x14ac:dyDescent="0.3">
      <c r="C198" s="444">
        <v>10</v>
      </c>
      <c r="D198" s="670"/>
      <c r="E198" s="670"/>
      <c r="F198" s="670"/>
      <c r="G198" s="650"/>
      <c r="H198" s="650"/>
      <c r="I198" s="650"/>
      <c r="J198" s="331"/>
      <c r="K198" s="331"/>
      <c r="L198" s="332" t="str">
        <f t="shared" si="5"/>
        <v>-</v>
      </c>
      <c r="M198" s="16" t="str">
        <f t="shared" si="6"/>
        <v/>
      </c>
    </row>
    <row r="199" spans="3:13" hidden="1" outlineLevel="1" x14ac:dyDescent="0.3">
      <c r="C199" s="444">
        <v>11</v>
      </c>
      <c r="D199" s="670"/>
      <c r="E199" s="670"/>
      <c r="F199" s="670"/>
      <c r="G199" s="650"/>
      <c r="H199" s="650"/>
      <c r="I199" s="650"/>
      <c r="J199" s="331"/>
      <c r="K199" s="331"/>
      <c r="L199" s="332" t="str">
        <f t="shared" si="5"/>
        <v>-</v>
      </c>
      <c r="M199" s="16" t="str">
        <f t="shared" si="6"/>
        <v/>
      </c>
    </row>
    <row r="200" spans="3:13" hidden="1" outlineLevel="1" x14ac:dyDescent="0.3">
      <c r="C200" s="444">
        <v>12</v>
      </c>
      <c r="D200" s="670"/>
      <c r="E200" s="670"/>
      <c r="F200" s="670"/>
      <c r="G200" s="650"/>
      <c r="H200" s="650"/>
      <c r="I200" s="650"/>
      <c r="J200" s="331"/>
      <c r="K200" s="331"/>
      <c r="L200" s="332" t="str">
        <f t="shared" si="5"/>
        <v>-</v>
      </c>
      <c r="M200" s="16" t="str">
        <f t="shared" si="6"/>
        <v/>
      </c>
    </row>
    <row r="201" spans="3:13" hidden="1" outlineLevel="1" x14ac:dyDescent="0.3">
      <c r="C201" s="444">
        <v>13</v>
      </c>
      <c r="D201" s="670"/>
      <c r="E201" s="670"/>
      <c r="F201" s="670"/>
      <c r="G201" s="650"/>
      <c r="H201" s="650"/>
      <c r="I201" s="650"/>
      <c r="J201" s="331"/>
      <c r="K201" s="331"/>
      <c r="L201" s="332" t="str">
        <f t="shared" si="5"/>
        <v>-</v>
      </c>
      <c r="M201" s="16" t="str">
        <f t="shared" si="6"/>
        <v/>
      </c>
    </row>
    <row r="202" spans="3:13" hidden="1" outlineLevel="1" x14ac:dyDescent="0.3">
      <c r="C202" s="444">
        <v>14</v>
      </c>
      <c r="D202" s="670"/>
      <c r="E202" s="670"/>
      <c r="F202" s="670"/>
      <c r="G202" s="650"/>
      <c r="H202" s="650"/>
      <c r="I202" s="650"/>
      <c r="J202" s="331"/>
      <c r="K202" s="331"/>
      <c r="L202" s="332" t="str">
        <f t="shared" si="5"/>
        <v>-</v>
      </c>
      <c r="M202" s="16" t="str">
        <f t="shared" si="6"/>
        <v/>
      </c>
    </row>
    <row r="203" spans="3:13" ht="15" hidden="1" outlineLevel="1" thickBot="1" x14ac:dyDescent="0.35">
      <c r="C203" s="443">
        <v>15</v>
      </c>
      <c r="D203" s="711"/>
      <c r="E203" s="711"/>
      <c r="F203" s="711"/>
      <c r="G203" s="694"/>
      <c r="H203" s="694"/>
      <c r="I203" s="694"/>
      <c r="J203" s="337"/>
      <c r="K203" s="337"/>
      <c r="L203" s="334" t="str">
        <f t="shared" si="5"/>
        <v>-</v>
      </c>
      <c r="M203" s="16" t="str">
        <f t="shared" si="6"/>
        <v/>
      </c>
    </row>
    <row r="204" spans="3:13" collapsed="1" x14ac:dyDescent="0.3">
      <c r="C204" s="705" t="s">
        <v>4570</v>
      </c>
      <c r="D204" s="652" t="s">
        <v>4571</v>
      </c>
      <c r="E204" s="652"/>
      <c r="F204" s="653"/>
      <c r="G204" s="667"/>
      <c r="H204" s="667"/>
      <c r="I204" s="668"/>
      <c r="J204" s="701"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701"/>
      <c r="L204" s="702"/>
      <c r="M204" s="16" t="str" cm="1">
        <f t="array" ref="M204">IF(G204="",
    IF(SUMPRODUCT(--((G189:G203="metric tonnes (t)")+(G189:G203="kilograms (kg)")))&gt;0,
        "MISSING VALUE",
        ""
    ),
    IF(SUMPRODUCT(--((G189:G203="metric tonnes (t)")+(G189:G203="kilograms (kg)")))&gt;0,
        "OK",
        ""
    )
)</f>
        <v/>
      </c>
    </row>
    <row r="205" spans="3:13" x14ac:dyDescent="0.3">
      <c r="C205" s="706"/>
      <c r="D205" s="677" t="s">
        <v>4572</v>
      </c>
      <c r="E205" s="677"/>
      <c r="F205" s="678"/>
      <c r="G205" s="626" t="str">
        <f>IF($G$204="", "-", $G$204)</f>
        <v>-</v>
      </c>
      <c r="H205" s="626"/>
      <c r="I205" s="644"/>
      <c r="J205" s="624"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624"/>
      <c r="L205" s="625"/>
    </row>
    <row r="206" spans="3:13" ht="15" thickBot="1" x14ac:dyDescent="0.35">
      <c r="C206" s="706"/>
      <c r="D206" s="639" t="s">
        <v>4573</v>
      </c>
      <c r="E206" s="639"/>
      <c r="F206" s="640"/>
      <c r="G206" s="626" t="str">
        <f>IF($G$204="", "-", $G$204)</f>
        <v>-</v>
      </c>
      <c r="H206" s="627"/>
      <c r="I206" s="645"/>
      <c r="J206" s="622" t="str">
        <f>IF(AND(J204="-",J205="-"),"-",SUM(J204:L205))</f>
        <v>-</v>
      </c>
      <c r="K206" s="622"/>
      <c r="L206" s="623"/>
    </row>
    <row r="207" spans="3:13" x14ac:dyDescent="0.3">
      <c r="C207" s="706"/>
      <c r="D207" s="687" t="s">
        <v>4574</v>
      </c>
      <c r="E207" s="687"/>
      <c r="F207" s="688"/>
      <c r="G207" s="693" t="s">
        <v>2783</v>
      </c>
      <c r="H207" s="693"/>
      <c r="I207" s="693"/>
      <c r="J207" s="703" t="str">
        <f>IF(AND(D189="",J189="",K189="",D190="",J190="",K190="",D191="",J191="",K191="",D192="",J192="",K192="",D193="",J193="",K193="",D194="",J194="",K194="",D195="",J195="",K195="",D196="",J196="",K196="",D197="",J197="",K197="",D198="",J198="",K198="",D199="",J199="",K199="",D200="",J200="",K200="",D201="",J201="",K201="",D202="",J202="",K202="",D203="",J203="",K203=""),"-",SUMIFS(L189:L203, D189:D203,"* Hazardous *", G189:G203,"*cubic meters (m3)*"))</f>
        <v>-</v>
      </c>
      <c r="K207" s="703"/>
      <c r="L207" s="704"/>
    </row>
    <row r="208" spans="3:13" x14ac:dyDescent="0.3">
      <c r="C208" s="706"/>
      <c r="D208" s="677" t="s">
        <v>4575</v>
      </c>
      <c r="E208" s="677"/>
      <c r="F208" s="678"/>
      <c r="G208" s="626" t="s">
        <v>2783</v>
      </c>
      <c r="H208" s="626"/>
      <c r="I208" s="626"/>
      <c r="J208" s="624" t="str">
        <f>IF(AND(D189="",J189="",K189="",D190="",J190="",K190="",D191="",J191="",K191="",D192="",J192="",K192="",D193="",J193="",K193="",D194="",J194="",K194="",D195="",J195="",K195="",D196="",J196="",K196="",D197="",J197="",K197="",D198="",J198="",K198="",D199="",J199="",K199="",D200="",J200="",K200="",D201="",J201="",K201="",D202="",J202="",K202="",D203="",J203="",K203=""),"-",SUMIFS(L189:L203, D189:D203,"*Non-Hazardous*", G189:G203,"*cubic meters (m3)*"))</f>
        <v>-</v>
      </c>
      <c r="K208" s="624"/>
      <c r="L208" s="625"/>
    </row>
    <row r="209" spans="3:12" ht="15" thickBot="1" x14ac:dyDescent="0.35">
      <c r="C209" s="707"/>
      <c r="D209" s="639" t="s">
        <v>4576</v>
      </c>
      <c r="E209" s="639"/>
      <c r="F209" s="640"/>
      <c r="G209" s="627" t="s">
        <v>2783</v>
      </c>
      <c r="H209" s="627"/>
      <c r="I209" s="627"/>
      <c r="J209" s="622" t="str">
        <f>IF(AND(J207="-",J208="-"),"-",SUM(J207:L208))</f>
        <v>-</v>
      </c>
      <c r="K209" s="622"/>
      <c r="L209" s="623"/>
    </row>
    <row r="210" spans="3:12" ht="15" thickBot="1" x14ac:dyDescent="0.35"/>
    <row r="211" spans="3:12" x14ac:dyDescent="0.3">
      <c r="C211" s="631" t="str">
        <f xml:space="preserve"> "B7 – Annual mass-flow of relevant materials used " &amp; template_reporting_period_display &amp; " [If applicable]"</f>
        <v>B7 – Annual mass-flow of relevant materials used from - to - [If applicable]</v>
      </c>
      <c r="D211" s="632"/>
      <c r="E211" s="632"/>
      <c r="F211" s="632"/>
      <c r="G211" s="632"/>
      <c r="H211" s="632"/>
      <c r="I211" s="632"/>
      <c r="J211" s="633"/>
    </row>
    <row r="212" spans="3:12" x14ac:dyDescent="0.3">
      <c r="C212" s="634" t="s">
        <v>4770</v>
      </c>
      <c r="D212" s="635"/>
      <c r="E212" s="635"/>
      <c r="F212" s="635"/>
      <c r="G212" s="635"/>
      <c r="H212" s="635"/>
      <c r="I212" s="635"/>
      <c r="J212" s="636"/>
    </row>
    <row r="213" spans="3:12" x14ac:dyDescent="0.3">
      <c r="C213" s="628" t="s">
        <v>4771</v>
      </c>
      <c r="D213" s="629"/>
      <c r="E213" s="629"/>
      <c r="F213" s="629"/>
      <c r="G213" s="629"/>
      <c r="H213" s="629"/>
      <c r="I213" s="629"/>
      <c r="J213" s="630"/>
      <c r="K213" s="11"/>
      <c r="L213" s="11"/>
    </row>
    <row r="214" spans="3:12" ht="30" customHeight="1" x14ac:dyDescent="0.3">
      <c r="C214" s="506" t="s">
        <v>3996</v>
      </c>
      <c r="D214" s="637"/>
      <c r="E214" s="637"/>
      <c r="F214" s="638"/>
      <c r="G214" s="508" t="b">
        <v>0</v>
      </c>
      <c r="H214" s="509"/>
      <c r="I214" s="509"/>
      <c r="J214" s="510"/>
    </row>
    <row r="215" spans="3:12" ht="43.5" customHeight="1" x14ac:dyDescent="0.3">
      <c r="C215" s="164" t="s">
        <v>20</v>
      </c>
      <c r="D215" s="641" t="s">
        <v>2780</v>
      </c>
      <c r="E215" s="641"/>
      <c r="F215" s="641"/>
      <c r="G215" s="641" t="s">
        <v>4634</v>
      </c>
      <c r="H215" s="641"/>
      <c r="I215" s="641"/>
      <c r="J215" s="129" t="s">
        <v>2777</v>
      </c>
    </row>
    <row r="216" spans="3:12" x14ac:dyDescent="0.3">
      <c r="C216" s="259">
        <v>1</v>
      </c>
      <c r="D216" s="642"/>
      <c r="E216" s="642"/>
      <c r="F216" s="642"/>
      <c r="G216" s="646"/>
      <c r="H216" s="646"/>
      <c r="I216" s="646"/>
      <c r="J216" s="167"/>
      <c r="K216" s="17" t="str">
        <f>IF(AND(G214=TRUE,D216&lt;&gt;"",G216&lt;&gt;"",J216&lt;&gt;""),"OK",IF(AND(G214=TRUE,OR(D216="",G216="",J216="")),"MISSING VALUE",""))</f>
        <v/>
      </c>
    </row>
    <row r="217" spans="3:12" x14ac:dyDescent="0.3">
      <c r="C217" s="259">
        <v>2</v>
      </c>
      <c r="D217" s="643"/>
      <c r="E217" s="643"/>
      <c r="F217" s="643"/>
      <c r="G217" s="646"/>
      <c r="H217" s="646"/>
      <c r="I217" s="646"/>
      <c r="J217" s="167"/>
      <c r="K217" s="17" t="str">
        <f>IF(AND(D217&lt;&gt;"",G217&lt;&gt;"",J217&lt;&gt;""),"OK",IF(AND(D217&lt;&gt;"",G217&lt;&gt;"",J217=""),"MISSING VALUE",IF(AND(D217&lt;&gt;"",G217="",J217=""),"MISSING VALUE",IF(AND(D217&lt;&gt;"",G217="",J217=""),"MISSING VALUE",IF(AND(D217="",G217="",J217=""),"","MISSING VALUE")))))</f>
        <v/>
      </c>
    </row>
    <row r="218" spans="3:12" x14ac:dyDescent="0.3">
      <c r="C218" s="259">
        <v>3</v>
      </c>
      <c r="D218" s="643"/>
      <c r="E218" s="643"/>
      <c r="F218" s="643"/>
      <c r="G218" s="646"/>
      <c r="H218" s="646"/>
      <c r="I218" s="646"/>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643"/>
      <c r="E219" s="643"/>
      <c r="F219" s="643"/>
      <c r="G219" s="646"/>
      <c r="H219" s="646"/>
      <c r="I219" s="646"/>
      <c r="J219" s="167"/>
      <c r="K219" s="17" t="str">
        <f t="shared" si="7"/>
        <v/>
      </c>
    </row>
    <row r="220" spans="3:12" hidden="1" outlineLevel="1" x14ac:dyDescent="0.3">
      <c r="C220" s="259">
        <v>5</v>
      </c>
      <c r="D220" s="643"/>
      <c r="E220" s="643"/>
      <c r="F220" s="643"/>
      <c r="G220" s="646"/>
      <c r="H220" s="646"/>
      <c r="I220" s="646"/>
      <c r="J220" s="167"/>
      <c r="K220" s="17" t="str">
        <f t="shared" si="7"/>
        <v/>
      </c>
    </row>
    <row r="221" spans="3:12" hidden="1" outlineLevel="1" x14ac:dyDescent="0.3">
      <c r="C221" s="259">
        <v>6</v>
      </c>
      <c r="D221" s="642"/>
      <c r="E221" s="642"/>
      <c r="F221" s="642"/>
      <c r="G221" s="646"/>
      <c r="H221" s="646"/>
      <c r="I221" s="646"/>
      <c r="J221" s="167"/>
      <c r="K221" s="17" t="str">
        <f t="shared" si="7"/>
        <v/>
      </c>
    </row>
    <row r="222" spans="3:12" hidden="1" outlineLevel="1" x14ac:dyDescent="0.3">
      <c r="C222" s="259">
        <v>7</v>
      </c>
      <c r="D222" s="642"/>
      <c r="E222" s="642"/>
      <c r="F222" s="642"/>
      <c r="G222" s="646"/>
      <c r="H222" s="646"/>
      <c r="I222" s="646"/>
      <c r="J222" s="167"/>
      <c r="K222" s="17" t="str">
        <f t="shared" si="7"/>
        <v/>
      </c>
    </row>
    <row r="223" spans="3:12" hidden="1" outlineLevel="1" x14ac:dyDescent="0.3">
      <c r="C223" s="259">
        <v>8</v>
      </c>
      <c r="D223" s="642"/>
      <c r="E223" s="642"/>
      <c r="F223" s="642"/>
      <c r="G223" s="646"/>
      <c r="H223" s="646"/>
      <c r="I223" s="646"/>
      <c r="J223" s="167"/>
      <c r="K223" s="17" t="str">
        <f t="shared" si="7"/>
        <v/>
      </c>
    </row>
    <row r="224" spans="3:12" hidden="1" outlineLevel="1" x14ac:dyDescent="0.3">
      <c r="C224" s="259">
        <v>9</v>
      </c>
      <c r="D224" s="642"/>
      <c r="E224" s="642"/>
      <c r="F224" s="642"/>
      <c r="G224" s="646"/>
      <c r="H224" s="646"/>
      <c r="I224" s="646"/>
      <c r="J224" s="167"/>
      <c r="K224" s="17" t="str">
        <f t="shared" si="7"/>
        <v/>
      </c>
    </row>
    <row r="225" spans="1:12" hidden="1" outlineLevel="1" x14ac:dyDescent="0.3">
      <c r="C225" s="259">
        <v>10</v>
      </c>
      <c r="D225" s="642"/>
      <c r="E225" s="642"/>
      <c r="F225" s="642"/>
      <c r="G225" s="646"/>
      <c r="H225" s="646"/>
      <c r="I225" s="646"/>
      <c r="J225" s="167"/>
      <c r="K225" s="17" t="str">
        <f t="shared" si="7"/>
        <v/>
      </c>
    </row>
    <row r="226" spans="1:12" hidden="1" outlineLevel="1" x14ac:dyDescent="0.3">
      <c r="C226" s="259">
        <v>11</v>
      </c>
      <c r="D226" s="613"/>
      <c r="E226" s="614"/>
      <c r="F226" s="615"/>
      <c r="G226" s="616"/>
      <c r="H226" s="617"/>
      <c r="I226" s="618"/>
      <c r="J226" s="167"/>
      <c r="K226" s="17" t="str">
        <f t="shared" si="7"/>
        <v/>
      </c>
    </row>
    <row r="227" spans="1:12" hidden="1" outlineLevel="1" x14ac:dyDescent="0.3">
      <c r="C227" s="259">
        <v>12</v>
      </c>
      <c r="D227" s="613"/>
      <c r="E227" s="614"/>
      <c r="F227" s="615"/>
      <c r="G227" s="616"/>
      <c r="H227" s="617"/>
      <c r="I227" s="618"/>
      <c r="J227" s="167"/>
      <c r="K227" s="17" t="str">
        <f t="shared" si="7"/>
        <v/>
      </c>
    </row>
    <row r="228" spans="1:12" hidden="1" outlineLevel="1" x14ac:dyDescent="0.3">
      <c r="C228" s="259">
        <v>13</v>
      </c>
      <c r="D228" s="613"/>
      <c r="E228" s="614"/>
      <c r="F228" s="615"/>
      <c r="G228" s="619"/>
      <c r="H228" s="620"/>
      <c r="I228" s="621"/>
      <c r="J228" s="167"/>
      <c r="K228" s="17" t="str">
        <f t="shared" si="7"/>
        <v/>
      </c>
    </row>
    <row r="229" spans="1:12" hidden="1" outlineLevel="1" x14ac:dyDescent="0.3">
      <c r="C229" s="259">
        <v>14</v>
      </c>
      <c r="D229" s="613"/>
      <c r="E229" s="614"/>
      <c r="F229" s="615"/>
      <c r="G229" s="616"/>
      <c r="H229" s="617"/>
      <c r="I229" s="618"/>
      <c r="J229" s="167"/>
      <c r="K229" s="17" t="str">
        <f t="shared" si="7"/>
        <v/>
      </c>
    </row>
    <row r="230" spans="1:12" hidden="1" outlineLevel="1" x14ac:dyDescent="0.3">
      <c r="C230" s="259">
        <v>15</v>
      </c>
      <c r="D230" s="613"/>
      <c r="E230" s="614"/>
      <c r="F230" s="615"/>
      <c r="G230" s="616"/>
      <c r="H230" s="617"/>
      <c r="I230" s="618"/>
      <c r="J230" s="167"/>
      <c r="K230" s="17" t="str">
        <f t="shared" si="7"/>
        <v/>
      </c>
    </row>
    <row r="231" spans="1:12" collapsed="1" x14ac:dyDescent="0.3">
      <c r="C231" s="790" t="s">
        <v>2784</v>
      </c>
      <c r="D231" s="791"/>
      <c r="E231" s="791"/>
      <c r="F231" s="791"/>
      <c r="G231" s="624" t="str">
        <f>IF(AND(G216="",G217="",J216="",J217="",G218="",J218=""),"-",(SUMIF($J$216:$J$225,"kilograms (kg)",$G$216:$G$225))+((SUMIF($J$216:$J$225,"metric tonnes (t)",$G$216:$G$225))*1000))</f>
        <v>-</v>
      </c>
      <c r="H231" s="624"/>
      <c r="I231" s="624"/>
      <c r="J231" s="165" t="s">
        <v>2778</v>
      </c>
    </row>
    <row r="232" spans="1:12" ht="15" thickBot="1" x14ac:dyDescent="0.35">
      <c r="C232" s="788" t="s">
        <v>3638</v>
      </c>
      <c r="D232" s="789"/>
      <c r="E232" s="789"/>
      <c r="F232" s="789"/>
      <c r="G232" s="622" t="str">
        <f>IF(AND(G216="",G217="",J216="",J217="",G218="",J218=""),"-",SUMIF(J216:J225, "cubic meters (m3)", G216:G225))</f>
        <v>-</v>
      </c>
      <c r="H232" s="622"/>
      <c r="I232" s="622"/>
      <c r="J232" s="163" t="s">
        <v>2783</v>
      </c>
      <c r="K232" s="17"/>
    </row>
    <row r="233" spans="1:12" ht="15" thickBot="1" x14ac:dyDescent="0.35">
      <c r="D233" s="12"/>
      <c r="E233" s="12"/>
      <c r="F233" s="12"/>
      <c r="G233" s="12"/>
      <c r="H233" s="12"/>
      <c r="I233" s="12"/>
      <c r="J233" s="12"/>
    </row>
    <row r="234" spans="1:12" x14ac:dyDescent="0.3">
      <c r="C234" s="779" t="str">
        <f xml:space="preserve"> "C4 – Climate risks " &amp; template_reporting_period_display &amp; " [If applicable]"</f>
        <v>C4 – Climate risks from - to - [If applicable]</v>
      </c>
      <c r="D234" s="780"/>
      <c r="E234" s="780"/>
      <c r="F234" s="780"/>
      <c r="G234" s="780"/>
      <c r="H234" s="780"/>
      <c r="I234" s="780"/>
      <c r="J234" s="780"/>
      <c r="K234" s="781"/>
    </row>
    <row r="235" spans="1:12" ht="39.6" customHeight="1" x14ac:dyDescent="0.3">
      <c r="C235" s="506" t="s">
        <v>3997</v>
      </c>
      <c r="D235" s="679"/>
      <c r="E235" s="785" t="b">
        <v>0</v>
      </c>
      <c r="F235" s="786"/>
      <c r="G235" s="786"/>
      <c r="H235" s="786"/>
      <c r="I235" s="786"/>
      <c r="J235" s="786"/>
      <c r="K235" s="787"/>
    </row>
    <row r="236" spans="1:12" x14ac:dyDescent="0.3">
      <c r="A236" s="294" t="s">
        <v>4772</v>
      </c>
      <c r="B236" s="294" t="s">
        <v>4776</v>
      </c>
      <c r="C236" s="494" t="s">
        <v>4487</v>
      </c>
      <c r="D236" s="494"/>
      <c r="E236" s="485"/>
      <c r="F236" s="486"/>
      <c r="G236" s="486"/>
      <c r="H236" s="486"/>
      <c r="I236" s="486"/>
      <c r="J236" s="486"/>
      <c r="K236" s="487"/>
      <c r="L236" s="16" t="str">
        <f>IF(AND($E$235=TRUE,E236&lt;&gt;""),"OK",IF(AND($E$235=TRUE,G236=""),"MISSING VALUE",""))</f>
        <v/>
      </c>
    </row>
    <row r="237" spans="1:12" x14ac:dyDescent="0.3">
      <c r="A237" s="294" t="s">
        <v>4773</v>
      </c>
      <c r="B237" s="294" t="s">
        <v>4776</v>
      </c>
      <c r="C237" s="494" t="s">
        <v>29</v>
      </c>
      <c r="D237" s="494"/>
      <c r="E237" s="485"/>
      <c r="F237" s="486"/>
      <c r="G237" s="486"/>
      <c r="H237" s="486"/>
      <c r="I237" s="486"/>
      <c r="J237" s="486"/>
      <c r="K237" s="487"/>
      <c r="L237" s="16" t="str">
        <f t="shared" ref="L237:L238" si="8">IF(AND($E$235=TRUE,E237&lt;&gt;""),"OK",IF(AND($E$235=TRUE,G237=""),"MISSING VALUE",""))</f>
        <v/>
      </c>
    </row>
    <row r="238" spans="1:12" x14ac:dyDescent="0.3">
      <c r="A238" s="294" t="s">
        <v>4774</v>
      </c>
      <c r="B238" s="294" t="s">
        <v>4776</v>
      </c>
      <c r="C238" s="494" t="s">
        <v>30</v>
      </c>
      <c r="D238" s="494"/>
      <c r="E238" s="485"/>
      <c r="F238" s="486"/>
      <c r="G238" s="486"/>
      <c r="H238" s="486"/>
      <c r="I238" s="486"/>
      <c r="J238" s="486"/>
      <c r="K238" s="487"/>
      <c r="L238" s="16" t="str">
        <f t="shared" si="8"/>
        <v/>
      </c>
    </row>
    <row r="239" spans="1:12" ht="27" customHeight="1" x14ac:dyDescent="0.3">
      <c r="A239" s="294" t="s">
        <v>4775</v>
      </c>
      <c r="B239" s="294" t="s">
        <v>4776</v>
      </c>
      <c r="C239" s="494" t="s">
        <v>4577</v>
      </c>
      <c r="D239" s="494"/>
      <c r="E239" s="782"/>
      <c r="F239" s="783"/>
      <c r="G239" s="783"/>
      <c r="H239" s="783"/>
      <c r="I239" s="783"/>
      <c r="J239" s="783"/>
      <c r="K239" s="784"/>
      <c r="L239" s="16" t="str">
        <f>IF(AND($E$235=TRUE,E239&lt;&gt;""),"OK",IF(AND($E$235=TRUE,G239=""),"MISSING VALUE",""))</f>
        <v/>
      </c>
    </row>
    <row r="240" spans="1:12" ht="29.4" customHeight="1" thickBot="1" x14ac:dyDescent="0.35">
      <c r="A240" s="294">
        <v>58</v>
      </c>
      <c r="B240" s="294" t="s">
        <v>4776</v>
      </c>
      <c r="C240" s="483" t="s">
        <v>4004</v>
      </c>
      <c r="D240" s="483"/>
      <c r="E240" s="488"/>
      <c r="F240" s="489"/>
      <c r="G240" s="489"/>
      <c r="H240" s="489"/>
      <c r="I240" s="489"/>
      <c r="J240" s="489"/>
      <c r="K240" s="490"/>
      <c r="L240" s="16" t="str">
        <f>IF(AND($E$235=TRUE,E240&lt;&gt;""),"OK","")</f>
        <v/>
      </c>
    </row>
    <row r="241" spans="3:13" ht="15" thickBot="1" x14ac:dyDescent="0.35"/>
    <row r="242" spans="3:13" x14ac:dyDescent="0.3">
      <c r="C242" s="577" t="str">
        <f xml:space="preserve"> "Disclosure of any other environmental and/or entity specific enviromental disclosures " &amp; template_reporting_period_display &amp; " [May (optional)] "</f>
        <v xml:space="preserve">Disclosure of any other environmental and/or entity specific enviromental disclosures from - to - [May (optional)] </v>
      </c>
      <c r="D242" s="578"/>
      <c r="E242" s="578"/>
      <c r="F242" s="578"/>
      <c r="G242" s="578"/>
      <c r="H242" s="578"/>
      <c r="I242" s="578"/>
      <c r="J242" s="578"/>
      <c r="K242" s="578"/>
      <c r="L242" s="579"/>
    </row>
    <row r="243" spans="3:13" x14ac:dyDescent="0.3">
      <c r="C243" s="514">
        <v>10</v>
      </c>
      <c r="D243" s="515"/>
      <c r="E243" s="515"/>
      <c r="F243" s="515"/>
      <c r="G243" s="515"/>
      <c r="H243" s="515"/>
      <c r="I243" s="515"/>
      <c r="J243" s="515"/>
      <c r="K243" s="515"/>
      <c r="L243" s="516"/>
      <c r="M243" s="8"/>
    </row>
    <row r="244" spans="3:13" ht="15" thickBot="1" x14ac:dyDescent="0.35">
      <c r="C244" s="571"/>
      <c r="D244" s="572"/>
      <c r="E244" s="572"/>
      <c r="F244" s="572"/>
      <c r="G244" s="572"/>
      <c r="H244" s="572"/>
      <c r="I244" s="572"/>
      <c r="J244" s="572"/>
      <c r="K244" s="572"/>
      <c r="L244" s="572"/>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L59:L61"/>
    <mergeCell ref="A59:A62"/>
    <mergeCell ref="B59:B62"/>
    <mergeCell ref="C59:C62"/>
    <mergeCell ref="D59:H59"/>
    <mergeCell ref="D60:H60"/>
    <mergeCell ref="D61:H61"/>
    <mergeCell ref="I59:K59"/>
    <mergeCell ref="I60:K60"/>
    <mergeCell ref="I61:K6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4736</v>
      </c>
      <c r="B1" s="309" t="s">
        <v>4735</v>
      </c>
    </row>
    <row r="2" spans="1:8" ht="15" thickBot="1" x14ac:dyDescent="0.35">
      <c r="C2" s="1001" t="s">
        <v>4016</v>
      </c>
      <c r="D2" s="1002"/>
      <c r="E2" s="1003"/>
      <c r="F2" s="1004" t="str">
        <f>IF('General Information'!$E$64="","-",'General Information'!$E$64)</f>
        <v>-</v>
      </c>
      <c r="G2" s="1004"/>
      <c r="H2" s="1005"/>
    </row>
    <row r="3" spans="1:8" ht="15" thickBot="1" x14ac:dyDescent="0.35">
      <c r="C3" s="1001" t="s">
        <v>4017</v>
      </c>
      <c r="D3" s="1002"/>
      <c r="E3" s="1003"/>
      <c r="F3" s="1006" t="str">
        <f>IF('General Information'!$E$63="","-",'General Information'!$E$63)</f>
        <v>-</v>
      </c>
      <c r="G3" s="1007"/>
      <c r="H3" s="1008"/>
    </row>
    <row r="5" spans="1:8" ht="15" thickBot="1" x14ac:dyDescent="0.35"/>
    <row r="6" spans="1:8" x14ac:dyDescent="0.3">
      <c r="C6" s="499" t="str">
        <f xml:space="preserve"> "B8 – Workforce – General characteristics - Type of contract "  &amp; " [Always to be reported]"</f>
        <v>B8 – Workforce – General characteristics - Type of contract  [Always to be reported]</v>
      </c>
      <c r="D6" s="500"/>
      <c r="E6" s="500"/>
      <c r="F6" s="500"/>
      <c r="G6" s="501"/>
      <c r="H6"/>
    </row>
    <row r="7" spans="1:8" x14ac:dyDescent="0.3">
      <c r="C7" s="514" t="s">
        <v>4777</v>
      </c>
      <c r="D7" s="515"/>
      <c r="E7" s="515"/>
      <c r="F7" s="515"/>
      <c r="G7" s="516"/>
    </row>
    <row r="8" spans="1:8" x14ac:dyDescent="0.3">
      <c r="C8" s="511" t="s">
        <v>4778</v>
      </c>
      <c r="D8" s="947"/>
      <c r="E8" s="947"/>
      <c r="F8" s="947"/>
      <c r="G8" s="994"/>
    </row>
    <row r="9" spans="1:8" x14ac:dyDescent="0.3">
      <c r="C9" s="170" t="s">
        <v>32</v>
      </c>
      <c r="D9" s="995" t="s">
        <v>33</v>
      </c>
      <c r="E9" s="996"/>
      <c r="F9" s="996"/>
      <c r="G9" s="997"/>
      <c r="H9" s="171"/>
    </row>
    <row r="10" spans="1:8" x14ac:dyDescent="0.3">
      <c r="C10" s="172" t="s">
        <v>35</v>
      </c>
      <c r="D10" s="657"/>
      <c r="E10" s="658"/>
      <c r="F10" s="658"/>
      <c r="G10" s="659"/>
      <c r="H10" s="15" t="str">
        <f>IF(AND(OR('General Information'!E32="Option A (Basic Module only)", 'General Information'!E32="Option B (Basic Module and Comprehensive Module)"),D10=""),"MISSING VALUE",IF('General Information'!E32="","","OK"))</f>
        <v/>
      </c>
    </row>
    <row r="11" spans="1:8" x14ac:dyDescent="0.3">
      <c r="C11" s="172" t="s">
        <v>34</v>
      </c>
      <c r="D11" s="998" t="str">
        <f>IFERROR(IF(D10="", "-", $D$12 - $D$10), "-")</f>
        <v>-</v>
      </c>
      <c r="E11" s="999"/>
      <c r="F11" s="999"/>
      <c r="G11" s="1000"/>
      <c r="H11" s="15"/>
    </row>
    <row r="12" spans="1:8" ht="15" thickBot="1" x14ac:dyDescent="0.35">
      <c r="C12" s="173" t="s">
        <v>3634</v>
      </c>
      <c r="D12" s="986" t="str">
        <f>IF('General Information'!$E$62="", "-", VALUE(SUBSTITUTE('General Information'!$E$62, "-", "0")))</f>
        <v>-</v>
      </c>
      <c r="E12" s="986"/>
      <c r="F12" s="986"/>
      <c r="G12" s="982"/>
      <c r="H12" s="17"/>
    </row>
    <row r="13" spans="1:8" ht="15" thickBot="1" x14ac:dyDescent="0.35"/>
    <row r="14" spans="1:8" x14ac:dyDescent="0.3">
      <c r="C14" s="499" t="str">
        <f xml:space="preserve"> "B8 – Workforce – General characteristics - Gender " &amp; " [Always to be reported]"</f>
        <v>B8 – Workforce – General characteristics - Gender  [Always to be reported]</v>
      </c>
      <c r="D14" s="500"/>
      <c r="E14" s="500"/>
      <c r="F14" s="500"/>
      <c r="G14" s="501"/>
      <c r="H14"/>
    </row>
    <row r="15" spans="1:8" x14ac:dyDescent="0.3">
      <c r="C15" s="514" t="s">
        <v>4779</v>
      </c>
      <c r="D15" s="515"/>
      <c r="E15" s="515"/>
      <c r="F15" s="515"/>
      <c r="G15" s="516"/>
    </row>
    <row r="16" spans="1:8" x14ac:dyDescent="0.3">
      <c r="C16" s="511" t="s">
        <v>4778</v>
      </c>
      <c r="D16" s="512"/>
      <c r="E16" s="512"/>
      <c r="F16" s="512"/>
      <c r="G16" s="513"/>
    </row>
    <row r="17" spans="3:9" x14ac:dyDescent="0.3">
      <c r="C17" s="174" t="s">
        <v>36</v>
      </c>
      <c r="D17" s="1009" t="s">
        <v>33</v>
      </c>
      <c r="E17" s="1010"/>
      <c r="F17" s="1010"/>
      <c r="G17" s="1011"/>
    </row>
    <row r="18" spans="3:9" x14ac:dyDescent="0.3">
      <c r="C18" s="175" t="s">
        <v>37</v>
      </c>
      <c r="D18" s="657"/>
      <c r="E18" s="658"/>
      <c r="F18" s="658"/>
      <c r="G18" s="659"/>
      <c r="H18" s="990" t="str">
        <f>IF(OR('General Information'!E32="Option A (Basic Module only)", 'General Information'!E32="Option B (Basic Module and Comprehensive Module)"), IF(NumberOfMaleEmployees+NumberOfFemaleEmployees+NumberOfOtherGenderEmployees+NumberOfNonReportedGenderEmployees=D22, "OK", "MISSING VALUE"), "")</f>
        <v/>
      </c>
    </row>
    <row r="19" spans="3:9" x14ac:dyDescent="0.3">
      <c r="C19" s="175" t="s">
        <v>38</v>
      </c>
      <c r="D19" s="657"/>
      <c r="E19" s="658"/>
      <c r="F19" s="658"/>
      <c r="G19" s="659"/>
      <c r="H19" s="990"/>
    </row>
    <row r="20" spans="3:9" x14ac:dyDescent="0.3">
      <c r="C20" s="175" t="s">
        <v>39</v>
      </c>
      <c r="D20" s="657"/>
      <c r="E20" s="658"/>
      <c r="F20" s="658"/>
      <c r="G20" s="659"/>
      <c r="H20" s="990"/>
    </row>
    <row r="21" spans="3:9" x14ac:dyDescent="0.3">
      <c r="C21" s="175" t="s">
        <v>40</v>
      </c>
      <c r="D21" s="991"/>
      <c r="E21" s="992"/>
      <c r="F21" s="992"/>
      <c r="G21" s="993"/>
      <c r="H21" s="990"/>
    </row>
    <row r="22" spans="3:9" ht="15" thickBot="1" x14ac:dyDescent="0.35">
      <c r="C22" s="173" t="s">
        <v>3634</v>
      </c>
      <c r="D22" s="986" t="str">
        <f>IF('General Information'!$E$62="","-",'General Information'!$E$62)</f>
        <v>-</v>
      </c>
      <c r="E22" s="986"/>
      <c r="F22" s="986"/>
      <c r="G22" s="982"/>
      <c r="H22" s="18"/>
    </row>
    <row r="23" spans="3:9" ht="15" thickBot="1" x14ac:dyDescent="0.35"/>
    <row r="24" spans="3:9" x14ac:dyDescent="0.3">
      <c r="C24" s="983" t="str">
        <f xml:space="preserve"> "B8 – Workforce – General characteristics - Country of employment " &amp; " [If applicable]"</f>
        <v>B8 – Workforce – General characteristics - Country of employment  [If applicable]</v>
      </c>
      <c r="D24" s="984"/>
      <c r="E24" s="984"/>
      <c r="F24" s="984"/>
      <c r="G24" s="984"/>
      <c r="H24" s="985"/>
    </row>
    <row r="25" spans="3:9" x14ac:dyDescent="0.3">
      <c r="C25" s="634" t="s">
        <v>4780</v>
      </c>
      <c r="D25" s="635"/>
      <c r="E25" s="635"/>
      <c r="F25" s="635"/>
      <c r="G25" s="635"/>
      <c r="H25" s="636"/>
    </row>
    <row r="26" spans="3:9" x14ac:dyDescent="0.3">
      <c r="C26" s="628" t="s">
        <v>4778</v>
      </c>
      <c r="D26" s="629"/>
      <c r="E26" s="629"/>
      <c r="F26" s="629"/>
      <c r="G26" s="629"/>
      <c r="H26" s="630"/>
    </row>
    <row r="27" spans="3:9" x14ac:dyDescent="0.3">
      <c r="C27" s="768" t="s">
        <v>41</v>
      </c>
      <c r="D27" s="987"/>
      <c r="E27" s="988" t="s">
        <v>33</v>
      </c>
      <c r="F27" s="988"/>
      <c r="G27" s="988"/>
      <c r="H27" s="989"/>
    </row>
    <row r="28" spans="3:9" x14ac:dyDescent="0.3">
      <c r="C28" s="769"/>
      <c r="D28" s="976"/>
      <c r="E28" s="977"/>
      <c r="F28" s="977"/>
      <c r="G28" s="977"/>
      <c r="H28" s="978"/>
      <c r="I28" s="15" t="str">
        <f>IF(AND(C28="", E28=""), "",
IF(AND(C28&lt;&gt;"", E28=""), "MISSING VALUE",
IF(AND(C28&lt;&gt;"", E28&lt;&gt;""),
   IF($E$28+$E$29+$E$30+$E$31+$E$32+$E$33+$E$34+$E$35+$E$36+$E$37&lt;$E$38, "MISSING VALUE",
   IF(COUNTIF($C$28:$C$37, C28) &gt; 1, "VALUE INCONSISTENCY", "OK")),
"MISSING VALUE")))</f>
        <v/>
      </c>
    </row>
    <row r="29" spans="3:9" x14ac:dyDescent="0.3">
      <c r="C29" s="769"/>
      <c r="D29" s="976"/>
      <c r="E29" s="977"/>
      <c r="F29" s="977"/>
      <c r="G29" s="977"/>
      <c r="H29" s="978"/>
      <c r="I29" s="15" t="str">
        <f t="shared" ref="I29:I37" si="0">IF(AND(C29="", E29=""), "",
IF(AND(C29&lt;&gt;"", E29=""), "MISSING VALUE",
IF(AND(C29&lt;&gt;"", E29&lt;&gt;""),
   IF($E$28+$E$29+$E$30+$E$31+$E$32+$E$33+$E$34+$E$35+$E$36+$E$37&lt;$E$38, "MISSING VALUE",
   IF(COUNTIF($C$28:$C$37, C29) &gt; 1, "VALUE INCONSISTENCY", "OK")),
"MISSING VALUE")))</f>
        <v/>
      </c>
    </row>
    <row r="30" spans="3:9" x14ac:dyDescent="0.3">
      <c r="C30" s="769"/>
      <c r="D30" s="976"/>
      <c r="E30" s="977"/>
      <c r="F30" s="977"/>
      <c r="G30" s="977"/>
      <c r="H30" s="978"/>
      <c r="I30" s="15" t="str">
        <f t="shared" si="0"/>
        <v/>
      </c>
    </row>
    <row r="31" spans="3:9" hidden="1" outlineLevel="1" x14ac:dyDescent="0.3">
      <c r="C31" s="769"/>
      <c r="D31" s="976"/>
      <c r="E31" s="977"/>
      <c r="F31" s="977"/>
      <c r="G31" s="977"/>
      <c r="H31" s="978"/>
      <c r="I31" s="15" t="str">
        <f t="shared" si="0"/>
        <v/>
      </c>
    </row>
    <row r="32" spans="3:9" hidden="1" outlineLevel="1" x14ac:dyDescent="0.3">
      <c r="C32" s="769"/>
      <c r="D32" s="976"/>
      <c r="E32" s="977"/>
      <c r="F32" s="977"/>
      <c r="G32" s="977"/>
      <c r="H32" s="978"/>
      <c r="I32" s="15" t="str">
        <f t="shared" si="0"/>
        <v/>
      </c>
    </row>
    <row r="33" spans="3:9" hidden="1" outlineLevel="1" x14ac:dyDescent="0.3">
      <c r="C33" s="769"/>
      <c r="D33" s="976"/>
      <c r="E33" s="977"/>
      <c r="F33" s="977"/>
      <c r="G33" s="977"/>
      <c r="H33" s="978"/>
      <c r="I33" s="15" t="str">
        <f t="shared" si="0"/>
        <v/>
      </c>
    </row>
    <row r="34" spans="3:9" hidden="1" outlineLevel="1" x14ac:dyDescent="0.3">
      <c r="C34" s="769"/>
      <c r="D34" s="976"/>
      <c r="E34" s="977"/>
      <c r="F34" s="977"/>
      <c r="G34" s="977"/>
      <c r="H34" s="978"/>
      <c r="I34" s="15" t="str">
        <f t="shared" si="0"/>
        <v/>
      </c>
    </row>
    <row r="35" spans="3:9" hidden="1" outlineLevel="1" x14ac:dyDescent="0.3">
      <c r="C35" s="769"/>
      <c r="D35" s="976"/>
      <c r="E35" s="977"/>
      <c r="F35" s="977"/>
      <c r="G35" s="977"/>
      <c r="H35" s="978"/>
      <c r="I35" s="15" t="str">
        <f t="shared" si="0"/>
        <v/>
      </c>
    </row>
    <row r="36" spans="3:9" hidden="1" outlineLevel="1" x14ac:dyDescent="0.3">
      <c r="C36" s="769"/>
      <c r="D36" s="976"/>
      <c r="E36" s="977"/>
      <c r="F36" s="977"/>
      <c r="G36" s="977"/>
      <c r="H36" s="978"/>
      <c r="I36" s="15" t="str">
        <f t="shared" si="0"/>
        <v/>
      </c>
    </row>
    <row r="37" spans="3:9" hidden="1" outlineLevel="1" x14ac:dyDescent="0.3">
      <c r="C37" s="769"/>
      <c r="D37" s="976"/>
      <c r="E37" s="977"/>
      <c r="F37" s="977"/>
      <c r="G37" s="977"/>
      <c r="H37" s="978"/>
      <c r="I37" s="15" t="str">
        <f t="shared" si="0"/>
        <v/>
      </c>
    </row>
    <row r="38" spans="3:9" ht="15" collapsed="1" thickBot="1" x14ac:dyDescent="0.35">
      <c r="C38" s="979" t="s">
        <v>3634</v>
      </c>
      <c r="D38" s="980"/>
      <c r="E38" s="981" t="str">
        <f>IF('General Information'!$E$62="","-",'General Information'!$E$62)</f>
        <v>-</v>
      </c>
      <c r="F38" s="981"/>
      <c r="G38" s="981"/>
      <c r="H38" s="982"/>
      <c r="I38" s="15"/>
    </row>
    <row r="39" spans="3:9" ht="15" thickBot="1" x14ac:dyDescent="0.35"/>
    <row r="40" spans="3:9" x14ac:dyDescent="0.3">
      <c r="C40" s="983" t="str">
        <f xml:space="preserve"> "B8 – Workforce – General characteristics - Turnover rate " &amp; template_reporting_period_display &amp; " [If applicable]"</f>
        <v>B8 – Workforce – General characteristics - Turnover rate from - to - [If applicable]</v>
      </c>
      <c r="D40" s="984"/>
      <c r="E40" s="984"/>
      <c r="F40" s="984"/>
      <c r="G40" s="984"/>
      <c r="H40" s="985"/>
    </row>
    <row r="41" spans="3:9" x14ac:dyDescent="0.3">
      <c r="C41" s="514">
        <v>40</v>
      </c>
      <c r="D41" s="515"/>
      <c r="E41" s="515"/>
      <c r="F41" s="515"/>
      <c r="G41" s="515"/>
      <c r="H41" s="516"/>
    </row>
    <row r="42" spans="3:9" x14ac:dyDescent="0.3">
      <c r="C42" s="511">
        <v>183</v>
      </c>
      <c r="D42" s="512"/>
      <c r="E42" s="512"/>
      <c r="F42" s="512"/>
      <c r="G42" s="512"/>
      <c r="H42" s="513"/>
    </row>
    <row r="43" spans="3:9" x14ac:dyDescent="0.3">
      <c r="C43" s="176" t="s">
        <v>4021</v>
      </c>
      <c r="D43" s="972"/>
      <c r="E43" s="972"/>
      <c r="F43" s="972"/>
      <c r="G43" s="972"/>
      <c r="H43" s="973"/>
      <c r="I43" s="15" t="str">
        <f>IF(AND('General Information'!$E$62&lt;50, D43=""),"", IF(AND('General Information'!$E$62&lt;50, D43&lt;&gt;""),"OK", IF(AND('General Information'!$E$62&gt;=50, D43&lt;&gt;""),"OK", "MISSING VALUE")))</f>
        <v/>
      </c>
    </row>
    <row r="44" spans="3:9" x14ac:dyDescent="0.3">
      <c r="C44" s="176" t="s">
        <v>4022</v>
      </c>
      <c r="D44" s="972"/>
      <c r="E44" s="972"/>
      <c r="F44" s="972"/>
      <c r="G44" s="972"/>
      <c r="H44" s="973"/>
      <c r="I44" s="15" t="str">
        <f>IF(AND('General Information'!$E$62&lt;50, D44=""),"", IF(AND('General Information'!$E$62&lt;50, D44&lt;&gt;""),"OK", IF(AND('General Information'!$E$62&gt;=50, D44&lt;&gt;""),"OK", "MISSING VALUE")))</f>
        <v/>
      </c>
    </row>
    <row r="45" spans="3:9" x14ac:dyDescent="0.3">
      <c r="C45" s="176" t="s">
        <v>4023</v>
      </c>
      <c r="D45" s="972"/>
      <c r="E45" s="972"/>
      <c r="F45" s="972"/>
      <c r="G45" s="972"/>
      <c r="H45" s="973"/>
      <c r="I45" s="15" t="str">
        <f>IF(AND('General Information'!$E$62&lt;50, D45=""),"", IF(AND('General Information'!$E$62&lt;50, D45&lt;&gt;""),"OK", IF(AND('General Information'!$E$62&gt;=50, D45&lt;&gt;""),"OK", "MISSING VALUE")))</f>
        <v/>
      </c>
    </row>
    <row r="46" spans="3:9" ht="15" thickBot="1" x14ac:dyDescent="0.35">
      <c r="C46" s="122" t="s">
        <v>4484</v>
      </c>
      <c r="D46" s="974" t="str">
        <f>IF(AND(D43&lt;&gt;"",D44&lt;&gt;"",D45&lt;&gt;""),(D43/((D44+D45)/2)),"-")</f>
        <v>-</v>
      </c>
      <c r="E46" s="974"/>
      <c r="F46" s="974"/>
      <c r="G46" s="974"/>
      <c r="H46" s="975"/>
    </row>
    <row r="47" spans="3:9" ht="15" thickBot="1" x14ac:dyDescent="0.35"/>
    <row r="48" spans="3:9" ht="15" thickBot="1" x14ac:dyDescent="0.35">
      <c r="C48" s="519" t="str">
        <f xml:space="preserve"> "B9 – Workforce – Health and safety " &amp; template_reporting_period_display &amp; " [Always to be reported]"</f>
        <v>B9 – Workforce – Health and safety from - to - [Always to be reported]</v>
      </c>
      <c r="D48" s="520"/>
      <c r="E48" s="520"/>
      <c r="F48" s="520"/>
      <c r="G48" s="520"/>
      <c r="H48" s="521"/>
    </row>
    <row r="49" spans="1:9" x14ac:dyDescent="0.3">
      <c r="A49" s="294" t="s">
        <v>4781</v>
      </c>
      <c r="B49" s="299" t="s">
        <v>4783</v>
      </c>
      <c r="C49" s="311" t="s">
        <v>4024</v>
      </c>
      <c r="D49" s="961"/>
      <c r="E49" s="961"/>
      <c r="F49" s="961"/>
      <c r="G49" s="961"/>
      <c r="H49" s="962"/>
      <c r="I49" s="15" t="str">
        <f>IF(AND(OR('General Information'!E32="Option A (Basic Module only)", 'General Information'!E32="Option B (Basic Module and Comprehensive Module)"),NumberOfRecordableWorkRelatedAccidentsInTheReportingPeriod=""),"MISSING VALUE",IF('General Information'!E32="","","OK"))</f>
        <v/>
      </c>
    </row>
    <row r="50" spans="1:9" x14ac:dyDescent="0.3">
      <c r="A50" s="295" t="s">
        <v>4781</v>
      </c>
      <c r="B50" s="299" t="s">
        <v>4783</v>
      </c>
      <c r="C50" s="177" t="s">
        <v>4025</v>
      </c>
      <c r="D50" s="963">
        <v>2000</v>
      </c>
      <c r="E50" s="964"/>
      <c r="F50" s="964"/>
      <c r="G50" s="964"/>
      <c r="H50" s="965"/>
      <c r="I50" s="15" t="str">
        <f>IF(D50="", "MISSING VALUE", IF(D50&lt;&gt;2000, "OK", ""))</f>
        <v/>
      </c>
    </row>
    <row r="51" spans="1:9" x14ac:dyDescent="0.3">
      <c r="A51" s="295" t="s">
        <v>4781</v>
      </c>
      <c r="B51" s="299" t="s">
        <v>4783</v>
      </c>
      <c r="C51" s="177" t="s">
        <v>4026</v>
      </c>
      <c r="D51" s="966" t="str">
        <f>IF('General Information'!E62="","-",D50*'General Information'!E62)</f>
        <v>-</v>
      </c>
      <c r="E51" s="967"/>
      <c r="F51" s="967"/>
      <c r="G51" s="967"/>
      <c r="H51" s="968"/>
      <c r="I51" s="15"/>
    </row>
    <row r="52" spans="1:9" ht="15" thickBot="1" x14ac:dyDescent="0.35">
      <c r="A52" s="295" t="s">
        <v>4781</v>
      </c>
      <c r="B52" s="299" t="s">
        <v>4783</v>
      </c>
      <c r="C52" s="241" t="s">
        <v>4470</v>
      </c>
      <c r="D52" s="969" t="str">
        <f>IFERROR(IF(AND(D49&lt;&gt;"", D51&lt;&gt;""), ($D$49/$D$51)*200000, "-"), "-")</f>
        <v>-</v>
      </c>
      <c r="E52" s="970"/>
      <c r="F52" s="970"/>
      <c r="G52" s="970"/>
      <c r="H52" s="971"/>
    </row>
    <row r="53" spans="1:9" ht="15" thickBot="1" x14ac:dyDescent="0.35">
      <c r="A53" s="294" t="s">
        <v>4782</v>
      </c>
      <c r="B53" s="302" t="s">
        <v>4783</v>
      </c>
      <c r="C53" s="240" t="s">
        <v>43</v>
      </c>
      <c r="D53" s="957"/>
      <c r="E53" s="957"/>
      <c r="F53" s="957"/>
      <c r="G53" s="957"/>
      <c r="H53" s="958"/>
      <c r="I53" s="15" t="str">
        <f>IF(AND(OR('General Information'!E32="Option A (Basic Module only)", 'General Information'!E32="Option B (Basic Module and Comprehensive Module)"),NumberOfFatalitiesAsAResultOfWorkRelatedInjuriesAndWorkRelatedIllHealth=""),"MISSING VALUE",IF('General Information'!E32="","","OK"))</f>
        <v/>
      </c>
    </row>
    <row r="54" spans="1:9" ht="15" thickBot="1" x14ac:dyDescent="0.35"/>
    <row r="55" spans="1:9" x14ac:dyDescent="0.3">
      <c r="C55" s="954" t="str">
        <f xml:space="preserve"> "B10 – Workforce – Remuneration, collective bargaining and training " &amp; template_reporting_period_display &amp; " [Always to be reported + If applicable]"</f>
        <v>B10 – Workforce – Remuneration, collective bargaining and training from - to - [Always to be reported + If applicable]</v>
      </c>
      <c r="D55" s="955"/>
      <c r="E55" s="955"/>
      <c r="F55" s="955"/>
      <c r="G55" s="955"/>
      <c r="H55" s="956"/>
    </row>
    <row r="56" spans="1:9" ht="43.8" thickBot="1" x14ac:dyDescent="0.35">
      <c r="A56" s="294" t="s">
        <v>4784</v>
      </c>
      <c r="B56" s="294" t="s">
        <v>4787</v>
      </c>
      <c r="C56" s="238" t="s">
        <v>3781</v>
      </c>
      <c r="D56" s="959"/>
      <c r="E56" s="959"/>
      <c r="F56" s="959"/>
      <c r="G56" s="959"/>
      <c r="H56" s="960"/>
      <c r="I56" s="15" t="str">
        <f>IF(AND(OR('General Information'!E32="Option A (Basic Module only)", 'General Information'!E32="Option B (Basic Module and Comprehensive Module)"),EmployeesReceivePayEqualOrAboveMinimumWageDeterminedByNationalLawOrCollectiveAgreement=""),"MISSING VALUE",IF('General Information'!E32="","","OK"))</f>
        <v/>
      </c>
    </row>
    <row r="57" spans="1:9" x14ac:dyDescent="0.3">
      <c r="A57" s="305" t="s">
        <v>4785</v>
      </c>
      <c r="B57" s="304" t="s">
        <v>4788</v>
      </c>
      <c r="C57" s="239" t="str">
        <f>"Average gross hourly pay level of male employees (amount in "&amp;template_currency&amp;")""- If applicable"</f>
        <v>Average gross hourly pay level of male employees (amount in )"- If applicable</v>
      </c>
      <c r="D57" s="932"/>
      <c r="E57" s="933"/>
      <c r="F57" s="933"/>
      <c r="G57" s="933"/>
      <c r="H57" s="934"/>
      <c r="I57" s="15" t="str">
        <f>IF(AND('General Information'!$E$62&lt;150, D57=""),"", IF(AND('General Information'!$E$62&lt;150, D57&lt;&gt;""),"OK", IF(AND('General Information'!$E$62&gt;=150, D57&lt;&gt;""),"OK", "MISSING VALUE")))</f>
        <v/>
      </c>
    </row>
    <row r="58" spans="1:9" ht="26.4" customHeight="1" x14ac:dyDescent="0.3">
      <c r="A58" s="305" t="s">
        <v>4785</v>
      </c>
      <c r="B58" s="304" t="s">
        <v>4788</v>
      </c>
      <c r="C58" s="178" t="str">
        <f>"Average gross hourly pay level of female employees (amount in " &amp; template_currency &amp; ")""- If applicable"</f>
        <v>Average gross hourly pay level of female employees (amount in )"- If applicable</v>
      </c>
      <c r="D58" s="935"/>
      <c r="E58" s="936"/>
      <c r="F58" s="936"/>
      <c r="G58" s="936"/>
      <c r="H58" s="937"/>
      <c r="I58" s="15" t="str">
        <f>IF(AND('General Information'!$E$62&lt;150, D58=""),"", IF(AND('General Information'!$E$62&lt;150, D58&lt;&gt;""),"OK", IF(AND('General Information'!$E$62&gt;=150, D58&lt;&gt;""),"OK", "MISSING VALUE")))</f>
        <v/>
      </c>
    </row>
    <row r="59" spans="1:9" ht="29.4" thickBot="1" x14ac:dyDescent="0.35">
      <c r="A59" s="305" t="s">
        <v>4785</v>
      </c>
      <c r="B59" s="304" t="s">
        <v>4788</v>
      </c>
      <c r="C59" s="179" t="s">
        <v>4486</v>
      </c>
      <c r="D59" s="938" t="str">
        <f>IF(AND(D57&lt;&gt;"",D58&lt;&gt;""),((D57-D58)/D57),"-")</f>
        <v>-</v>
      </c>
      <c r="E59" s="939"/>
      <c r="F59" s="939"/>
      <c r="G59" s="939"/>
      <c r="H59" s="940"/>
    </row>
    <row r="60" spans="1:9" x14ac:dyDescent="0.3">
      <c r="A60" s="945" t="s">
        <v>4786</v>
      </c>
      <c r="B60" s="947" t="s">
        <v>4789</v>
      </c>
      <c r="C60" s="237" t="s">
        <v>3376</v>
      </c>
      <c r="D60" s="948"/>
      <c r="E60" s="949"/>
      <c r="F60" s="949"/>
      <c r="G60" s="949"/>
      <c r="H60" s="950"/>
      <c r="I60" s="15" t="str">
        <f>IF(AND(OR('General Information'!E32="Option A (Basic Module only)", 'General Information'!E32="Option B (Basic Module and Comprehensive Module)"),D60=""),"MISSING VALUE",IF('General Information'!E32="","","OK"))</f>
        <v/>
      </c>
    </row>
    <row r="61" spans="1:9" ht="15" thickBot="1" x14ac:dyDescent="0.35">
      <c r="A61" s="946"/>
      <c r="B61" s="709"/>
      <c r="C61" s="179" t="s">
        <v>4007</v>
      </c>
      <c r="D61" s="951" t="str">
        <f>IF(D60&lt;&gt;"", IF('General Information'!E62=0, "-", D60/'General Information'!E62), "-")</f>
        <v>-</v>
      </c>
      <c r="E61" s="952"/>
      <c r="F61" s="952"/>
      <c r="G61" s="952"/>
      <c r="H61" s="953"/>
    </row>
    <row r="62" spans="1:9" ht="15" thickBot="1" x14ac:dyDescent="0.35"/>
    <row r="63" spans="1:9" x14ac:dyDescent="0.3">
      <c r="C63" s="954" t="str">
        <f xml:space="preserve"> "B10 – Workforce – Remuneration, collective bargaining and training " &amp; template_reporting_period_display &amp; " [Always to be reported]"</f>
        <v>B10 – Workforce – Remuneration, collective bargaining and training from - to - [Always to be reported]</v>
      </c>
      <c r="D63" s="955"/>
      <c r="E63" s="955"/>
      <c r="F63" s="955"/>
      <c r="G63" s="955"/>
      <c r="H63" s="956"/>
    </row>
    <row r="64" spans="1:9" x14ac:dyDescent="0.3">
      <c r="C64" s="514" t="s">
        <v>4790</v>
      </c>
      <c r="D64" s="515"/>
      <c r="E64" s="515"/>
      <c r="F64" s="515"/>
      <c r="G64" s="515"/>
      <c r="H64" s="516"/>
    </row>
    <row r="65" spans="1:9" x14ac:dyDescent="0.3">
      <c r="C65" s="180" t="s">
        <v>36</v>
      </c>
      <c r="D65" s="941" t="s">
        <v>4485</v>
      </c>
      <c r="E65" s="941"/>
      <c r="F65" s="941"/>
      <c r="G65" s="941"/>
      <c r="H65" s="942"/>
      <c r="I65" s="15"/>
    </row>
    <row r="66" spans="1:9" x14ac:dyDescent="0.3">
      <c r="C66" s="175" t="s">
        <v>37</v>
      </c>
      <c r="D66" s="943"/>
      <c r="E66" s="943"/>
      <c r="F66" s="943"/>
      <c r="G66" s="943"/>
      <c r="H66" s="944"/>
      <c r="I66" s="895" t="str">
        <f>IF(OR('General Information'!E32="Option A (Basic Module only)", 'General Information'!E32="Option B (Basic Module and Comprehensive Module)"), IF(OR(D66&lt;&gt;"", D67&lt;&gt;"", D68&lt;&gt;"", D69&lt;&gt;""), "OK", "MISSING VALUE"), "")</f>
        <v/>
      </c>
    </row>
    <row r="67" spans="1:9" x14ac:dyDescent="0.3">
      <c r="C67" s="175" t="s">
        <v>38</v>
      </c>
      <c r="D67" s="943"/>
      <c r="E67" s="943"/>
      <c r="F67" s="943"/>
      <c r="G67" s="943"/>
      <c r="H67" s="944"/>
      <c r="I67" s="895"/>
    </row>
    <row r="68" spans="1:9" x14ac:dyDescent="0.3">
      <c r="C68" s="175" t="s">
        <v>39</v>
      </c>
      <c r="D68" s="943"/>
      <c r="E68" s="943"/>
      <c r="F68" s="943"/>
      <c r="G68" s="943"/>
      <c r="H68" s="944"/>
      <c r="I68" s="895"/>
    </row>
    <row r="69" spans="1:9" x14ac:dyDescent="0.3">
      <c r="C69" s="175" t="s">
        <v>40</v>
      </c>
      <c r="D69" s="943"/>
      <c r="E69" s="943"/>
      <c r="F69" s="943"/>
      <c r="G69" s="943"/>
      <c r="H69" s="944"/>
      <c r="I69" s="895"/>
    </row>
    <row r="70" spans="1:9" x14ac:dyDescent="0.3">
      <c r="C70" s="923" t="s">
        <v>3639</v>
      </c>
      <c r="D70" s="924"/>
      <c r="E70" s="924"/>
      <c r="F70" s="924"/>
      <c r="G70" s="924"/>
      <c r="H70" s="925"/>
      <c r="I70" s="15"/>
    </row>
    <row r="71" spans="1:9" ht="15" thickBot="1" x14ac:dyDescent="0.35">
      <c r="C71" s="926" t="str">
        <f>IFERROR(
    IF(
        AND(D18&lt;&gt;"",D18&lt;&gt;0,D19&lt;&gt;"",D19&lt;&gt;0,D20&lt;&gt;"",D20&lt;&gt;0,D21&lt;&gt;"",D21&lt;&gt;0),
        AVERAGE(D66:D69),
        IF(OR(D18="", D18=0), AVERAGE(D67:D69),
        IF(OR(D19="", D19=0), AVERAGE(D66,D68,D69),
        IF(OR(D20="", D20=0), AVERAGE(D66,D67,D69),
        IF(OR(D21="", D21=0), AVERAGE(D66,D67,D68), "-"))))
    ),
"-")</f>
        <v>-</v>
      </c>
      <c r="D71" s="927"/>
      <c r="E71" s="927"/>
      <c r="F71" s="927"/>
      <c r="G71" s="927"/>
      <c r="H71" s="928"/>
      <c r="I71" s="15"/>
    </row>
    <row r="72" spans="1:9" ht="15" thickBot="1" x14ac:dyDescent="0.35"/>
    <row r="73" spans="1:9" ht="15" thickBot="1" x14ac:dyDescent="0.35">
      <c r="C73" s="929" t="str">
        <f xml:space="preserve"> "C5 – Additional (general) workforce characteristics " &amp; template_reporting_period_display &amp; " [May (optional)]"</f>
        <v>C5 – Additional (general) workforce characteristics from - to - [May (optional)]</v>
      </c>
      <c r="D73" s="930"/>
      <c r="E73" s="930"/>
      <c r="F73" s="930"/>
      <c r="G73" s="930"/>
      <c r="H73" s="931"/>
    </row>
    <row r="74" spans="1:9" x14ac:dyDescent="0.3">
      <c r="A74" s="305">
        <v>59</v>
      </c>
      <c r="B74" s="303" t="s">
        <v>4791</v>
      </c>
      <c r="C74" s="181" t="s">
        <v>3998</v>
      </c>
      <c r="D74" s="932"/>
      <c r="E74" s="933"/>
      <c r="F74" s="933"/>
      <c r="G74" s="933"/>
      <c r="H74" s="934"/>
      <c r="I74" s="15" t="str">
        <f>IF(D74&lt;&gt;"", "OK", "")</f>
        <v/>
      </c>
    </row>
    <row r="75" spans="1:9" x14ac:dyDescent="0.3">
      <c r="A75" s="305">
        <v>59</v>
      </c>
      <c r="B75" s="303" t="s">
        <v>4791</v>
      </c>
      <c r="C75" s="182" t="s">
        <v>3377</v>
      </c>
      <c r="D75" s="935"/>
      <c r="E75" s="936"/>
      <c r="F75" s="936"/>
      <c r="G75" s="936"/>
      <c r="H75" s="937"/>
      <c r="I75" s="15" t="str">
        <f t="shared" ref="I75:I78" si="1">IF(D75&lt;&gt;"", "OK", "")</f>
        <v/>
      </c>
    </row>
    <row r="76" spans="1:9" ht="15" thickBot="1" x14ac:dyDescent="0.35">
      <c r="A76" s="305">
        <v>59</v>
      </c>
      <c r="B76" s="303" t="s">
        <v>4791</v>
      </c>
      <c r="C76" s="179" t="s">
        <v>3635</v>
      </c>
      <c r="D76" s="938" t="str">
        <f>IF(AND(D74&lt;&gt;"",D75&lt;&gt;""),$D$75/$D$74,"-")</f>
        <v>-</v>
      </c>
      <c r="E76" s="939"/>
      <c r="F76" s="939"/>
      <c r="G76" s="939"/>
      <c r="H76" s="940"/>
    </row>
    <row r="77" spans="1:9" ht="28.8" x14ac:dyDescent="0.3">
      <c r="A77" s="294">
        <v>60</v>
      </c>
      <c r="B77" s="299" t="s">
        <v>4792</v>
      </c>
      <c r="C77" s="183" t="s">
        <v>3782</v>
      </c>
      <c r="D77" s="914"/>
      <c r="E77" s="915"/>
      <c r="F77" s="915"/>
      <c r="G77" s="915"/>
      <c r="H77" s="916"/>
      <c r="I77" s="15" t="str">
        <f t="shared" si="1"/>
        <v/>
      </c>
    </row>
    <row r="78" spans="1:9" ht="29.4" thickBot="1" x14ac:dyDescent="0.35">
      <c r="A78" s="294">
        <v>60</v>
      </c>
      <c r="B78" s="302" t="s">
        <v>4792</v>
      </c>
      <c r="C78" s="184" t="s">
        <v>46</v>
      </c>
      <c r="D78" s="917"/>
      <c r="E78" s="918"/>
      <c r="F78" s="918"/>
      <c r="G78" s="918"/>
      <c r="H78" s="919"/>
      <c r="I78" s="15" t="str">
        <f t="shared" si="1"/>
        <v/>
      </c>
    </row>
    <row r="79" spans="1:9" ht="15" thickBot="1" x14ac:dyDescent="0.35"/>
    <row r="80" spans="1:9" x14ac:dyDescent="0.3">
      <c r="C80" s="905" t="str">
        <f xml:space="preserve"> "C6 – Additional own workforce information - Human rights policies and processes " &amp; template_reporting_period_display &amp; " [Always to be reported]"</f>
        <v>C6 – Additional own workforce information - Human rights policies and processes from - to - [Always to be reported]</v>
      </c>
      <c r="D80" s="906"/>
      <c r="E80" s="906"/>
      <c r="F80" s="906"/>
      <c r="G80" s="906"/>
      <c r="H80" s="907"/>
    </row>
    <row r="81" spans="1:9" ht="28.8" x14ac:dyDescent="0.3">
      <c r="A81" s="294" t="s">
        <v>4793</v>
      </c>
      <c r="B81" s="299">
        <v>237</v>
      </c>
      <c r="C81" s="185" t="s">
        <v>48</v>
      </c>
      <c r="D81" s="920"/>
      <c r="E81" s="921"/>
      <c r="F81" s="921"/>
      <c r="G81" s="921"/>
      <c r="H81" s="922"/>
      <c r="I81" s="15" t="str">
        <f>IF(AND('General Information'!$E$32="Option B (Basic Module and Comprehensive Module)",D81&lt;&gt;""),"OK",IF(AND('General Information'!$E$32="Option B (Basic Module and Comprehensive Module)",D81=""),"MISSING VALUE",IF(AND('General Information'!$E$32="Option A (Basic Module only)",D81&lt;&gt;""),"OK","")))</f>
        <v/>
      </c>
    </row>
    <row r="82" spans="1:9" x14ac:dyDescent="0.3">
      <c r="A82" s="295" t="s">
        <v>4794</v>
      </c>
      <c r="B82" s="299">
        <v>237</v>
      </c>
      <c r="C82" s="148" t="s">
        <v>49</v>
      </c>
      <c r="D82" s="908"/>
      <c r="E82" s="909"/>
      <c r="F82" s="909"/>
      <c r="G82" s="909"/>
      <c r="H82" s="910"/>
    </row>
    <row r="83" spans="1:9" x14ac:dyDescent="0.3">
      <c r="A83" s="295" t="s">
        <v>4794</v>
      </c>
      <c r="B83" s="299">
        <v>237</v>
      </c>
      <c r="C83" s="186" t="s">
        <v>3371</v>
      </c>
      <c r="D83" s="911" t="b">
        <v>0</v>
      </c>
      <c r="E83" s="911"/>
      <c r="F83" s="911"/>
      <c r="G83" s="911"/>
      <c r="H83" s="912"/>
      <c r="I83" s="895"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
      </c>
    </row>
    <row r="84" spans="1:9" x14ac:dyDescent="0.3">
      <c r="A84" s="295" t="s">
        <v>4794</v>
      </c>
      <c r="B84" s="299">
        <v>237</v>
      </c>
      <c r="C84" s="186" t="s">
        <v>3372</v>
      </c>
      <c r="D84" s="911" t="b">
        <v>0</v>
      </c>
      <c r="E84" s="911"/>
      <c r="F84" s="911"/>
      <c r="G84" s="911"/>
      <c r="H84" s="912"/>
      <c r="I84" s="895"/>
    </row>
    <row r="85" spans="1:9" x14ac:dyDescent="0.3">
      <c r="A85" s="295" t="s">
        <v>4794</v>
      </c>
      <c r="B85" s="299">
        <v>237</v>
      </c>
      <c r="C85" s="186" t="s">
        <v>3373</v>
      </c>
      <c r="D85" s="911" t="b">
        <v>0</v>
      </c>
      <c r="E85" s="911"/>
      <c r="F85" s="911"/>
      <c r="G85" s="911"/>
      <c r="H85" s="912"/>
      <c r="I85" s="895"/>
    </row>
    <row r="86" spans="1:9" x14ac:dyDescent="0.3">
      <c r="A86" s="295" t="s">
        <v>4794</v>
      </c>
      <c r="B86" s="299">
        <v>237</v>
      </c>
      <c r="C86" s="186" t="s">
        <v>3374</v>
      </c>
      <c r="D86" s="911" t="b">
        <v>0</v>
      </c>
      <c r="E86" s="911"/>
      <c r="F86" s="911"/>
      <c r="G86" s="911"/>
      <c r="H86" s="912"/>
      <c r="I86" s="895"/>
    </row>
    <row r="87" spans="1:9" x14ac:dyDescent="0.3">
      <c r="A87" s="295" t="s">
        <v>4794</v>
      </c>
      <c r="B87" s="299">
        <v>237</v>
      </c>
      <c r="C87" s="187" t="s">
        <v>3375</v>
      </c>
      <c r="D87" s="913" t="b">
        <v>0</v>
      </c>
      <c r="E87" s="911"/>
      <c r="F87" s="911"/>
      <c r="G87" s="911"/>
      <c r="H87" s="912"/>
      <c r="I87" s="895"/>
    </row>
    <row r="88" spans="1:9" x14ac:dyDescent="0.3">
      <c r="A88" s="295" t="s">
        <v>4794</v>
      </c>
      <c r="B88" s="299">
        <v>237</v>
      </c>
      <c r="C88" s="188" t="s">
        <v>4019</v>
      </c>
      <c r="D88" s="911" t="b">
        <v>0</v>
      </c>
      <c r="E88" s="911"/>
      <c r="F88" s="911"/>
      <c r="G88" s="911"/>
      <c r="H88" s="912"/>
      <c r="I88" s="895"/>
    </row>
    <row r="89" spans="1:9" ht="33.6" customHeight="1" x14ac:dyDescent="0.3">
      <c r="A89" s="295" t="s">
        <v>4794</v>
      </c>
      <c r="B89" s="299">
        <v>237</v>
      </c>
      <c r="C89" s="120" t="s">
        <v>4020</v>
      </c>
      <c r="D89" s="900"/>
      <c r="E89" s="900"/>
      <c r="F89" s="900"/>
      <c r="G89" s="900"/>
      <c r="H89" s="901"/>
      <c r="I89" s="15" t="str">
        <f>IF(AND(D88=TRUE,D89&lt;&gt;""),"OK",IF(AND(D88=TRUE,D89=""),"MISSING VALUE",IF(AND(D88=FALSE,D89&lt;&gt;""),"MISSING VALUE","")))</f>
        <v/>
      </c>
    </row>
    <row r="90" spans="1:9" ht="31.2" customHeight="1" thickBot="1" x14ac:dyDescent="0.35">
      <c r="A90" s="296" t="s">
        <v>4795</v>
      </c>
      <c r="B90" s="302">
        <v>237</v>
      </c>
      <c r="C90" s="189" t="s">
        <v>3743</v>
      </c>
      <c r="D90" s="902"/>
      <c r="E90" s="903"/>
      <c r="F90" s="903"/>
      <c r="G90" s="903"/>
      <c r="H90" s="904"/>
      <c r="I90" s="15" t="str">
        <f>IF(AND('General Information'!$E$32="Option B (Basic Module and Comprehensive Module)",D90&lt;&gt;""),"OK",IF(AND('General Information'!$E$32="Option B (Basic Module and Comprehensive Module)",D90=""),"MISSING VALUE",IF(AND('General Information'!$E$32="Option A (Basic Module only)",D90&lt;&gt;""),"OK","")))</f>
        <v/>
      </c>
    </row>
    <row r="91" spans="1:9" ht="15" thickBot="1" x14ac:dyDescent="0.35"/>
    <row r="92" spans="1:9" x14ac:dyDescent="0.3">
      <c r="C92" s="905" t="str">
        <f xml:space="preserve"> "C7 – Severe negative human rights incidents " &amp; template_reporting_period_display &amp; " [Always to be reported]"</f>
        <v>C7 – Severe negative human rights incidents from - to - [Always to be reported]</v>
      </c>
      <c r="D92" s="906"/>
      <c r="E92" s="906"/>
      <c r="F92" s="906"/>
      <c r="G92" s="906"/>
      <c r="H92" s="907"/>
    </row>
    <row r="93" spans="1:9" x14ac:dyDescent="0.3">
      <c r="A93" s="294">
        <v>62</v>
      </c>
      <c r="B93" s="299">
        <v>238</v>
      </c>
      <c r="C93" s="190" t="s">
        <v>3741</v>
      </c>
      <c r="D93" s="650"/>
      <c r="E93" s="650"/>
      <c r="F93" s="650"/>
      <c r="G93" s="650"/>
      <c r="H93" s="891"/>
      <c r="I93" s="15" t="str">
        <f>IF(AND('General Information'!$E$32="Option B (Basic Module and Comprehensive Module)",D93&lt;&gt;""),"OK",IF(AND('General Information'!$E$32="Option B (Basic Module and Comprehensive Module)",D93=""),"MISSING VALUE",IF(AND('General Information'!$E$32="Option A (Basic Module only)",D93&lt;&gt;""),"OK","")))</f>
        <v/>
      </c>
    </row>
    <row r="94" spans="1:9" x14ac:dyDescent="0.3">
      <c r="A94" s="294" t="s">
        <v>4796</v>
      </c>
      <c r="B94" s="299">
        <v>238</v>
      </c>
      <c r="C94" s="190" t="s">
        <v>3740</v>
      </c>
      <c r="D94" s="908"/>
      <c r="E94" s="909"/>
      <c r="F94" s="909"/>
      <c r="G94" s="909"/>
      <c r="H94" s="910"/>
    </row>
    <row r="95" spans="1:9" x14ac:dyDescent="0.3">
      <c r="A95" s="294" t="s">
        <v>4796</v>
      </c>
      <c r="B95" s="299">
        <v>238</v>
      </c>
      <c r="C95" s="188" t="s">
        <v>3371</v>
      </c>
      <c r="D95" s="896" t="b">
        <v>0</v>
      </c>
      <c r="E95" s="896"/>
      <c r="F95" s="896"/>
      <c r="G95" s="896"/>
      <c r="H95" s="897"/>
      <c r="I95" s="895"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4796</v>
      </c>
      <c r="B96" s="299">
        <v>238</v>
      </c>
      <c r="C96" s="188" t="s">
        <v>3372</v>
      </c>
      <c r="D96" s="896" t="b">
        <v>0</v>
      </c>
      <c r="E96" s="896"/>
      <c r="F96" s="896"/>
      <c r="G96" s="896"/>
      <c r="H96" s="897"/>
      <c r="I96" s="895"/>
    </row>
    <row r="97" spans="1:9" x14ac:dyDescent="0.3">
      <c r="A97" s="294" t="s">
        <v>4796</v>
      </c>
      <c r="B97" s="299">
        <v>238</v>
      </c>
      <c r="C97" s="188" t="s">
        <v>3373</v>
      </c>
      <c r="D97" s="896" t="b">
        <v>0</v>
      </c>
      <c r="E97" s="896"/>
      <c r="F97" s="896"/>
      <c r="G97" s="896"/>
      <c r="H97" s="897"/>
      <c r="I97" s="895"/>
    </row>
    <row r="98" spans="1:9" x14ac:dyDescent="0.3">
      <c r="A98" s="294" t="s">
        <v>4796</v>
      </c>
      <c r="B98" s="299">
        <v>238</v>
      </c>
      <c r="C98" s="188" t="s">
        <v>3374</v>
      </c>
      <c r="D98" s="896" t="b">
        <v>0</v>
      </c>
      <c r="E98" s="896"/>
      <c r="F98" s="896"/>
      <c r="G98" s="896"/>
      <c r="H98" s="897"/>
      <c r="I98" s="895"/>
    </row>
    <row r="99" spans="1:9" x14ac:dyDescent="0.3">
      <c r="A99" s="294" t="s">
        <v>4796</v>
      </c>
      <c r="B99" s="299">
        <v>238</v>
      </c>
      <c r="C99" s="188" t="s">
        <v>4019</v>
      </c>
      <c r="D99" s="896" t="b">
        <v>0</v>
      </c>
      <c r="E99" s="896"/>
      <c r="F99" s="896"/>
      <c r="G99" s="896"/>
      <c r="H99" s="897"/>
      <c r="I99" s="895"/>
    </row>
    <row r="100" spans="1:9" x14ac:dyDescent="0.3">
      <c r="A100" s="294" t="s">
        <v>4796</v>
      </c>
      <c r="B100" s="299">
        <v>238</v>
      </c>
      <c r="C100" s="120" t="s">
        <v>4468</v>
      </c>
      <c r="D100" s="898"/>
      <c r="E100" s="898"/>
      <c r="F100" s="898"/>
      <c r="G100" s="898"/>
      <c r="H100" s="899"/>
      <c r="I100" s="15" t="str">
        <f>IF(AND(D99=TRUE,D100&lt;&gt;""),"OK",IF(AND(D99=TRUE,D100=""),"MISSING VALUE",IF(AND(D99=FALSE,D100&lt;&gt;""),"MISSING VALUE","")))</f>
        <v/>
      </c>
    </row>
    <row r="101" spans="1:9" x14ac:dyDescent="0.3">
      <c r="A101" s="306" t="s">
        <v>4797</v>
      </c>
      <c r="B101" s="299">
        <v>238</v>
      </c>
      <c r="C101" s="120" t="s">
        <v>4467</v>
      </c>
      <c r="D101" s="888"/>
      <c r="E101" s="889"/>
      <c r="F101" s="889"/>
      <c r="G101" s="889"/>
      <c r="H101" s="890"/>
      <c r="I101" s="15" t="str">
        <f>IF(D101&lt;&gt;"","OK","")</f>
        <v/>
      </c>
    </row>
    <row r="102" spans="1:9" ht="28.8" x14ac:dyDescent="0.3">
      <c r="A102" s="294" t="s">
        <v>4733</v>
      </c>
      <c r="B102" s="299">
        <v>238</v>
      </c>
      <c r="C102" s="148" t="s">
        <v>3629</v>
      </c>
      <c r="D102" s="650"/>
      <c r="E102" s="650"/>
      <c r="F102" s="650"/>
      <c r="G102" s="650"/>
      <c r="H102" s="891"/>
      <c r="I102" s="15" t="str">
        <f>IF(AND('General Information'!$E$32="Option B (Basic Module and Comprehensive Module)",D102&lt;&gt;""),"OK",IF(AND('General Information'!$E$32="Option B (Basic Module and Comprehensive Module)",D102=""),"MISSING VALUE",IF(AND('General Information'!$E$32="Option A (Basic Module only)",D102&lt;&gt;""),"OK","")))</f>
        <v/>
      </c>
    </row>
    <row r="103" spans="1:9" ht="29.4" thickBot="1" x14ac:dyDescent="0.35">
      <c r="A103" s="294" t="s">
        <v>4733</v>
      </c>
      <c r="B103" s="302">
        <v>238</v>
      </c>
      <c r="C103" s="283" t="s">
        <v>4027</v>
      </c>
      <c r="D103" s="892"/>
      <c r="E103" s="892"/>
      <c r="F103" s="892"/>
      <c r="G103" s="892"/>
      <c r="H103" s="893"/>
      <c r="I103" s="15" t="str">
        <f>IF(AND(D102="YES",D103&lt;&gt;""),"OK",IF(AND(D102="YES",D103=""),"MISSING VALUE",IF(AND(D102="NO",D103&lt;&gt;""),"MISSING VALUE","")))</f>
        <v/>
      </c>
    </row>
    <row r="106" spans="1:9" ht="15" thickBot="1" x14ac:dyDescent="0.35"/>
    <row r="107" spans="1:9" x14ac:dyDescent="0.3">
      <c r="C107" s="577" t="str">
        <f>+ "Disclosure of any other social and/or entity specific social disclosures " &amp; template_reporting_period_display &amp; " [May (optional)] "</f>
        <v xml:space="preserve">Disclosure of any other social and/or entity specific social disclosures from - to - [May (optional)] </v>
      </c>
      <c r="D107" s="578"/>
      <c r="E107" s="578"/>
      <c r="F107" s="578"/>
      <c r="G107" s="578"/>
      <c r="H107" s="579"/>
    </row>
    <row r="108" spans="1:9" x14ac:dyDescent="0.3">
      <c r="C108" s="837">
        <v>10</v>
      </c>
      <c r="D108" s="575"/>
      <c r="E108" s="575"/>
      <c r="F108" s="575"/>
      <c r="G108" s="575"/>
      <c r="H108" s="576"/>
    </row>
    <row r="109" spans="1:9" ht="15" thickBot="1" x14ac:dyDescent="0.35">
      <c r="C109" s="571"/>
      <c r="D109" s="572"/>
      <c r="E109" s="572"/>
      <c r="F109" s="572"/>
      <c r="G109" s="572"/>
      <c r="H109" s="894"/>
      <c r="I109" s="15" t="str">
        <f>IF(C109&lt;&gt;"", "OK", "")</f>
        <v/>
      </c>
    </row>
  </sheetData>
  <sheetProtection algorithmName="SHA-512" hashValue="/vLS392ng7zj/7e/Cv5m/f27apKbRrxtKP46IxgIPdrNeud/OX3V8KVuNmGHSQkT/qX7oiBkUr4H4kTZqwQFKw==" saltValue="TIE5P/yuoOMPg3Sv9OPHgw==" spinCount="100000" sheet="1" formatColumns="0" formatRows="0" insertRows="0"/>
  <mergeCells count="114">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8:D28"/>
    <mergeCell ref="E28:H28"/>
    <mergeCell ref="C29:D29"/>
    <mergeCell ref="E29:H29"/>
    <mergeCell ref="C30:D30"/>
    <mergeCell ref="E30:H30"/>
    <mergeCell ref="D22:G22"/>
    <mergeCell ref="C24:H24"/>
    <mergeCell ref="C25:H25"/>
    <mergeCell ref="C26:H26"/>
    <mergeCell ref="C27:D27"/>
    <mergeCell ref="E27:H27"/>
    <mergeCell ref="C34:D34"/>
    <mergeCell ref="E34:H34"/>
    <mergeCell ref="C35:D35"/>
    <mergeCell ref="E35:H35"/>
    <mergeCell ref="C36:D36"/>
    <mergeCell ref="E36:H36"/>
    <mergeCell ref="C31:D31"/>
    <mergeCell ref="E31:H31"/>
    <mergeCell ref="C32:D32"/>
    <mergeCell ref="E32:H32"/>
    <mergeCell ref="C33:D33"/>
    <mergeCell ref="E33:H33"/>
    <mergeCell ref="C42:H42"/>
    <mergeCell ref="D43:H43"/>
    <mergeCell ref="D44:H44"/>
    <mergeCell ref="D45:H45"/>
    <mergeCell ref="D46:H46"/>
    <mergeCell ref="C37:D37"/>
    <mergeCell ref="E37:H37"/>
    <mergeCell ref="C38:D38"/>
    <mergeCell ref="E38:H38"/>
    <mergeCell ref="C40:H40"/>
    <mergeCell ref="C41:H41"/>
    <mergeCell ref="D53:H53"/>
    <mergeCell ref="C55:H55"/>
    <mergeCell ref="D56:H56"/>
    <mergeCell ref="D57:H57"/>
    <mergeCell ref="D58:H58"/>
    <mergeCell ref="D59:H59"/>
    <mergeCell ref="C48:H48"/>
    <mergeCell ref="D49:H49"/>
    <mergeCell ref="D50:H50"/>
    <mergeCell ref="D51:H51"/>
    <mergeCell ref="D52:H52"/>
    <mergeCell ref="D65:H65"/>
    <mergeCell ref="D66:H66"/>
    <mergeCell ref="I66:I69"/>
    <mergeCell ref="D67:H67"/>
    <mergeCell ref="D68:H68"/>
    <mergeCell ref="D69:H69"/>
    <mergeCell ref="A60:A61"/>
    <mergeCell ref="B60:B61"/>
    <mergeCell ref="D60:H60"/>
    <mergeCell ref="D61:H61"/>
    <mergeCell ref="C63:H63"/>
    <mergeCell ref="C64:H64"/>
    <mergeCell ref="D77:H77"/>
    <mergeCell ref="D78:H78"/>
    <mergeCell ref="C80:H80"/>
    <mergeCell ref="D81:H81"/>
    <mergeCell ref="D82:H82"/>
    <mergeCell ref="D83:H83"/>
    <mergeCell ref="C70:H70"/>
    <mergeCell ref="C71:H71"/>
    <mergeCell ref="C73:H73"/>
    <mergeCell ref="D74:H74"/>
    <mergeCell ref="D75:H75"/>
    <mergeCell ref="D76:H76"/>
    <mergeCell ref="D89:H89"/>
    <mergeCell ref="D90:H90"/>
    <mergeCell ref="C92:H92"/>
    <mergeCell ref="D93:H93"/>
    <mergeCell ref="D94:H94"/>
    <mergeCell ref="D95:H95"/>
    <mergeCell ref="I83:I88"/>
    <mergeCell ref="D84:H84"/>
    <mergeCell ref="D85:H85"/>
    <mergeCell ref="D86:H86"/>
    <mergeCell ref="D87:H87"/>
    <mergeCell ref="D88:H88"/>
    <mergeCell ref="D101:H101"/>
    <mergeCell ref="D102:H102"/>
    <mergeCell ref="D103:H103"/>
    <mergeCell ref="C107:H107"/>
    <mergeCell ref="C108:H108"/>
    <mergeCell ref="C109:H109"/>
    <mergeCell ref="I95:I99"/>
    <mergeCell ref="D96:H96"/>
    <mergeCell ref="D97:H97"/>
    <mergeCell ref="D98:H98"/>
    <mergeCell ref="D99:H99"/>
    <mergeCell ref="D100:H100"/>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4736</v>
      </c>
      <c r="B1" s="310" t="s">
        <v>4735</v>
      </c>
      <c r="C1" s="10"/>
      <c r="D1" s="10"/>
      <c r="E1" s="10"/>
      <c r="F1" s="10"/>
      <c r="G1" s="10"/>
      <c r="H1" s="10"/>
    </row>
    <row r="2" spans="1:9" x14ac:dyDescent="0.3">
      <c r="A2" s="10"/>
      <c r="B2" s="10"/>
      <c r="C2" s="499" t="str">
        <f xml:space="preserve"> "B11 – Convictions and fines for corruption and bribery "&amp; template_reporting_period_display &amp; " [If applicable]"</f>
        <v>B11 – Convictions and fines for corruption and bribery from - to - [If applicable]</v>
      </c>
      <c r="D2" s="500"/>
      <c r="E2" s="500"/>
      <c r="F2" s="500"/>
      <c r="G2" s="500"/>
      <c r="H2" s="501"/>
    </row>
    <row r="3" spans="1:9" x14ac:dyDescent="0.3">
      <c r="A3" s="10"/>
      <c r="B3" s="10"/>
      <c r="C3" s="1017">
        <v>43</v>
      </c>
      <c r="D3" s="1018"/>
      <c r="E3" s="1018"/>
      <c r="F3" s="1018"/>
      <c r="G3" s="1018"/>
      <c r="H3" s="1019"/>
    </row>
    <row r="4" spans="1:9" x14ac:dyDescent="0.3">
      <c r="A4" s="10"/>
      <c r="B4" s="10"/>
      <c r="C4" s="1020" t="s">
        <v>4798</v>
      </c>
      <c r="D4" s="1021"/>
      <c r="E4" s="1021"/>
      <c r="F4" s="1021"/>
      <c r="G4" s="1021"/>
      <c r="H4" s="1022"/>
    </row>
    <row r="5" spans="1:9" s="10" customFormat="1" x14ac:dyDescent="0.3">
      <c r="C5" s="1045" t="s">
        <v>3999</v>
      </c>
      <c r="D5" s="1046"/>
      <c r="E5" s="1046"/>
      <c r="F5" s="1046"/>
      <c r="G5" s="1046"/>
      <c r="H5" s="191" t="b">
        <v>0</v>
      </c>
      <c r="I5" s="15"/>
    </row>
    <row r="6" spans="1:9" s="10" customFormat="1" ht="21.6" customHeight="1" x14ac:dyDescent="0.3">
      <c r="C6" s="1037" t="s">
        <v>4028</v>
      </c>
      <c r="D6" s="1038"/>
      <c r="E6" s="1038"/>
      <c r="F6" s="1038"/>
      <c r="G6" s="1039"/>
      <c r="H6" s="343"/>
      <c r="I6" s="15" t="str">
        <f>IF(AND($H$5=TRUE,H6&lt;&gt;""),"OK",IF(AND($H$5=TRUE,H6=""),"MISSING VALUE",""))</f>
        <v/>
      </c>
    </row>
    <row r="7" spans="1:9" s="10" customFormat="1" ht="15" thickBot="1" x14ac:dyDescent="0.35">
      <c r="C7" s="1040" t="str">
        <f>"Total amount of fines for the violation of anti-corruption and anti_x0002_bribery laws (monetary amount) in " &amp;  template_currency</f>
        <v xml:space="preserve">Total amount of fines for the violation of anti-corruption and anti_x0002_bribery laws (monetary amount) in </v>
      </c>
      <c r="D7" s="1041"/>
      <c r="E7" s="1041"/>
      <c r="F7" s="1041"/>
      <c r="G7" s="1042"/>
      <c r="H7" s="344"/>
      <c r="I7" s="15" t="str">
        <f>IF(AND($H$5=TRUE,H7&lt;&gt;""),"OK",IF(AND($H$5=TRUE,H7=""),"MISSING VALUE",""))</f>
        <v/>
      </c>
    </row>
    <row r="8" spans="1:9" s="10" customFormat="1" ht="15" thickBot="1" x14ac:dyDescent="0.35">
      <c r="I8" s="15"/>
    </row>
    <row r="9" spans="1:9" s="10" customFormat="1" x14ac:dyDescent="0.3">
      <c r="C9" s="746" t="str">
        <f xml:space="preserve"> "C8 – Revenues from certain sectors " &amp; template_reporting_period_display &amp; " [If applicable]"</f>
        <v>C8 – Revenues from certain sectors from - to - [If applicable]</v>
      </c>
      <c r="D9" s="1012"/>
      <c r="E9" s="1012"/>
      <c r="F9" s="1012"/>
      <c r="G9" s="1012"/>
      <c r="H9" s="1013"/>
      <c r="I9" s="15"/>
    </row>
    <row r="10" spans="1:9" ht="28.2" customHeight="1" x14ac:dyDescent="0.3">
      <c r="A10" s="10"/>
      <c r="B10" s="10"/>
      <c r="C10" s="1045" t="s">
        <v>4000</v>
      </c>
      <c r="D10" s="1046"/>
      <c r="E10" s="1046"/>
      <c r="F10" s="1046"/>
      <c r="G10" s="1046"/>
      <c r="H10" s="192" t="b">
        <v>0</v>
      </c>
    </row>
    <row r="11" spans="1:9" x14ac:dyDescent="0.3">
      <c r="A11" s="10"/>
      <c r="B11" s="10"/>
      <c r="C11" s="1027"/>
      <c r="D11" s="1028"/>
      <c r="E11" s="1028"/>
      <c r="F11" s="1028"/>
      <c r="G11" s="1028"/>
      <c r="H11" s="55" t="str">
        <f xml:space="preserve"> "Monetary amount in " &amp; template_currency</f>
        <v xml:space="preserve">Monetary amount in </v>
      </c>
    </row>
    <row r="12" spans="1:9" s="10" customFormat="1" ht="32.4" customHeight="1" x14ac:dyDescent="0.3">
      <c r="A12" s="297" t="s">
        <v>4799</v>
      </c>
      <c r="B12" s="298" t="s">
        <v>4803</v>
      </c>
      <c r="C12" s="494" t="s">
        <v>3771</v>
      </c>
      <c r="D12" s="495"/>
      <c r="E12" s="495"/>
      <c r="F12" s="495"/>
      <c r="G12" s="495"/>
      <c r="H12" s="339"/>
      <c r="I12" s="1047" t="str">
        <f>IF(AND(H10=FALSE,COUNTA(H12:H16)=0, H18=""),
    "",
    IF(AND(OR(COUNTA(H12:H16)&gt;0, H18&lt;&gt;""), SUM(H12:H16, H18)&lt;='General Information'!E61),
        "OK",
        IF(AND(H10=TRUE, COUNTA(H12:H16)=0, H18=""),
            "MISSING VALUE",
            "VALUE INCONSISTENCY"
        )
    )
)</f>
        <v/>
      </c>
    </row>
    <row r="13" spans="1:9" s="10" customFormat="1" ht="15" thickBot="1" x14ac:dyDescent="0.35">
      <c r="A13" s="297" t="s">
        <v>4800</v>
      </c>
      <c r="B13" s="298" t="s">
        <v>4803</v>
      </c>
      <c r="C13" s="753" t="s">
        <v>3770</v>
      </c>
      <c r="D13" s="754"/>
      <c r="E13" s="754"/>
      <c r="F13" s="754"/>
      <c r="G13" s="754"/>
      <c r="H13" s="340"/>
      <c r="I13" s="1047"/>
    </row>
    <row r="14" spans="1:9" s="10" customFormat="1" x14ac:dyDescent="0.3">
      <c r="A14" s="307" t="s">
        <v>4801</v>
      </c>
      <c r="B14" s="298" t="s">
        <v>4803</v>
      </c>
      <c r="C14" s="1048" t="s">
        <v>3769</v>
      </c>
      <c r="D14" s="1049"/>
      <c r="E14" s="1049"/>
      <c r="F14" s="1049"/>
      <c r="G14" s="1049"/>
      <c r="H14" s="341"/>
      <c r="I14" s="1047"/>
    </row>
    <row r="15" spans="1:9" s="10" customFormat="1" x14ac:dyDescent="0.3">
      <c r="A15" s="307" t="s">
        <v>4801</v>
      </c>
      <c r="B15" s="298" t="s">
        <v>4803</v>
      </c>
      <c r="C15" s="494" t="s">
        <v>3768</v>
      </c>
      <c r="D15" s="495"/>
      <c r="E15" s="495"/>
      <c r="F15" s="495"/>
      <c r="G15" s="495"/>
      <c r="H15" s="339"/>
      <c r="I15" s="1047"/>
    </row>
    <row r="16" spans="1:9" s="10" customFormat="1" x14ac:dyDescent="0.3">
      <c r="A16" s="307" t="s">
        <v>4801</v>
      </c>
      <c r="B16" s="298" t="s">
        <v>4803</v>
      </c>
      <c r="C16" s="494" t="s">
        <v>3767</v>
      </c>
      <c r="D16" s="495"/>
      <c r="E16" s="495"/>
      <c r="F16" s="495"/>
      <c r="G16" s="495"/>
      <c r="H16" s="339"/>
      <c r="I16" s="1047"/>
    </row>
    <row r="17" spans="1:9" s="10" customFormat="1" ht="60.6" customHeight="1" thickBot="1" x14ac:dyDescent="0.35">
      <c r="A17" s="307" t="s">
        <v>4801</v>
      </c>
      <c r="B17" s="298" t="s">
        <v>4803</v>
      </c>
      <c r="C17" s="1043" t="s">
        <v>4029</v>
      </c>
      <c r="D17" s="1044"/>
      <c r="E17" s="1044"/>
      <c r="F17" s="1044"/>
      <c r="G17" s="1044"/>
      <c r="H17" s="334" t="str">
        <f>IF(COUNTA(H14:H16)=0, "-", SUM(H14:H16))</f>
        <v>-</v>
      </c>
      <c r="I17" s="1047"/>
    </row>
    <row r="18" spans="1:9" s="10" customFormat="1" ht="15" thickBot="1" x14ac:dyDescent="0.35">
      <c r="A18" s="297" t="s">
        <v>4802</v>
      </c>
      <c r="B18" s="298" t="s">
        <v>4803</v>
      </c>
      <c r="C18" s="881" t="s">
        <v>3766</v>
      </c>
      <c r="D18" s="1026"/>
      <c r="E18" s="1026"/>
      <c r="F18" s="1026"/>
      <c r="G18" s="1026"/>
      <c r="H18" s="342"/>
      <c r="I18" s="1047"/>
    </row>
    <row r="19" spans="1:9" s="10" customFormat="1" ht="15" thickBot="1" x14ac:dyDescent="0.35">
      <c r="I19" s="15"/>
    </row>
    <row r="20" spans="1:9" s="10" customFormat="1" x14ac:dyDescent="0.3">
      <c r="B20" s="289"/>
      <c r="C20" s="746" t="str">
        <f xml:space="preserve"> "C8 – Exclusion from EU reference benchmarks " &amp; template_reporting_period_display &amp; " [Always to be reported]"</f>
        <v>C8 – Exclusion from EU reference benchmarks from - to - [Always to be reported]</v>
      </c>
      <c r="D20" s="1012"/>
      <c r="E20" s="1012"/>
      <c r="F20" s="1012"/>
      <c r="G20" s="1012"/>
      <c r="H20" s="1013"/>
      <c r="I20" s="15"/>
    </row>
    <row r="21" spans="1:9" s="10" customFormat="1" x14ac:dyDescent="0.3">
      <c r="B21" s="290"/>
      <c r="C21" s="1023" t="s">
        <v>3370</v>
      </c>
      <c r="D21" s="1024"/>
      <c r="E21" s="1024"/>
      <c r="F21" s="1024"/>
      <c r="G21" s="1024"/>
      <c r="H21" s="1025"/>
      <c r="I21" s="15"/>
    </row>
    <row r="22" spans="1:9" s="10" customFormat="1" ht="30" customHeight="1" x14ac:dyDescent="0.3">
      <c r="A22" s="297">
        <v>64</v>
      </c>
      <c r="B22" s="297" t="s">
        <v>4804</v>
      </c>
      <c r="C22" s="1029" t="s">
        <v>3294</v>
      </c>
      <c r="D22" s="1029"/>
      <c r="E22" s="1029"/>
      <c r="F22" s="1029"/>
      <c r="G22" s="1030"/>
      <c r="H22" s="193" t="b">
        <v>0</v>
      </c>
      <c r="I22" s="895"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
      </c>
    </row>
    <row r="23" spans="1:9" s="10" customFormat="1" x14ac:dyDescent="0.3">
      <c r="A23" s="297">
        <v>64</v>
      </c>
      <c r="B23" s="297" t="s">
        <v>4805</v>
      </c>
      <c r="C23" s="1031" t="s">
        <v>3293</v>
      </c>
      <c r="D23" s="1031"/>
      <c r="E23" s="1031"/>
      <c r="F23" s="1031"/>
      <c r="G23" s="1032"/>
      <c r="H23" s="194" t="b">
        <v>0</v>
      </c>
      <c r="I23" s="895"/>
    </row>
    <row r="24" spans="1:9" s="10" customFormat="1" ht="32.4" customHeight="1" x14ac:dyDescent="0.3">
      <c r="A24" s="297">
        <v>64</v>
      </c>
      <c r="B24" s="297" t="s">
        <v>4806</v>
      </c>
      <c r="C24" s="1033" t="s">
        <v>3292</v>
      </c>
      <c r="D24" s="1033"/>
      <c r="E24" s="1033"/>
      <c r="F24" s="1033"/>
      <c r="G24" s="1034"/>
      <c r="H24" s="194" t="b">
        <v>0</v>
      </c>
      <c r="I24" s="895"/>
    </row>
    <row r="25" spans="1:9" s="10" customFormat="1" ht="31.2" customHeight="1" thickBot="1" x14ac:dyDescent="0.35">
      <c r="A25" s="297">
        <v>64</v>
      </c>
      <c r="B25" s="297" t="s">
        <v>4807</v>
      </c>
      <c r="C25" s="1035" t="s">
        <v>4031</v>
      </c>
      <c r="D25" s="1035"/>
      <c r="E25" s="1035"/>
      <c r="F25" s="1035"/>
      <c r="G25" s="1036"/>
      <c r="H25" s="195" t="b">
        <v>0</v>
      </c>
      <c r="I25" s="895"/>
    </row>
    <row r="26" spans="1:9" s="10" customFormat="1" ht="15" thickBot="1" x14ac:dyDescent="0.35">
      <c r="B26" s="289"/>
      <c r="C26" s="1053" t="s">
        <v>3644</v>
      </c>
      <c r="D26" s="1054"/>
      <c r="E26" s="1054"/>
      <c r="F26" s="1054"/>
      <c r="G26" s="1055"/>
      <c r="H26" s="196" t="b">
        <v>0</v>
      </c>
      <c r="I26" s="895"/>
    </row>
    <row r="27" spans="1:9" s="10" customFormat="1" ht="15" thickBot="1" x14ac:dyDescent="0.35">
      <c r="A27" s="297">
        <v>64</v>
      </c>
      <c r="B27" s="308">
        <v>241</v>
      </c>
      <c r="C27" s="1056" t="s">
        <v>3744</v>
      </c>
      <c r="D27" s="1057"/>
      <c r="E27" s="1057"/>
      <c r="F27" s="1057"/>
      <c r="G27" s="1058"/>
      <c r="H27" s="20" t="str">
        <f>IF(AND(OR(H22=TRUE, H23=TRUE, H24=TRUE, H25=TRUE), H26=FALSE), "YES",
   IF(AND(OR(H22=TRUE, H23=TRUE, H24=TRUE, H25=TRUE), H26=TRUE), "NA",
   IF(AND(H22=FALSE, H23=FALSE, H24=FALSE, H25=FALSE, H26=TRUE), "NO",
   IF(AND(H22=FALSE, H23=FALSE, H24=FALSE, H25=FALSE, H26=FALSE), "-", ""))))</f>
        <v>-</v>
      </c>
      <c r="I27" s="15" t="str">
        <f>IF(H27=TRUE, "OK", "")</f>
        <v/>
      </c>
    </row>
    <row r="28" spans="1:9" s="10" customFormat="1" ht="15" thickBot="1" x14ac:dyDescent="0.35">
      <c r="I28" s="15"/>
    </row>
    <row r="29" spans="1:9" s="10" customFormat="1" x14ac:dyDescent="0.3">
      <c r="C29" s="1014" t="str">
        <f>"C9 – Gender diversity ratio in the governance body " &amp; template_ending_date_display &amp; "  [If applicable]"</f>
        <v>C9 – Gender diversity ratio in the governance body at -  [If applicable]</v>
      </c>
      <c r="D29" s="1015"/>
      <c r="E29" s="1015"/>
      <c r="F29" s="1015"/>
      <c r="G29" s="1015"/>
      <c r="H29" s="1016"/>
      <c r="I29" s="15"/>
    </row>
    <row r="30" spans="1:9" s="10" customFormat="1" x14ac:dyDescent="0.3">
      <c r="C30" s="1045" t="s">
        <v>4001</v>
      </c>
      <c r="D30" s="1046"/>
      <c r="E30" s="1046"/>
      <c r="F30" s="1046"/>
      <c r="G30" s="1046"/>
      <c r="H30" s="192" t="b">
        <v>0</v>
      </c>
      <c r="I30" s="15"/>
    </row>
    <row r="31" spans="1:9" s="10" customFormat="1" x14ac:dyDescent="0.3">
      <c r="A31" s="1021">
        <v>65</v>
      </c>
      <c r="B31" s="1061" t="s">
        <v>4808</v>
      </c>
      <c r="C31" s="1045" t="s">
        <v>4478</v>
      </c>
      <c r="D31" s="1046"/>
      <c r="E31" s="1046"/>
      <c r="F31" s="1046"/>
      <c r="G31" s="1046"/>
      <c r="H31" s="339"/>
      <c r="I31" s="15" t="str">
        <f>IF(AND($H$30=TRUE,H31&lt;&gt;""),"OK",IF(AND($H$30=TRUE,H31=""),"MISSING VALUE",""))</f>
        <v/>
      </c>
    </row>
    <row r="32" spans="1:9" s="10" customFormat="1" x14ac:dyDescent="0.3">
      <c r="A32" s="1059"/>
      <c r="B32" s="1062"/>
      <c r="C32" s="1045" t="s">
        <v>4479</v>
      </c>
      <c r="D32" s="1046"/>
      <c r="E32" s="1046"/>
      <c r="F32" s="1046"/>
      <c r="G32" s="1046"/>
      <c r="H32" s="339"/>
      <c r="I32" s="15" t="str">
        <f>IF(AND($H$30=TRUE,H32&lt;&gt;""),"OK",IF(AND($H$30=TRUE,H32=""),"MISSING VALUE",""))</f>
        <v/>
      </c>
    </row>
    <row r="33" spans="1:9" s="10" customFormat="1" ht="15" thickBot="1" x14ac:dyDescent="0.35">
      <c r="A33" s="1060"/>
      <c r="B33" s="1063"/>
      <c r="C33" s="1064" t="s">
        <v>4480</v>
      </c>
      <c r="D33" s="1065"/>
      <c r="E33" s="1065"/>
      <c r="F33" s="1065"/>
      <c r="G33" s="1065"/>
      <c r="H33" s="338" t="str">
        <f>IF(AND(H31&lt;&gt;"",H32&lt;&gt;""),$H$31/$H$32,"-")</f>
        <v>-</v>
      </c>
      <c r="I33" s="15"/>
    </row>
    <row r="34" spans="1:9" s="10" customFormat="1" x14ac:dyDescent="0.3">
      <c r="I34" s="15"/>
    </row>
    <row r="35" spans="1:9" s="10" customFormat="1" x14ac:dyDescent="0.3">
      <c r="I35" s="15"/>
    </row>
    <row r="36" spans="1:9" s="10" customFormat="1" x14ac:dyDescent="0.3">
      <c r="C36" s="577" t="str">
        <f>+ "Disclosure of any other governance and/or entity specific governance disclosures " &amp; template_reporting_period_display &amp; "  [May (optional)] "</f>
        <v xml:space="preserve">Disclosure of any other governance and/or entity specific governance disclosures from - to -  [May (optional)] </v>
      </c>
      <c r="D36" s="578"/>
      <c r="E36" s="578"/>
      <c r="F36" s="578"/>
      <c r="G36" s="578"/>
      <c r="H36" s="579"/>
      <c r="I36" s="15"/>
    </row>
    <row r="37" spans="1:9" s="10" customFormat="1" x14ac:dyDescent="0.3">
      <c r="C37" s="1050">
        <v>10</v>
      </c>
      <c r="D37" s="1051"/>
      <c r="E37" s="1051"/>
      <c r="F37" s="1051"/>
      <c r="G37" s="1051"/>
      <c r="H37" s="1052"/>
      <c r="I37" s="15"/>
    </row>
    <row r="38" spans="1:9" s="10" customFormat="1" ht="15" thickBot="1" x14ac:dyDescent="0.35">
      <c r="C38" s="571"/>
      <c r="D38" s="572"/>
      <c r="E38" s="572"/>
      <c r="F38" s="572"/>
      <c r="G38" s="572"/>
      <c r="H38" s="894"/>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CYwavY5KmQaGZGQosFVtoRCvSp9nVWiBDpVxzUby3rbGBZudeUW6Q8To1CGCoP7cmTZPsy4GYiAbpbJRvW6AJw==" saltValue="aPETxXWUvIvzrSlC5TXK2g=="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hidden="1" customWidth="1" outlineLevel="1"/>
    <col min="12" max="12" width="25" style="10" hidden="1" customWidth="1" outlineLevel="1"/>
    <col min="13" max="13" width="67.5546875" style="10" hidden="1" customWidth="1" outlineLevel="1"/>
    <col min="14" max="14" width="15.5546875" style="10" customWidth="1" collapsed="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67" t="s">
        <v>4566</v>
      </c>
      <c r="B3" s="1067"/>
      <c r="C3" s="1067"/>
      <c r="D3" s="1067"/>
      <c r="E3" s="1067"/>
      <c r="F3" s="1067"/>
      <c r="G3" s="1067"/>
      <c r="H3" s="1067"/>
      <c r="I3" s="1067"/>
      <c r="J3" s="1067"/>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66" t="s">
        <v>4813</v>
      </c>
      <c r="C5" s="1066"/>
      <c r="D5" s="1066"/>
      <c r="E5" s="101"/>
      <c r="F5" s="101"/>
      <c r="G5" s="101"/>
      <c r="H5" s="101"/>
      <c r="I5" s="101"/>
      <c r="AK5" s="10"/>
      <c r="AM5" s="10"/>
      <c r="AN5" s="10"/>
      <c r="AO5" s="10"/>
    </row>
    <row r="6" spans="1:45" ht="44.4" customHeight="1" thickBot="1" x14ac:dyDescent="0.35">
      <c r="A6" s="67" t="s">
        <v>4465</v>
      </c>
      <c r="B6" s="1066" t="s">
        <v>3765</v>
      </c>
      <c r="C6" s="1066"/>
      <c r="D6" s="1066"/>
      <c r="E6" s="101"/>
      <c r="F6" s="101"/>
      <c r="G6" s="101"/>
      <c r="H6" s="101"/>
      <c r="I6" s="101"/>
      <c r="AK6" s="10"/>
      <c r="AM6" s="10"/>
      <c r="AN6" s="10"/>
      <c r="AO6" s="10"/>
    </row>
    <row r="7" spans="1:45" ht="51.6" customHeight="1" thickBot="1" x14ac:dyDescent="0.35">
      <c r="A7" s="104" t="e" vm="1">
        <v>#VALUE!</v>
      </c>
      <c r="B7" s="1066" t="s">
        <v>4814</v>
      </c>
      <c r="C7" s="1066"/>
      <c r="D7" s="1066"/>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4642</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c r="C10" s="61"/>
      <c r="E10" s="10" t="s">
        <v>4636</v>
      </c>
      <c r="K10" s="60" t="s">
        <v>3646</v>
      </c>
      <c r="L10" s="198"/>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3745</v>
      </c>
      <c r="B11" s="67" t="str">
        <f>IF(B10="", "-", IFERROR(IF(INDEX('Fuel Conversion Parameters'!$B$2:$B$61, MATCH(B10, 'Fuel Conversion Parameters'!$A$2:$A$61, 0))="", "MISSING VALUE", INDEX('Fuel Conversion Parameters'!$B$2:$B$61, MATCH(B10, 'Fuel Conversion Parameters'!$A$2:$A$61, 0))), "MISSING VALUE"))</f>
        <v>-</v>
      </c>
      <c r="C11" s="61"/>
      <c r="E11" s="10" t="s">
        <v>4637</v>
      </c>
      <c r="K11" s="60" t="s">
        <v>3745</v>
      </c>
      <c r="L11" s="67" t="str">
        <f>IF(L10="", "-", IFERROR(IF(INDEX('Fuel Conversion Parameters'!$B$2:$B$61, MATCH(L10, 'Fuel Conversion Parameters'!$A$2:$A$61, 0))="", "MISSING VALUE", INDEX('Fuel Conversion Parameters'!$B$2:$B$61, MATCH(L10, 'Fuel Conversion Parameters'!$A$2:$A$61, 0))), "MISSING VALUE"))</f>
        <v>-</v>
      </c>
      <c r="M11" s="61"/>
      <c r="O11" s="60" t="s">
        <v>3745</v>
      </c>
      <c r="P11" s="67" t="str">
        <f>IF(P10="", "-", IFERROR(IF(INDEX('Fuel Conversion Parameters'!$B$2:$B$61, MATCH(P10, 'Fuel Conversion Parameters'!$A$2:$A$61, 0))="", "MISSING VALUE", INDEX('Fuel Conversion Parameters'!$B$2:$B$61, MATCH(P10, 'Fuel Conversion Parameters'!$A$2:$A$61, 0))), "MISSING VALUE"))</f>
        <v>-</v>
      </c>
      <c r="Q11" s="61"/>
      <c r="S11" s="60" t="s">
        <v>3745</v>
      </c>
      <c r="T11" s="67" t="str">
        <f>IF(T10="", "-", IFERROR(IF(INDEX('Fuel Conversion Parameters'!$B$2:$B$61, MATCH(T10, 'Fuel Conversion Parameters'!$A$2:$A$61, 0))="", "MISSING VALUE", INDEX('Fuel Conversion Parameters'!$B$2:$B$61, MATCH(T10, 'Fuel Conversion Parameters'!$A$2:$A$61, 0))), "MISSING VALUE"))</f>
        <v>-</v>
      </c>
      <c r="U11" s="61"/>
      <c r="W11" s="60" t="s">
        <v>3745</v>
      </c>
      <c r="X11" s="67" t="str">
        <f>IF(X10="", "-", IFERROR(IF(INDEX('Fuel Conversion Parameters'!$B$2:$B$61, MATCH(X10, 'Fuel Conversion Parameters'!$A$2:$A$61, 0))="", "MISSING VALUE", INDEX('Fuel Conversion Parameters'!$B$2:$B$61, MATCH(X10, 'Fuel Conversion Parameters'!$A$2:$A$61, 0))), "MISSING VALUE"))</f>
        <v>-</v>
      </c>
      <c r="Y11" s="61"/>
      <c r="AA11" s="60" t="s">
        <v>3745</v>
      </c>
      <c r="AB11" s="67" t="str">
        <f>IF(AB10="", "-", IFERROR(IF(INDEX('Fuel Conversion Parameters'!$B$2:$B$61, MATCH(AB10, 'Fuel Conversion Parameters'!$A$2:$A$61, 0))="", "MISSING VALUE", INDEX('Fuel Conversion Parameters'!$B$2:$B$61, MATCH(AB10, 'Fuel Conversion Parameters'!$A$2:$A$61, 0))), "MISSING VALUE"))</f>
        <v>-</v>
      </c>
      <c r="AC11" s="61"/>
      <c r="AE11" s="60" t="s">
        <v>3745</v>
      </c>
      <c r="AF11" s="67" t="str">
        <f>IF(AF10="", "-", IFERROR(IF(INDEX('Fuel Conversion Parameters'!$B$2:$B$61, MATCH(AF10, 'Fuel Conversion Parameters'!$A$2:$A$61, 0))="", "MISSING VALUE", INDEX('Fuel Conversion Parameters'!$B$2:$B$61, MATCH(AF10, 'Fuel Conversion Parameters'!$A$2:$A$61, 0))), "MISSING VALUE"))</f>
        <v>-</v>
      </c>
      <c r="AG11" s="61"/>
      <c r="AI11" s="60" t="s">
        <v>3745</v>
      </c>
      <c r="AJ11" s="67" t="str">
        <f>IF(AJ10="", "-", IFERROR(IF(INDEX('Fuel Conversion Parameters'!$B$2:$B$61, MATCH(AJ10, 'Fuel Conversion Parameters'!$A$2:$A$61, 0))="", "MISSING VALUE", INDEX('Fuel Conversion Parameters'!$B$2:$B$61, MATCH(AJ10, 'Fuel Conversion Parameters'!$A$2:$A$61, 0))), "MISSING VALUE"))</f>
        <v>-</v>
      </c>
      <c r="AK11" s="61"/>
      <c r="AM11" s="60" t="s">
        <v>3745</v>
      </c>
      <c r="AN11" s="67" t="str">
        <f>IF(AN10="", "-", IFERROR(IF(INDEX('Fuel Conversion Parameters'!$B$2:$B$61, MATCH(AN10, 'Fuel Conversion Parameters'!$A$2:$A$61, 0))="", "MISSING VALUE", INDEX('Fuel Conversion Parameters'!$B$2:$B$61, MATCH(AN10, 'Fuel Conversion Parameters'!$A$2:$A$61, 0))), "MISSING VALUE"))</f>
        <v>-</v>
      </c>
      <c r="AO11" s="61"/>
      <c r="AQ11" s="60" t="s">
        <v>3745</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4537</v>
      </c>
      <c r="B12" s="67" t="str">
        <f>IF(B10="", "-", IFERROR(IF(INDEX('Fuel Conversion Parameters'!$F$2:$F$61, MATCH(B10, 'Fuel Conversion Parameters'!$A$2:$A$61, 0))="", "MISSING VALUE", INDEX('Fuel Conversion Parameters'!$F$2:$F$61, MATCH(B10, 'Fuel Conversion Parameters'!$A$2:$A$61, 0))), "MISSING VALUE"))</f>
        <v>-</v>
      </c>
      <c r="C12" s="61"/>
      <c r="E12" s="10" t="s">
        <v>4638</v>
      </c>
      <c r="K12" s="60" t="s">
        <v>4537</v>
      </c>
      <c r="L12" s="67" t="str">
        <f>IF(L10="", "-", IFERROR(IF(INDEX('Fuel Conversion Parameters'!$F$2:$F$61, MATCH(L10, 'Fuel Conversion Parameters'!$A$2:$A$61, 0))="", "MISSING VALUE", INDEX('Fuel Conversion Parameters'!$F$2:$F$61, MATCH(L10, 'Fuel Conversion Parameters'!$A$2:$A$61, 0))), "MISSING VALUE"))</f>
        <v>-</v>
      </c>
      <c r="M12" s="61"/>
      <c r="O12" s="60" t="s">
        <v>4537</v>
      </c>
      <c r="P12" s="67" t="str">
        <f>IF(P10="", "-", IFERROR(IF(INDEX('Fuel Conversion Parameters'!$F$2:$F$61, MATCH(P10, 'Fuel Conversion Parameters'!$A$2:$A$61, 0))="", "MISSING VALUE", INDEX('Fuel Conversion Parameters'!$F$2:$F$61, MATCH(P10, 'Fuel Conversion Parameters'!$A$2:$A$61, 0))), "MISSING VALUE"))</f>
        <v>-</v>
      </c>
      <c r="Q12" s="61"/>
      <c r="S12" s="54" t="s">
        <v>4537</v>
      </c>
      <c r="T12" s="67" t="str">
        <f>IF(T10="", "-", IFERROR(IF(INDEX('Fuel Conversion Parameters'!$F$2:$F$61, MATCH(T10, 'Fuel Conversion Parameters'!$A$2:$A$61, 0))="", "MISSING VALUE", INDEX('Fuel Conversion Parameters'!$F$2:$F$61, MATCH(T10, 'Fuel Conversion Parameters'!$A$2:$A$61, 0))), "MISSING VALUE"))</f>
        <v>-</v>
      </c>
      <c r="U12" s="61"/>
      <c r="W12" s="54" t="s">
        <v>4537</v>
      </c>
      <c r="X12" s="67" t="str">
        <f>IF(X10="", "-", IFERROR(IF(INDEX('Fuel Conversion Parameters'!$F$2:$F$61, MATCH(X10, 'Fuel Conversion Parameters'!$A$2:$A$61, 0))="", "MISSING VALUE", INDEX('Fuel Conversion Parameters'!$F$2:$F$61, MATCH(X10, 'Fuel Conversion Parameters'!$A$2:$A$61, 0))), "MISSING VALUE"))</f>
        <v>-</v>
      </c>
      <c r="Y12" s="61"/>
      <c r="AA12" s="54" t="s">
        <v>4537</v>
      </c>
      <c r="AB12" s="67" t="str">
        <f>IF(AB10="", "-", IFERROR(IF(INDEX('Fuel Conversion Parameters'!$F$2:$F$61, MATCH(AB10, 'Fuel Conversion Parameters'!$A$2:$A$61, 0))="", "MISSING VALUE", INDEX('Fuel Conversion Parameters'!$F$2:$F$61, MATCH(AB10, 'Fuel Conversion Parameters'!$A$2:$A$61, 0))), "MISSING VALUE"))</f>
        <v>-</v>
      </c>
      <c r="AC12" s="61"/>
      <c r="AE12" s="54" t="s">
        <v>4537</v>
      </c>
      <c r="AF12" s="67" t="str">
        <f>IF(AF10="", "-", IFERROR(IF(INDEX('Fuel Conversion Parameters'!$F$2:$F$61, MATCH(AF10, 'Fuel Conversion Parameters'!$A$2:$A$61, 0))="", "MISSING VALUE", INDEX('Fuel Conversion Parameters'!$F$2:$F$61, MATCH(AF10, 'Fuel Conversion Parameters'!$A$2:$A$61, 0))), "MISSING VALUE"))</f>
        <v>-</v>
      </c>
      <c r="AG12" s="61"/>
      <c r="AI12" s="54" t="s">
        <v>4537</v>
      </c>
      <c r="AJ12" s="67" t="str">
        <f>IF(AJ10="", "-", IFERROR(IF(INDEX('Fuel Conversion Parameters'!$F$2:$F$61, MATCH(AJ10, 'Fuel Conversion Parameters'!$A$2:$A$61, 0))="", "MISSING VALUE", INDEX('Fuel Conversion Parameters'!$F$2:$F$61, MATCH(AJ10, 'Fuel Conversion Parameters'!$A$2:$A$61, 0))), "MISSING VALUE"))</f>
        <v>-</v>
      </c>
      <c r="AK12" s="61"/>
      <c r="AM12" s="54" t="s">
        <v>4537</v>
      </c>
      <c r="AN12" s="67" t="str">
        <f>IF(AN10="", "-", IFERROR(IF(INDEX('Fuel Conversion Parameters'!$F$2:$F$61, MATCH(AN10, 'Fuel Conversion Parameters'!$A$2:$A$61, 0))="", "MISSING VALUE", INDEX('Fuel Conversion Parameters'!$F$2:$F$61, MATCH(AN10, 'Fuel Conversion Parameters'!$A$2:$A$61, 0))), "MISSING VALUE"))</f>
        <v>-</v>
      </c>
      <c r="AO12" s="61"/>
      <c r="AQ12" s="54" t="s">
        <v>4537</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4815</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4639</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4816</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4647</v>
      </c>
      <c r="K16" s="65" t="s">
        <v>2777</v>
      </c>
      <c r="L16" s="199"/>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3750</v>
      </c>
      <c r="B17" s="200"/>
      <c r="C17" s="61"/>
      <c r="K17" s="60" t="s">
        <v>3750</v>
      </c>
      <c r="L17" s="200"/>
      <c r="M17" s="61"/>
      <c r="O17" s="60" t="s">
        <v>3750</v>
      </c>
      <c r="P17" s="200"/>
      <c r="Q17" s="61"/>
      <c r="S17" s="60" t="s">
        <v>3750</v>
      </c>
      <c r="T17" s="200"/>
      <c r="U17" s="61"/>
      <c r="W17" s="60" t="s">
        <v>3750</v>
      </c>
      <c r="X17" s="200"/>
      <c r="Y17" s="61"/>
      <c r="AA17" s="60" t="s">
        <v>3750</v>
      </c>
      <c r="AB17" s="200"/>
      <c r="AC17" s="61"/>
      <c r="AE17" s="60" t="s">
        <v>3750</v>
      </c>
      <c r="AF17" s="200"/>
      <c r="AG17" s="61"/>
      <c r="AI17" s="60" t="s">
        <v>3750</v>
      </c>
      <c r="AJ17" s="200"/>
      <c r="AK17" s="61"/>
      <c r="AM17" s="60" t="s">
        <v>3750</v>
      </c>
      <c r="AN17" s="200"/>
      <c r="AO17" s="61"/>
      <c r="AQ17" s="60" t="s">
        <v>3750</v>
      </c>
      <c r="AR17" s="200"/>
      <c r="AS17" s="61"/>
    </row>
    <row r="18" spans="1:45" ht="18" customHeight="1" x14ac:dyDescent="0.3">
      <c r="A18" s="63"/>
      <c r="B18" s="202" t="str">
        <f>IF(B16="g - gram",B17*0.000000001,
IF(B16="Kg - Kilogram",B17*0.000001,
IF(B16="t - tonne",B17*0.001,
IF(B16="Gg - Gigagram",B17*1,
IF(B16="m³ - cubic meters",B17*1000,
IF(B16="L - Liter",B17*1,
""))))))</f>
        <v/>
      </c>
      <c r="C18" s="61"/>
      <c r="E18" s="266"/>
      <c r="F18" s="266"/>
      <c r="G18" s="266"/>
      <c r="H18" s="266"/>
      <c r="I18" s="266"/>
      <c r="K18" s="63"/>
      <c r="L18" s="202" t="str">
        <f>IF(L16="g - gram",L17*0.000000001,
IF(L16="Kg - Kilogram",L17*0.000001,
IF(L16="t - tonne",L17*0.001,
IF(L16="Gg - Gigagram",L17*1,
IF(L16="m³ - cubic meters",L17*1000,
IF(L16="L - Liter",L17*1,
""))))))</f>
        <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t="str">
        <f>IF(OR(
   A23="",
   B17="",
   C16="Liquid fuel: please change unit of measurement, select one among m³ and L",
   C16="Gaseous fuel: please change unit of measurement, select one among m³ and L",
   C16="Solid fuel: please change unit of measurement, select one among Gg, t, Kg and g"
),
"-",
IFERROR(A23*277.778, "")
)</f>
        <v>-</v>
      </c>
      <c r="B22" s="10" t="str">
        <f>IFERROR(IF(AND(B17&lt;&gt;0,A22=0),"ERROR",""),"")</f>
        <v/>
      </c>
      <c r="C22" s="61"/>
      <c r="K22" s="66" t="str">
        <f>IF(OR(
   K23="",
   L17="",
   M16="Liquid fuel: please change unit of measurement, select one among m³ and L",
   M16="Gaseous fuel: please change unit of measurement, select one among m³ and L",
   M16="Solid fuel: please change unit of measurement, select one among Gg, t, Kg and g"
),
"-",
IFERROR(K23*277.778, "")
)</f>
        <v>-</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t="str">
        <f>IFERROR(A26, "")</f>
        <v/>
      </c>
      <c r="B23" s="102"/>
      <c r="C23" s="264"/>
      <c r="K23" s="265" t="str">
        <f>IFERROR(K26, "")</f>
        <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t="str">
        <f>IFERROR(
    IF(AND(B11="Solid"),B18,
        IF(AND(B11="Liquid"),B18*_xlfn.XLOOKUP(B10,'Fuel Conversion Parameters'!$A$2:$A$51,'Fuel Conversion Parameters'!$D$2:$D$51)*10^(-6),
            IF(AND(B11="Gaseous"),B18*_xlfn.XLOOKUP(B10,'Fuel Conversion Parameters'!$A$2:$A$51,'Fuel Conversion Parameters'!$E$2:$E$51)*10^(-3)*10^(-6),"")
        )
    ),
    ""
)</f>
        <v/>
      </c>
      <c r="B24" s="10"/>
      <c r="K24" s="69" t="str">
        <f>IFERROR(
    IF(AND(L11="Solid"),L18,
        IF(AND(L11="Liquid"),L18*_xlfn.XLOOKUP(L10,'Fuel Conversion Parameters'!$A$2:$A$51,'Fuel Conversion Parameters'!$D$2:$D$51)*10^(-6),
            IF(AND(L11="Gaseous"),L18*_xlfn.XLOOKUP(L10,'Fuel Conversion Parameters'!$A$2:$A$51,'Fuel Conversion Parameters'!$E$2:$E$51)*10^(-3)*10^(-6),"")
        )
    ),
    ""
)</f>
        <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t="str">
        <f>IFERROR(VLOOKUP(B10, 'Fuel Conversion Parameters'!$A:$C, 3, FALSE), "")</f>
        <v/>
      </c>
      <c r="B25" s="10"/>
      <c r="K25" s="69" t="str">
        <f>IFERROR(VLOOKUP(L10, 'Fuel Conversion Parameters'!$A:$C, 3, FALSE), "")</f>
        <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t="str">
        <f>IFERROR(IF(OR(A24="", A25=""), "", A24*A25), "")</f>
        <v/>
      </c>
      <c r="B26" s="69" t="str">
        <f>IF(B24="m³ - cubic meters",B25*1000,
IF(B24="L - Liter",B25*1,
""))</f>
        <v/>
      </c>
      <c r="K26" s="201" t="str">
        <f>IFERROR(IF(OR(K24="", K25=""), "", K24*K25), "")</f>
        <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69" t="s">
        <v>4513</v>
      </c>
      <c r="B28" s="1070"/>
      <c r="AK28" s="10"/>
      <c r="AM28" s="10"/>
      <c r="AN28" s="10"/>
      <c r="AO28" s="10"/>
    </row>
    <row r="29" spans="1:45" ht="15" thickBot="1" x14ac:dyDescent="0.35">
      <c r="A29" s="1071" t="str">
        <f>IFERROR(A32+B32, "-")</f>
        <v>-</v>
      </c>
      <c r="B29" s="1072"/>
      <c r="AK29" s="10"/>
      <c r="AM29" s="10"/>
      <c r="AN29" s="10"/>
      <c r="AO29" s="10"/>
    </row>
    <row r="30" spans="1:45" ht="15" thickBot="1" x14ac:dyDescent="0.35">
      <c r="A30" s="10"/>
      <c r="B30" s="10"/>
      <c r="K30" s="201" t="str">
        <f>IFERROR(K33, "")</f>
        <v/>
      </c>
      <c r="AK30" s="10"/>
      <c r="AM30" s="10"/>
      <c r="AN30" s="10"/>
      <c r="AO30" s="10"/>
    </row>
    <row r="31" spans="1:45" ht="15" thickBot="1" x14ac:dyDescent="0.35">
      <c r="A31" s="60" t="s">
        <v>4471</v>
      </c>
      <c r="B31" s="54" t="s">
        <v>4472</v>
      </c>
      <c r="K31" s="201" t="str">
        <f>IFERROR(
    IF(AND(L17&lt;&gt;"",L21="",L25=""),L18,
        IF(AND(L17="",L21&lt;&gt;"",L25=""),L22*_xlfn.XLOOKUP(L10,'Fuel Conversion Parameters'!$A$2:$A$51,'Fuel Conversion Parameters'!$D$2:$D$51)*10^(-6),
            IF(AND(L17="",L21="",L25&lt;&gt;""),L26*_xlfn.XLOOKUP(L10,'Fuel Conversion Parameters'!$A$2:$A$51,'Fuel Conversion Parameters'!$E$2:$E$51)*10^(-3)*10^(-6),"")
        )
    ),
    ""
)</f>
        <v/>
      </c>
      <c r="AK31" s="10"/>
      <c r="AM31" s="10"/>
      <c r="AN31" s="10"/>
      <c r="AO31" s="10"/>
    </row>
    <row r="32" spans="1:45" ht="15" thickBot="1" x14ac:dyDescent="0.35">
      <c r="A32" s="66" t="str">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v>
      </c>
      <c r="B32" s="66" t="str">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v>
      </c>
      <c r="K32" s="201" t="str">
        <f>IFERROR(VLOOKUP(L10, 'Fuel Conversion Parameters'!$A:$C, 3, FALSE), "")</f>
        <v/>
      </c>
      <c r="AK32" s="10"/>
      <c r="AM32" s="10"/>
      <c r="AN32" s="10"/>
      <c r="AO32" s="10"/>
    </row>
    <row r="33" spans="1:41" x14ac:dyDescent="0.3">
      <c r="A33" s="201"/>
      <c r="B33" s="10"/>
      <c r="K33" s="201" t="str">
        <f>IFERROR(IF(OR(K31="", K32=""), "", K31*K32), "")</f>
        <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4641</v>
      </c>
      <c r="B36" s="10"/>
      <c r="AK36" s="10"/>
      <c r="AM36" s="10"/>
      <c r="AN36" s="10"/>
      <c r="AO36" s="10"/>
    </row>
    <row r="37" spans="1:41" ht="227.4" customHeight="1" x14ac:dyDescent="0.3">
      <c r="A37" s="1073" t="s">
        <v>4640</v>
      </c>
      <c r="B37" s="1073"/>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68"/>
      <c r="B40" s="1068"/>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3745</v>
      </c>
      <c r="C1" s="205" t="s">
        <v>3808</v>
      </c>
      <c r="D1" s="206" t="s">
        <v>3809</v>
      </c>
      <c r="E1" s="207" t="s">
        <v>3810</v>
      </c>
      <c r="F1" s="246" t="s">
        <v>4537</v>
      </c>
      <c r="G1" s="26" t="s">
        <v>3657</v>
      </c>
      <c r="H1" s="105" t="s">
        <v>3658</v>
      </c>
      <c r="I1" s="26" t="s">
        <v>3659</v>
      </c>
      <c r="J1" s="26" t="s">
        <v>4635</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3746</v>
      </c>
      <c r="AA1" s="27" t="s">
        <v>3747</v>
      </c>
      <c r="AB1" s="27" t="s">
        <v>3748</v>
      </c>
      <c r="AC1" s="27" t="s">
        <v>3749</v>
      </c>
      <c r="AD1" s="27" t="s">
        <v>3673</v>
      </c>
      <c r="AE1" s="27" t="s">
        <v>3674</v>
      </c>
      <c r="AF1" s="27" t="s">
        <v>3675</v>
      </c>
      <c r="AG1" s="27" t="s">
        <v>3676</v>
      </c>
      <c r="AH1" s="27" t="s">
        <v>3677</v>
      </c>
      <c r="AI1" s="27" t="s">
        <v>3678</v>
      </c>
      <c r="AJ1" s="27" t="s">
        <v>3679</v>
      </c>
      <c r="AK1" s="27" t="s">
        <v>3680</v>
      </c>
      <c r="AL1" s="8"/>
      <c r="AM1" s="218" t="s">
        <v>3660</v>
      </c>
      <c r="AN1" s="219" t="s">
        <v>4515</v>
      </c>
      <c r="AO1" s="219" t="s">
        <v>4522</v>
      </c>
      <c r="AP1" s="219" t="s">
        <v>4516</v>
      </c>
      <c r="AQ1" s="219" t="s">
        <v>4517</v>
      </c>
      <c r="AR1" s="219" t="s">
        <v>4518</v>
      </c>
      <c r="AS1" s="219" t="s">
        <v>4519</v>
      </c>
      <c r="AT1" s="219" t="s">
        <v>4520</v>
      </c>
      <c r="AU1" s="219" t="s">
        <v>4521</v>
      </c>
      <c r="AW1" s="205" t="s">
        <v>3745</v>
      </c>
      <c r="AX1" s="246" t="s">
        <v>4537</v>
      </c>
      <c r="AY1" s="361" t="s">
        <v>4648</v>
      </c>
    </row>
    <row r="2" spans="1:51" ht="15" thickBot="1" x14ac:dyDescent="0.35">
      <c r="A2" s="436" t="s">
        <v>3681</v>
      </c>
      <c r="B2" s="208" t="s">
        <v>3682</v>
      </c>
      <c r="C2" s="209">
        <v>26.7</v>
      </c>
      <c r="D2" s="353"/>
      <c r="E2" s="354"/>
      <c r="F2" s="251" t="s">
        <v>3779</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4515</v>
      </c>
      <c r="AN2" s="221">
        <v>1</v>
      </c>
      <c r="AO2" s="221">
        <v>0.1</v>
      </c>
      <c r="AP2" s="222">
        <v>0.01</v>
      </c>
      <c r="AQ2" s="222">
        <v>1E-3</v>
      </c>
      <c r="AR2" s="222">
        <v>9.9999999999999995E-7</v>
      </c>
      <c r="AS2" s="222">
        <v>9.9999999999999995E-7</v>
      </c>
      <c r="AT2" s="222">
        <v>1.0000000000000001E-9</v>
      </c>
      <c r="AU2" s="223">
        <v>9.9999999999999998E-13</v>
      </c>
      <c r="AW2" s="3" t="s">
        <v>3682</v>
      </c>
      <c r="AX2" s="3" t="s">
        <v>3778</v>
      </c>
      <c r="AY2" s="362"/>
    </row>
    <row r="3" spans="1:51" ht="15" thickBot="1" x14ac:dyDescent="0.35">
      <c r="A3" s="437" t="s">
        <v>3686</v>
      </c>
      <c r="B3" s="208" t="s">
        <v>3687</v>
      </c>
      <c r="C3" s="210">
        <v>44.3</v>
      </c>
      <c r="D3" s="169">
        <v>0.71</v>
      </c>
      <c r="E3" s="355"/>
      <c r="F3" s="252" t="s">
        <v>3779</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4522</v>
      </c>
      <c r="AN3" s="224">
        <v>10</v>
      </c>
      <c r="AO3" s="224">
        <v>1</v>
      </c>
      <c r="AP3" s="225">
        <v>0.1</v>
      </c>
      <c r="AQ3" s="225">
        <v>0.01</v>
      </c>
      <c r="AR3" s="225">
        <v>1.0000000000000001E-5</v>
      </c>
      <c r="AS3" s="225">
        <v>1.0000000000000001E-5</v>
      </c>
      <c r="AT3" s="225">
        <v>1E-8</v>
      </c>
      <c r="AU3" s="226">
        <v>9.9999999999999994E-12</v>
      </c>
      <c r="AW3" s="1" t="s">
        <v>3687</v>
      </c>
      <c r="AX3" s="1" t="s">
        <v>3779</v>
      </c>
      <c r="AY3" s="362"/>
    </row>
    <row r="4" spans="1:51" ht="15" thickBot="1" x14ac:dyDescent="0.35">
      <c r="A4" s="437" t="s">
        <v>3691</v>
      </c>
      <c r="B4" s="208" t="s">
        <v>3687</v>
      </c>
      <c r="C4" s="210">
        <v>27</v>
      </c>
      <c r="D4" s="169">
        <v>0.85</v>
      </c>
      <c r="E4" s="355"/>
      <c r="F4" s="252" t="s">
        <v>3778</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4516</v>
      </c>
      <c r="AN4" s="224">
        <v>100</v>
      </c>
      <c r="AO4" s="224">
        <v>10</v>
      </c>
      <c r="AP4" s="225">
        <v>1</v>
      </c>
      <c r="AQ4" s="225">
        <v>0.1</v>
      </c>
      <c r="AR4" s="225">
        <v>1E-4</v>
      </c>
      <c r="AS4" s="225">
        <v>1E-4</v>
      </c>
      <c r="AT4" s="225">
        <v>9.9999999999999995E-8</v>
      </c>
      <c r="AU4" s="226">
        <v>1E-10</v>
      </c>
      <c r="AW4" s="1" t="s">
        <v>4539</v>
      </c>
      <c r="AX4" s="1"/>
      <c r="AY4" s="362"/>
    </row>
    <row r="5" spans="1:51" ht="15" thickBot="1" x14ac:dyDescent="0.35">
      <c r="A5" s="437" t="s">
        <v>3693</v>
      </c>
      <c r="B5" s="208" t="s">
        <v>3687</v>
      </c>
      <c r="C5" s="210">
        <v>27</v>
      </c>
      <c r="D5" s="245">
        <v>0.75</v>
      </c>
      <c r="E5" s="356"/>
      <c r="F5" s="252" t="s">
        <v>3778</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4517</v>
      </c>
      <c r="AN5" s="224">
        <v>1000</v>
      </c>
      <c r="AO5" s="224">
        <v>100</v>
      </c>
      <c r="AP5" s="225">
        <v>10</v>
      </c>
      <c r="AQ5" s="225">
        <v>1</v>
      </c>
      <c r="AR5" s="225">
        <v>1E-3</v>
      </c>
      <c r="AS5" s="225">
        <v>1E-3</v>
      </c>
      <c r="AT5" s="225">
        <v>9.9999999999999995E-7</v>
      </c>
      <c r="AU5" s="226">
        <v>1.0000000000000001E-9</v>
      </c>
      <c r="AW5" s="1"/>
      <c r="AX5" s="52"/>
      <c r="AY5" s="363" t="s">
        <v>4545</v>
      </c>
    </row>
    <row r="6" spans="1:51" ht="15" thickBot="1" x14ac:dyDescent="0.35">
      <c r="A6" s="437" t="s">
        <v>3695</v>
      </c>
      <c r="B6" s="208" t="s">
        <v>3687</v>
      </c>
      <c r="C6" s="210">
        <v>40.200000000000003</v>
      </c>
      <c r="D6" s="245">
        <v>1.0349999999999999</v>
      </c>
      <c r="E6" s="355"/>
      <c r="F6" s="252" t="s">
        <v>3779</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3746</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4518</v>
      </c>
      <c r="AN6" s="224">
        <v>1000000</v>
      </c>
      <c r="AO6" s="224">
        <v>100000</v>
      </c>
      <c r="AP6" s="225">
        <v>10000</v>
      </c>
      <c r="AQ6" s="225">
        <v>1000</v>
      </c>
      <c r="AR6" s="225">
        <v>1</v>
      </c>
      <c r="AS6" s="225">
        <v>1</v>
      </c>
      <c r="AT6" s="225">
        <v>1E-3</v>
      </c>
      <c r="AU6" s="226">
        <v>9.9999999999999995E-7</v>
      </c>
      <c r="AY6" s="363" t="s">
        <v>4546</v>
      </c>
    </row>
    <row r="7" spans="1:51" ht="15" thickBot="1" x14ac:dyDescent="0.35">
      <c r="A7" s="437" t="s">
        <v>3696</v>
      </c>
      <c r="B7" s="208" t="s">
        <v>4539</v>
      </c>
      <c r="C7" s="210">
        <v>2.4700000000000002</v>
      </c>
      <c r="D7" s="357"/>
      <c r="E7" s="247">
        <v>1.25</v>
      </c>
      <c r="F7" s="252" t="s">
        <v>3779</v>
      </c>
      <c r="J7" s="1" t="s">
        <v>3689</v>
      </c>
      <c r="K7" s="32" t="s">
        <v>3666</v>
      </c>
      <c r="L7" s="33">
        <v>1</v>
      </c>
      <c r="M7" s="34">
        <v>1E-3</v>
      </c>
      <c r="N7" s="34">
        <v>9.9999999999999995E-7</v>
      </c>
      <c r="O7" s="34">
        <v>1.0000000000000001E-9</v>
      </c>
      <c r="P7" s="34">
        <v>1000</v>
      </c>
      <c r="Q7" s="34">
        <v>1</v>
      </c>
      <c r="R7" s="34">
        <v>1E-3</v>
      </c>
      <c r="S7" s="35">
        <v>9.9999999999999995E-7</v>
      </c>
      <c r="U7" s="32" t="s">
        <v>3747</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4519</v>
      </c>
      <c r="AN7" s="224">
        <v>1000000</v>
      </c>
      <c r="AO7" s="224">
        <v>100000</v>
      </c>
      <c r="AP7" s="225">
        <v>10000</v>
      </c>
      <c r="AQ7" s="225">
        <v>1000</v>
      </c>
      <c r="AR7" s="225">
        <v>1</v>
      </c>
      <c r="AS7" s="225">
        <v>1</v>
      </c>
      <c r="AT7" s="225">
        <v>1E-3</v>
      </c>
      <c r="AU7" s="226">
        <v>9.9999999999999995E-7</v>
      </c>
      <c r="AY7" s="363" t="s">
        <v>4547</v>
      </c>
    </row>
    <row r="8" spans="1:51" ht="15" thickBot="1" x14ac:dyDescent="0.35">
      <c r="A8" s="437" t="s">
        <v>3697</v>
      </c>
      <c r="B8" s="208" t="s">
        <v>3682</v>
      </c>
      <c r="C8" s="210">
        <v>20.7</v>
      </c>
      <c r="D8" s="357"/>
      <c r="E8" s="355"/>
      <c r="F8" s="252" t="s">
        <v>3779</v>
      </c>
      <c r="K8" s="32" t="s">
        <v>3667</v>
      </c>
      <c r="L8" s="33">
        <v>1000</v>
      </c>
      <c r="M8" s="34">
        <v>1</v>
      </c>
      <c r="N8" s="34">
        <v>1E-3</v>
      </c>
      <c r="O8" s="34">
        <v>1E-3</v>
      </c>
      <c r="P8" s="34">
        <v>1000000</v>
      </c>
      <c r="Q8" s="34">
        <v>1000</v>
      </c>
      <c r="R8" s="34">
        <v>1</v>
      </c>
      <c r="S8" s="35">
        <v>1E-3</v>
      </c>
      <c r="U8" s="32" t="s">
        <v>3748</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4520</v>
      </c>
      <c r="AN8" s="224">
        <v>1000000000</v>
      </c>
      <c r="AO8" s="224">
        <v>100000000</v>
      </c>
      <c r="AP8" s="225">
        <v>10000000</v>
      </c>
      <c r="AQ8" s="225">
        <v>1000000</v>
      </c>
      <c r="AR8" s="225">
        <v>1000</v>
      </c>
      <c r="AS8" s="225">
        <v>1000</v>
      </c>
      <c r="AT8" s="225">
        <v>1</v>
      </c>
      <c r="AU8" s="226">
        <v>1E-3</v>
      </c>
      <c r="AY8" s="364"/>
    </row>
    <row r="9" spans="1:51" ht="15" thickBot="1" x14ac:dyDescent="0.35">
      <c r="A9" s="437" t="s">
        <v>4538</v>
      </c>
      <c r="B9" s="208" t="s">
        <v>4539</v>
      </c>
      <c r="C9" s="245">
        <v>45.57</v>
      </c>
      <c r="D9" s="357"/>
      <c r="E9" s="212">
        <v>2.5</v>
      </c>
      <c r="F9" s="252" t="s">
        <v>3779</v>
      </c>
      <c r="K9" s="32" t="s">
        <v>3668</v>
      </c>
      <c r="L9" s="36">
        <v>1000000</v>
      </c>
      <c r="M9" s="37">
        <v>1000</v>
      </c>
      <c r="N9" s="37">
        <v>1</v>
      </c>
      <c r="O9" s="37">
        <v>1E-3</v>
      </c>
      <c r="P9" s="37">
        <v>1000000000</v>
      </c>
      <c r="Q9" s="37">
        <v>1000000</v>
      </c>
      <c r="R9" s="37">
        <v>1000</v>
      </c>
      <c r="S9" s="38">
        <v>1</v>
      </c>
      <c r="U9" s="32" t="s">
        <v>3749</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4521</v>
      </c>
      <c r="AN9" s="227">
        <v>1000000000000</v>
      </c>
      <c r="AO9" s="227">
        <v>100000000000</v>
      </c>
      <c r="AP9" s="228">
        <v>10000000000</v>
      </c>
      <c r="AQ9" s="228">
        <v>1000000000</v>
      </c>
      <c r="AR9" s="228">
        <v>1000000</v>
      </c>
      <c r="AS9" s="228">
        <v>1000000</v>
      </c>
      <c r="AT9" s="228">
        <v>1000</v>
      </c>
      <c r="AU9" s="229">
        <v>1</v>
      </c>
      <c r="AY9" s="363" t="s">
        <v>4548</v>
      </c>
    </row>
    <row r="10" spans="1:51" ht="15" thickBot="1" x14ac:dyDescent="0.35">
      <c r="A10" s="437" t="s">
        <v>3698</v>
      </c>
      <c r="B10" s="208" t="s">
        <v>4539</v>
      </c>
      <c r="C10" s="210">
        <v>28.2</v>
      </c>
      <c r="D10" s="357"/>
      <c r="E10" s="355"/>
      <c r="F10" s="252" t="s">
        <v>3779</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4539</v>
      </c>
      <c r="C11" s="210">
        <v>38.700000000000003</v>
      </c>
      <c r="D11" s="357"/>
      <c r="E11" s="247">
        <v>0.47499999999999998</v>
      </c>
      <c r="F11" s="252" t="s">
        <v>3779</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4549</v>
      </c>
    </row>
    <row r="12" spans="1:51" ht="15" thickBot="1" x14ac:dyDescent="0.35">
      <c r="A12" s="437" t="s">
        <v>3700</v>
      </c>
      <c r="B12" s="208" t="s">
        <v>3682</v>
      </c>
      <c r="C12" s="210">
        <v>28.2</v>
      </c>
      <c r="D12" s="357"/>
      <c r="E12" s="355"/>
      <c r="F12" s="252" t="s">
        <v>3779</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4542</v>
      </c>
      <c r="B13" s="208" t="s">
        <v>3687</v>
      </c>
      <c r="C13" s="210">
        <v>42.3</v>
      </c>
      <c r="D13" s="169">
        <v>0.8</v>
      </c>
      <c r="E13" s="355"/>
      <c r="F13" s="252" t="s">
        <v>3779</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4539</v>
      </c>
      <c r="C14" s="210">
        <v>46.4</v>
      </c>
      <c r="D14" s="211"/>
      <c r="E14" s="212">
        <v>1.3</v>
      </c>
      <c r="F14" s="252" t="s">
        <v>3779</v>
      </c>
      <c r="AY14" s="362"/>
    </row>
    <row r="15" spans="1:51" x14ac:dyDescent="0.3">
      <c r="A15" s="437" t="s">
        <v>3702</v>
      </c>
      <c r="B15" s="208" t="s">
        <v>4539</v>
      </c>
      <c r="C15" s="210">
        <v>28.2</v>
      </c>
      <c r="D15" s="211"/>
      <c r="E15" s="247">
        <v>0.54</v>
      </c>
      <c r="F15" s="252" t="s">
        <v>3779</v>
      </c>
      <c r="AY15" s="363" t="s">
        <v>4550</v>
      </c>
    </row>
    <row r="16" spans="1:51" x14ac:dyDescent="0.3">
      <c r="A16" s="437" t="s">
        <v>3703</v>
      </c>
      <c r="B16" s="208" t="s">
        <v>3687</v>
      </c>
      <c r="C16" s="210">
        <v>43</v>
      </c>
      <c r="D16" s="213">
        <v>0.84</v>
      </c>
      <c r="E16" s="358"/>
      <c r="F16" s="252" t="s">
        <v>3779</v>
      </c>
      <c r="AY16" s="364"/>
    </row>
    <row r="17" spans="1:51" x14ac:dyDescent="0.3">
      <c r="A17" s="437" t="s">
        <v>3704</v>
      </c>
      <c r="B17" s="208" t="s">
        <v>3687</v>
      </c>
      <c r="C17" s="210">
        <v>44.3</v>
      </c>
      <c r="D17" s="245">
        <v>0.81</v>
      </c>
      <c r="E17" s="355"/>
      <c r="F17" s="252" t="s">
        <v>3779</v>
      </c>
      <c r="AY17" s="363" t="s">
        <v>4551</v>
      </c>
    </row>
    <row r="18" spans="1:51" x14ac:dyDescent="0.3">
      <c r="A18" s="437" t="s">
        <v>3705</v>
      </c>
      <c r="B18" s="208" t="s">
        <v>3687</v>
      </c>
      <c r="C18" s="210">
        <v>44.1</v>
      </c>
      <c r="D18" s="169">
        <v>0.79</v>
      </c>
      <c r="E18" s="355"/>
      <c r="F18" s="252" t="s">
        <v>3779</v>
      </c>
      <c r="AY18" s="362"/>
    </row>
    <row r="19" spans="1:51" x14ac:dyDescent="0.3">
      <c r="A19" s="437" t="s">
        <v>4541</v>
      </c>
      <c r="B19" s="208" t="s">
        <v>3687</v>
      </c>
      <c r="C19" s="210">
        <v>43.8</v>
      </c>
      <c r="D19" s="169">
        <v>0.8</v>
      </c>
      <c r="E19" s="355"/>
      <c r="F19" s="252" t="s">
        <v>3779</v>
      </c>
      <c r="AY19" s="362"/>
    </row>
    <row r="20" spans="1:51" x14ac:dyDescent="0.3">
      <c r="A20" s="437" t="s">
        <v>3706</v>
      </c>
      <c r="B20" s="208" t="s">
        <v>4539</v>
      </c>
      <c r="C20" s="210">
        <v>50.4</v>
      </c>
      <c r="D20" s="357"/>
      <c r="E20" s="212">
        <v>0.9</v>
      </c>
      <c r="F20" s="252" t="s">
        <v>3778</v>
      </c>
      <c r="AY20" s="362"/>
    </row>
    <row r="21" spans="1:51" x14ac:dyDescent="0.3">
      <c r="A21" s="437" t="s">
        <v>3707</v>
      </c>
      <c r="B21" s="208" t="s">
        <v>3682</v>
      </c>
      <c r="C21" s="210">
        <v>11.9</v>
      </c>
      <c r="D21" s="357"/>
      <c r="E21" s="355"/>
      <c r="F21" s="252" t="s">
        <v>3779</v>
      </c>
      <c r="AY21" s="362"/>
    </row>
    <row r="22" spans="1:51" x14ac:dyDescent="0.3">
      <c r="A22" s="437" t="s">
        <v>3708</v>
      </c>
      <c r="B22" s="208" t="s">
        <v>3687</v>
      </c>
      <c r="C22" s="210">
        <v>47.3</v>
      </c>
      <c r="D22" s="169">
        <v>0.54</v>
      </c>
      <c r="E22" s="355"/>
      <c r="F22" s="252" t="s">
        <v>3779</v>
      </c>
      <c r="AY22" s="362"/>
    </row>
    <row r="23" spans="1:51" x14ac:dyDescent="0.3">
      <c r="A23" s="437" t="s">
        <v>3709</v>
      </c>
      <c r="B23" s="208" t="s">
        <v>3687</v>
      </c>
      <c r="C23" s="210">
        <v>40.200000000000003</v>
      </c>
      <c r="D23" s="169">
        <v>1</v>
      </c>
      <c r="E23" s="355"/>
      <c r="F23" s="252" t="s">
        <v>3779</v>
      </c>
      <c r="AY23" s="362"/>
    </row>
    <row r="24" spans="1:51" x14ac:dyDescent="0.3">
      <c r="A24" s="437" t="s">
        <v>3710</v>
      </c>
      <c r="B24" s="208" t="s">
        <v>4539</v>
      </c>
      <c r="C24" s="245">
        <v>50</v>
      </c>
      <c r="D24" s="357"/>
      <c r="E24" s="212">
        <v>0.67</v>
      </c>
      <c r="F24" s="252" t="s">
        <v>3779</v>
      </c>
      <c r="AY24" s="363" t="s">
        <v>4552</v>
      </c>
    </row>
    <row r="25" spans="1:51" x14ac:dyDescent="0.3">
      <c r="A25" s="437" t="s">
        <v>3711</v>
      </c>
      <c r="B25" s="208" t="s">
        <v>3687</v>
      </c>
      <c r="C25" s="210">
        <v>44.3</v>
      </c>
      <c r="D25" s="169">
        <v>0.74</v>
      </c>
      <c r="E25" s="355"/>
      <c r="F25" s="252" t="s">
        <v>3779</v>
      </c>
      <c r="AY25" s="362"/>
    </row>
    <row r="26" spans="1:51" x14ac:dyDescent="0.3">
      <c r="A26" s="437" t="s">
        <v>3712</v>
      </c>
      <c r="B26" s="208" t="s">
        <v>3682</v>
      </c>
      <c r="C26" s="210">
        <v>11.6</v>
      </c>
      <c r="D26" s="357"/>
      <c r="E26" s="355"/>
      <c r="F26" s="252" t="s">
        <v>3778</v>
      </c>
      <c r="AY26" s="362"/>
    </row>
    <row r="27" spans="1:51" x14ac:dyDescent="0.3">
      <c r="A27" s="438" t="s">
        <v>3713</v>
      </c>
      <c r="B27" s="208" t="s">
        <v>3682</v>
      </c>
      <c r="C27" s="210">
        <v>10</v>
      </c>
      <c r="D27" s="357"/>
      <c r="E27" s="355"/>
      <c r="F27" s="252" t="s">
        <v>3779</v>
      </c>
      <c r="AY27" s="362"/>
    </row>
    <row r="28" spans="1:51" x14ac:dyDescent="0.3">
      <c r="A28" s="437" t="s">
        <v>3714</v>
      </c>
      <c r="B28" s="208" t="s">
        <v>3687</v>
      </c>
      <c r="C28" s="210">
        <v>44.5</v>
      </c>
      <c r="D28" s="169">
        <v>0.77</v>
      </c>
      <c r="E28" s="355"/>
      <c r="F28" s="252" t="s">
        <v>3779</v>
      </c>
      <c r="AY28" s="362"/>
    </row>
    <row r="29" spans="1:51" x14ac:dyDescent="0.3">
      <c r="A29" s="437" t="s">
        <v>3715</v>
      </c>
      <c r="B29" s="208" t="s">
        <v>4539</v>
      </c>
      <c r="C29" s="210">
        <v>48</v>
      </c>
      <c r="D29" s="357"/>
      <c r="E29" s="212">
        <v>0.7</v>
      </c>
      <c r="F29" s="252" t="s">
        <v>3779</v>
      </c>
      <c r="AY29" s="362"/>
    </row>
    <row r="30" spans="1:51" x14ac:dyDescent="0.3">
      <c r="A30" s="437" t="s">
        <v>4540</v>
      </c>
      <c r="B30" s="208" t="s">
        <v>3687</v>
      </c>
      <c r="C30" s="210">
        <v>44.2</v>
      </c>
      <c r="D30" s="169">
        <v>0.47</v>
      </c>
      <c r="E30" s="355"/>
      <c r="F30" s="252" t="s">
        <v>3779</v>
      </c>
      <c r="AY30" s="362"/>
    </row>
    <row r="31" spans="1:51" x14ac:dyDescent="0.3">
      <c r="A31" s="437" t="s">
        <v>3716</v>
      </c>
      <c r="B31" s="208" t="s">
        <v>3687</v>
      </c>
      <c r="C31" s="210">
        <v>8.9</v>
      </c>
      <c r="D31" s="245">
        <v>0.95</v>
      </c>
      <c r="E31" s="355"/>
      <c r="F31" s="252" t="s">
        <v>3779</v>
      </c>
      <c r="AY31" s="363" t="s">
        <v>4553</v>
      </c>
    </row>
    <row r="32" spans="1:51" x14ac:dyDescent="0.3">
      <c r="A32" s="437" t="s">
        <v>3717</v>
      </c>
      <c r="B32" s="208" t="s">
        <v>3687</v>
      </c>
      <c r="C32" s="210">
        <v>27.5</v>
      </c>
      <c r="D32" s="245">
        <v>1.1299999999999999</v>
      </c>
      <c r="E32" s="355"/>
      <c r="F32" s="252" t="s">
        <v>3779</v>
      </c>
      <c r="AY32" s="363" t="s">
        <v>4563</v>
      </c>
    </row>
    <row r="33" spans="1:51" x14ac:dyDescent="0.3">
      <c r="A33" s="437" t="s">
        <v>3718</v>
      </c>
      <c r="B33" s="208" t="s">
        <v>4539</v>
      </c>
      <c r="C33" s="210">
        <v>7.06</v>
      </c>
      <c r="D33" s="357"/>
      <c r="E33" s="247">
        <v>1.33</v>
      </c>
      <c r="F33" s="252" t="s">
        <v>3779</v>
      </c>
      <c r="AY33" s="363" t="s">
        <v>4564</v>
      </c>
    </row>
    <row r="34" spans="1:51" x14ac:dyDescent="0.3">
      <c r="A34" s="437" t="s">
        <v>3719</v>
      </c>
      <c r="B34" s="208" t="s">
        <v>3682</v>
      </c>
      <c r="C34" s="210">
        <v>40.200000000000003</v>
      </c>
      <c r="D34" s="357"/>
      <c r="E34" s="355"/>
      <c r="F34" s="252" t="s">
        <v>3779</v>
      </c>
      <c r="AY34" s="362"/>
    </row>
    <row r="35" spans="1:51" x14ac:dyDescent="0.3">
      <c r="A35" s="437" t="s">
        <v>3720</v>
      </c>
      <c r="B35" s="208" t="s">
        <v>3682</v>
      </c>
      <c r="C35" s="210">
        <v>20.7</v>
      </c>
      <c r="D35" s="357"/>
      <c r="E35" s="355"/>
      <c r="F35" s="252" t="s">
        <v>3779</v>
      </c>
      <c r="AY35" s="362"/>
    </row>
    <row r="36" spans="1:51" x14ac:dyDescent="0.3">
      <c r="A36" s="437" t="s">
        <v>3721</v>
      </c>
      <c r="B36" s="208" t="s">
        <v>3682</v>
      </c>
      <c r="C36" s="210">
        <v>9.76</v>
      </c>
      <c r="D36" s="357"/>
      <c r="E36" s="355"/>
      <c r="F36" s="252" t="s">
        <v>3779</v>
      </c>
      <c r="AY36" s="362"/>
    </row>
    <row r="37" spans="1:51" x14ac:dyDescent="0.3">
      <c r="A37" s="437" t="s">
        <v>3722</v>
      </c>
      <c r="B37" s="208" t="s">
        <v>3682</v>
      </c>
      <c r="C37" s="210">
        <v>32.5</v>
      </c>
      <c r="D37" s="357"/>
      <c r="E37" s="355"/>
      <c r="F37" s="252" t="s">
        <v>3779</v>
      </c>
      <c r="AY37" s="362"/>
    </row>
    <row r="38" spans="1:51" x14ac:dyDescent="0.3">
      <c r="A38" s="437" t="s">
        <v>3723</v>
      </c>
      <c r="B38" s="208" t="s">
        <v>4539</v>
      </c>
      <c r="C38" s="245">
        <v>46.32</v>
      </c>
      <c r="D38" s="357"/>
      <c r="E38" s="212">
        <v>1.9</v>
      </c>
      <c r="F38" s="252" t="s">
        <v>3779</v>
      </c>
      <c r="AY38" s="363" t="s">
        <v>4554</v>
      </c>
    </row>
    <row r="39" spans="1:51" x14ac:dyDescent="0.3">
      <c r="A39" s="437" t="s">
        <v>3724</v>
      </c>
      <c r="B39" s="208" t="s">
        <v>3687</v>
      </c>
      <c r="C39" s="210">
        <v>43</v>
      </c>
      <c r="D39" s="245">
        <v>0.82499999999999996</v>
      </c>
      <c r="E39" s="355"/>
      <c r="F39" s="252" t="s">
        <v>3779</v>
      </c>
      <c r="AY39" s="363" t="s">
        <v>4555</v>
      </c>
    </row>
    <row r="40" spans="1:51" x14ac:dyDescent="0.3">
      <c r="A40" s="437" t="s">
        <v>3725</v>
      </c>
      <c r="B40" s="208" t="s">
        <v>4539</v>
      </c>
      <c r="C40" s="210">
        <v>49.5</v>
      </c>
      <c r="D40" s="357"/>
      <c r="E40" s="247">
        <v>0.88</v>
      </c>
      <c r="F40" s="252" t="s">
        <v>3779</v>
      </c>
      <c r="AY40" s="363" t="s">
        <v>4556</v>
      </c>
    </row>
    <row r="41" spans="1:51" x14ac:dyDescent="0.3">
      <c r="A41" s="437" t="s">
        <v>3726</v>
      </c>
      <c r="B41" s="208" t="s">
        <v>3687</v>
      </c>
      <c r="C41" s="210">
        <v>40.4</v>
      </c>
      <c r="D41" s="169">
        <v>0.94</v>
      </c>
      <c r="E41" s="355"/>
      <c r="F41" s="252" t="s">
        <v>3779</v>
      </c>
      <c r="AY41" s="362"/>
    </row>
    <row r="42" spans="1:51" x14ac:dyDescent="0.3">
      <c r="A42" s="437" t="s">
        <v>3727</v>
      </c>
      <c r="B42" s="208" t="s">
        <v>3687</v>
      </c>
      <c r="C42" s="210">
        <v>38.1</v>
      </c>
      <c r="D42" s="169">
        <v>1</v>
      </c>
      <c r="E42" s="355"/>
      <c r="F42" s="252" t="s">
        <v>3779</v>
      </c>
      <c r="AY42" s="362"/>
    </row>
    <row r="43" spans="1:51" x14ac:dyDescent="0.3">
      <c r="A43" s="437" t="s">
        <v>3728</v>
      </c>
      <c r="B43" s="208" t="s">
        <v>4539</v>
      </c>
      <c r="C43" s="210">
        <v>50.4</v>
      </c>
      <c r="D43" s="357"/>
      <c r="E43" s="212">
        <v>0.67</v>
      </c>
      <c r="F43" s="252" t="s">
        <v>3778</v>
      </c>
      <c r="AY43" s="362"/>
    </row>
    <row r="44" spans="1:51" x14ac:dyDescent="0.3">
      <c r="A44" s="437" t="s">
        <v>3729</v>
      </c>
      <c r="B44" s="208" t="s">
        <v>3682</v>
      </c>
      <c r="C44" s="210">
        <v>18.899999999999999</v>
      </c>
      <c r="D44" s="357"/>
      <c r="E44" s="355"/>
      <c r="F44" s="252" t="s">
        <v>3779</v>
      </c>
      <c r="AY44" s="362"/>
    </row>
    <row r="45" spans="1:51" x14ac:dyDescent="0.3">
      <c r="A45" s="437" t="s">
        <v>4565</v>
      </c>
      <c r="B45" s="208" t="s">
        <v>3687</v>
      </c>
      <c r="C45" s="210">
        <v>11.8</v>
      </c>
      <c r="D45" s="245">
        <v>1.2</v>
      </c>
      <c r="E45" s="355"/>
      <c r="F45" s="252" t="s">
        <v>3778</v>
      </c>
      <c r="AY45" s="363" t="s">
        <v>4557</v>
      </c>
    </row>
    <row r="46" spans="1:51" x14ac:dyDescent="0.3">
      <c r="A46" s="437" t="s">
        <v>3730</v>
      </c>
      <c r="B46" s="208" t="s">
        <v>3687</v>
      </c>
      <c r="C46" s="245">
        <v>44.4</v>
      </c>
      <c r="D46" s="169">
        <v>0.87</v>
      </c>
      <c r="E46" s="355"/>
      <c r="F46" s="252" t="s">
        <v>3778</v>
      </c>
      <c r="AY46" s="363" t="s">
        <v>4558</v>
      </c>
    </row>
    <row r="47" spans="1:51" x14ac:dyDescent="0.3">
      <c r="A47" s="437" t="s">
        <v>3731</v>
      </c>
      <c r="B47" s="208" t="s">
        <v>3687</v>
      </c>
      <c r="C47" s="245">
        <v>37.799999999999997</v>
      </c>
      <c r="D47" s="169">
        <v>0.9</v>
      </c>
      <c r="E47" s="355"/>
      <c r="F47" s="252" t="s">
        <v>3779</v>
      </c>
      <c r="AY47" s="363" t="s">
        <v>4559</v>
      </c>
    </row>
    <row r="48" spans="1:51" x14ac:dyDescent="0.3">
      <c r="A48" s="437" t="s">
        <v>3732</v>
      </c>
      <c r="B48" s="208" t="s">
        <v>3687</v>
      </c>
      <c r="C48" s="210">
        <v>40.200000000000003</v>
      </c>
      <c r="D48" s="245">
        <v>0.8</v>
      </c>
      <c r="E48" s="355"/>
      <c r="F48" s="252" t="s">
        <v>3779</v>
      </c>
      <c r="AY48" s="363" t="s">
        <v>4560</v>
      </c>
    </row>
    <row r="49" spans="1:51" x14ac:dyDescent="0.3">
      <c r="A49" s="437" t="s">
        <v>3733</v>
      </c>
      <c r="B49" s="208" t="s">
        <v>4539</v>
      </c>
      <c r="C49" s="245">
        <v>35</v>
      </c>
      <c r="D49" s="357"/>
      <c r="E49" s="212">
        <v>0.9</v>
      </c>
      <c r="F49" s="252" t="s">
        <v>3778</v>
      </c>
      <c r="AY49" s="363" t="s">
        <v>4561</v>
      </c>
    </row>
    <row r="50" spans="1:51" x14ac:dyDescent="0.3">
      <c r="A50" s="437" t="s">
        <v>3734</v>
      </c>
      <c r="B50" s="208" t="s">
        <v>3687</v>
      </c>
      <c r="C50" s="210">
        <v>40.200000000000003</v>
      </c>
      <c r="D50" s="245">
        <v>0.75</v>
      </c>
      <c r="E50" s="355"/>
      <c r="F50" s="252" t="s">
        <v>3779</v>
      </c>
      <c r="AY50" s="363" t="s">
        <v>4562</v>
      </c>
    </row>
    <row r="51" spans="1:51" x14ac:dyDescent="0.3">
      <c r="A51" s="439" t="s">
        <v>3735</v>
      </c>
      <c r="B51" s="208" t="s">
        <v>3682</v>
      </c>
      <c r="C51" s="214">
        <v>15.6</v>
      </c>
      <c r="D51" s="359"/>
      <c r="E51" s="360"/>
      <c r="F51" s="252" t="s">
        <v>3778</v>
      </c>
      <c r="AY51" s="362"/>
    </row>
    <row r="52" spans="1:51" x14ac:dyDescent="0.3">
      <c r="A52" s="215" t="s">
        <v>3811</v>
      </c>
      <c r="B52" s="216"/>
      <c r="C52" s="216"/>
      <c r="D52" s="216"/>
      <c r="E52" s="248"/>
      <c r="F52" s="216"/>
      <c r="AY52" s="362"/>
    </row>
    <row r="53" spans="1:51" x14ac:dyDescent="0.3">
      <c r="A53" s="215" t="s">
        <v>3812</v>
      </c>
      <c r="B53" s="216"/>
      <c r="C53" s="216"/>
      <c r="D53" s="216"/>
      <c r="E53" s="248"/>
      <c r="F53" s="216"/>
      <c r="AY53" s="362"/>
    </row>
    <row r="54" spans="1:51" x14ac:dyDescent="0.3">
      <c r="A54" s="215" t="s">
        <v>3813</v>
      </c>
      <c r="B54" s="216"/>
      <c r="C54" s="216"/>
      <c r="D54" s="216"/>
      <c r="E54" s="248"/>
      <c r="F54" s="216"/>
      <c r="AY54" s="362"/>
    </row>
    <row r="55" spans="1:51" x14ac:dyDescent="0.3">
      <c r="A55" s="215" t="s">
        <v>3814</v>
      </c>
      <c r="B55" s="216"/>
      <c r="C55" s="216"/>
      <c r="D55" s="216"/>
      <c r="E55" s="248"/>
      <c r="F55" s="216"/>
      <c r="AY55" s="362"/>
    </row>
    <row r="56" spans="1:51" x14ac:dyDescent="0.3">
      <c r="A56" s="215" t="s">
        <v>3815</v>
      </c>
      <c r="B56" s="216"/>
      <c r="C56" s="216"/>
      <c r="D56" s="216"/>
      <c r="E56" s="248"/>
      <c r="F56" s="216"/>
      <c r="AY56" s="362"/>
    </row>
    <row r="57" spans="1:51" x14ac:dyDescent="0.3">
      <c r="A57" s="215" t="s">
        <v>3816</v>
      </c>
      <c r="B57" s="216"/>
      <c r="C57" s="216"/>
      <c r="D57" s="216"/>
      <c r="E57" s="248"/>
      <c r="F57" s="216"/>
      <c r="AY57" s="362"/>
    </row>
    <row r="58" spans="1:51" x14ac:dyDescent="0.3">
      <c r="A58" s="215" t="s">
        <v>3817</v>
      </c>
      <c r="B58" s="216"/>
      <c r="C58" s="216"/>
      <c r="D58" s="216"/>
      <c r="E58" s="248"/>
      <c r="F58" s="216"/>
      <c r="AY58" s="362"/>
    </row>
    <row r="59" spans="1:51" x14ac:dyDescent="0.3">
      <c r="A59" s="215" t="s">
        <v>3818</v>
      </c>
      <c r="B59" s="216"/>
      <c r="C59" s="216"/>
      <c r="D59" s="216"/>
      <c r="E59" s="248"/>
      <c r="F59" s="216"/>
      <c r="AY59" s="362"/>
    </row>
    <row r="60" spans="1:51" x14ac:dyDescent="0.3">
      <c r="A60" s="215" t="s">
        <v>3819</v>
      </c>
      <c r="B60" s="216"/>
      <c r="C60" s="216"/>
      <c r="D60" s="216"/>
      <c r="E60" s="248"/>
      <c r="F60" s="216"/>
      <c r="AY60" s="362"/>
    </row>
    <row r="61" spans="1:51" ht="15" thickBot="1" x14ac:dyDescent="0.35">
      <c r="A61" s="253" t="s">
        <v>3820</v>
      </c>
      <c r="B61" s="216"/>
      <c r="C61" s="254"/>
      <c r="D61" s="254"/>
      <c r="E61" s="255"/>
      <c r="F61" s="216"/>
      <c r="AY61" s="362"/>
    </row>
    <row r="62" spans="1:51" x14ac:dyDescent="0.3">
      <c r="A62" s="1098" t="s">
        <v>4543</v>
      </c>
      <c r="B62" s="1099"/>
      <c r="C62" s="1099"/>
      <c r="D62" s="1099"/>
      <c r="E62" s="1099"/>
      <c r="F62" s="1099"/>
      <c r="G62" s="1099"/>
      <c r="H62" s="1099"/>
      <c r="I62" s="1099"/>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100"/>
    </row>
    <row r="63" spans="1:51" ht="43.8" customHeight="1" x14ac:dyDescent="0.3">
      <c r="A63" s="1101" t="s">
        <v>4579</v>
      </c>
      <c r="B63" s="1102"/>
      <c r="C63" s="1102"/>
      <c r="D63" s="1102"/>
      <c r="E63" s="1102"/>
      <c r="F63" s="1102"/>
      <c r="G63" s="1102"/>
      <c r="H63" s="1102"/>
      <c r="I63" s="1102"/>
      <c r="J63" s="1102"/>
      <c r="K63" s="1102"/>
      <c r="L63" s="1102"/>
      <c r="M63" s="1102"/>
      <c r="N63" s="1102"/>
      <c r="O63" s="1102"/>
      <c r="P63" s="1102"/>
      <c r="Q63" s="1102"/>
      <c r="R63" s="1102"/>
      <c r="S63" s="1102"/>
      <c r="T63" s="1102"/>
      <c r="U63" s="1102"/>
      <c r="V63" s="1102"/>
      <c r="W63" s="1102"/>
      <c r="X63" s="1102"/>
      <c r="Y63" s="1102"/>
      <c r="Z63" s="1102"/>
      <c r="AA63" s="1102"/>
      <c r="AB63" s="1102"/>
      <c r="AC63" s="1102"/>
      <c r="AD63" s="1102"/>
      <c r="AE63" s="1102"/>
      <c r="AF63" s="1102"/>
      <c r="AG63" s="1102"/>
      <c r="AH63" s="1102"/>
      <c r="AI63" s="1102"/>
      <c r="AJ63" s="1102"/>
      <c r="AK63" s="1102"/>
      <c r="AL63" s="1102"/>
      <c r="AM63" s="1102"/>
      <c r="AN63" s="1102"/>
      <c r="AO63" s="1102"/>
      <c r="AP63" s="1102"/>
      <c r="AQ63" s="1102"/>
      <c r="AR63" s="1102"/>
      <c r="AS63" s="1102"/>
      <c r="AT63" s="1102"/>
      <c r="AU63" s="1102"/>
      <c r="AV63" s="1102"/>
      <c r="AW63" s="1102"/>
      <c r="AX63" s="1102"/>
      <c r="AY63" s="1103"/>
    </row>
    <row r="64" spans="1:51" x14ac:dyDescent="0.3">
      <c r="A64" s="1104" t="s">
        <v>4580</v>
      </c>
      <c r="B64" s="1105"/>
      <c r="C64" s="1105"/>
      <c r="D64" s="1105"/>
      <c r="E64" s="1105"/>
      <c r="F64" s="1105"/>
      <c r="G64" s="1105"/>
      <c r="H64" s="1105"/>
      <c r="I64" s="1105"/>
      <c r="J64" s="1105"/>
      <c r="K64" s="1105"/>
      <c r="L64" s="1105"/>
      <c r="M64" s="1105"/>
      <c r="N64" s="1105"/>
      <c r="O64" s="1105"/>
      <c r="P64" s="1105"/>
      <c r="Q64" s="1105"/>
      <c r="R64" s="1105"/>
      <c r="S64" s="1105"/>
      <c r="T64" s="1105"/>
      <c r="U64" s="1105"/>
      <c r="V64" s="1105"/>
      <c r="W64" s="1105"/>
      <c r="X64" s="1105"/>
      <c r="Y64" s="1105"/>
      <c r="Z64" s="1105"/>
      <c r="AA64" s="1105"/>
      <c r="AB64" s="1105"/>
      <c r="AC64" s="1105"/>
      <c r="AD64" s="1105"/>
      <c r="AE64" s="1105"/>
      <c r="AF64" s="1105"/>
      <c r="AG64" s="1105"/>
      <c r="AH64" s="1105"/>
      <c r="AI64" s="1105"/>
      <c r="AJ64" s="1105"/>
      <c r="AK64" s="1105"/>
      <c r="AL64" s="1105"/>
      <c r="AM64" s="1105"/>
      <c r="AN64" s="1105"/>
      <c r="AO64" s="1105"/>
      <c r="AP64" s="1105"/>
      <c r="AQ64" s="1105"/>
      <c r="AR64" s="1105"/>
      <c r="AS64" s="1105"/>
      <c r="AT64" s="1105"/>
      <c r="AU64" s="1105"/>
      <c r="AV64" s="1105"/>
      <c r="AW64" s="1105"/>
      <c r="AX64" s="1105"/>
      <c r="AY64" s="1106"/>
    </row>
    <row r="65" spans="1:51" x14ac:dyDescent="0.3">
      <c r="A65" s="1095" t="s">
        <v>4544</v>
      </c>
      <c r="B65" s="1096"/>
      <c r="C65" s="1096"/>
      <c r="D65" s="1096"/>
      <c r="E65" s="1096"/>
      <c r="F65" s="1096"/>
      <c r="G65" s="1096"/>
      <c r="H65" s="1096"/>
      <c r="I65" s="1096"/>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7"/>
    </row>
    <row r="66" spans="1:51" x14ac:dyDescent="0.3">
      <c r="A66" s="1086" t="s">
        <v>4581</v>
      </c>
      <c r="B66" s="1087"/>
      <c r="C66" s="1087"/>
      <c r="D66" s="1087"/>
      <c r="E66" s="1087"/>
      <c r="F66" s="1087"/>
      <c r="G66" s="1087"/>
      <c r="H66" s="1087"/>
      <c r="I66" s="1087"/>
      <c r="J66" s="1087"/>
      <c r="K66" s="1087"/>
      <c r="L66" s="1087"/>
      <c r="M66" s="1087"/>
      <c r="N66" s="1087"/>
      <c r="O66" s="1087"/>
      <c r="P66" s="1087"/>
      <c r="Q66" s="1087"/>
      <c r="R66" s="1087"/>
      <c r="S66" s="1087"/>
      <c r="T66" s="1087"/>
      <c r="U66" s="1087"/>
      <c r="V66" s="1087"/>
      <c r="W66" s="1087"/>
      <c r="X66" s="1087"/>
      <c r="Y66" s="1087"/>
      <c r="Z66" s="1087"/>
      <c r="AA66" s="1087"/>
      <c r="AB66" s="1087"/>
      <c r="AC66" s="1087"/>
      <c r="AD66" s="1087"/>
      <c r="AE66" s="1087"/>
      <c r="AF66" s="1087"/>
      <c r="AG66" s="1087"/>
      <c r="AH66" s="1087"/>
      <c r="AI66" s="1087"/>
      <c r="AJ66" s="1087"/>
      <c r="AK66" s="1087"/>
      <c r="AL66" s="1087"/>
      <c r="AM66" s="1087"/>
      <c r="AN66" s="1087"/>
      <c r="AO66" s="1087"/>
      <c r="AP66" s="1087"/>
      <c r="AQ66" s="1087"/>
      <c r="AR66" s="1087"/>
      <c r="AS66" s="1087"/>
      <c r="AT66" s="1087"/>
      <c r="AU66" s="1087"/>
      <c r="AV66" s="1087"/>
      <c r="AW66" s="1087"/>
      <c r="AX66" s="1087"/>
      <c r="AY66" s="1088"/>
    </row>
    <row r="67" spans="1:51" x14ac:dyDescent="0.3">
      <c r="A67" s="1083" t="s">
        <v>4582</v>
      </c>
      <c r="B67" s="1084"/>
      <c r="C67" s="1084"/>
      <c r="D67" s="1084"/>
      <c r="E67" s="1084"/>
      <c r="F67" s="1084"/>
      <c r="G67" s="1084"/>
      <c r="H67" s="1084"/>
      <c r="I67" s="1084"/>
      <c r="J67" s="1084"/>
      <c r="K67" s="1084"/>
      <c r="L67" s="1084"/>
      <c r="M67" s="1084"/>
      <c r="N67" s="1084"/>
      <c r="O67" s="1084"/>
      <c r="P67" s="1084"/>
      <c r="Q67" s="1084"/>
      <c r="R67" s="1084"/>
      <c r="S67" s="1084"/>
      <c r="T67" s="1084"/>
      <c r="U67" s="1084"/>
      <c r="V67" s="1084"/>
      <c r="W67" s="1084"/>
      <c r="X67" s="1084"/>
      <c r="Y67" s="1084"/>
      <c r="Z67" s="1084"/>
      <c r="AA67" s="1084"/>
      <c r="AB67" s="1084"/>
      <c r="AC67" s="1084"/>
      <c r="AD67" s="1084"/>
      <c r="AE67" s="1084"/>
      <c r="AF67" s="1084"/>
      <c r="AG67" s="1084"/>
      <c r="AH67" s="1084"/>
      <c r="AI67" s="1084"/>
      <c r="AJ67" s="1084"/>
      <c r="AK67" s="1084"/>
      <c r="AL67" s="1084"/>
      <c r="AM67" s="1084"/>
      <c r="AN67" s="1084"/>
      <c r="AO67" s="1084"/>
      <c r="AP67" s="1084"/>
      <c r="AQ67" s="1084"/>
      <c r="AR67" s="1084"/>
      <c r="AS67" s="1084"/>
      <c r="AT67" s="1084"/>
      <c r="AU67" s="1084"/>
      <c r="AV67" s="1084"/>
      <c r="AW67" s="1084"/>
      <c r="AX67" s="1084"/>
      <c r="AY67" s="1085"/>
    </row>
    <row r="68" spans="1:51" x14ac:dyDescent="0.3">
      <c r="A68" s="1086" t="s">
        <v>4583</v>
      </c>
      <c r="B68" s="1087"/>
      <c r="C68" s="1087"/>
      <c r="D68" s="1087"/>
      <c r="E68" s="1087"/>
      <c r="F68" s="1087"/>
      <c r="G68" s="1087"/>
      <c r="H68" s="1087"/>
      <c r="I68" s="1087"/>
      <c r="J68" s="1087"/>
      <c r="K68" s="1087"/>
      <c r="L68" s="1087"/>
      <c r="M68" s="1087"/>
      <c r="N68" s="1087"/>
      <c r="O68" s="1087"/>
      <c r="P68" s="1087"/>
      <c r="Q68" s="1087"/>
      <c r="R68" s="1087"/>
      <c r="S68" s="1087"/>
      <c r="T68" s="1087"/>
      <c r="U68" s="1087"/>
      <c r="V68" s="1087"/>
      <c r="W68" s="1087"/>
      <c r="X68" s="1087"/>
      <c r="Y68" s="1087"/>
      <c r="Z68" s="1087"/>
      <c r="AA68" s="1087"/>
      <c r="AB68" s="1087"/>
      <c r="AC68" s="1087"/>
      <c r="AD68" s="1087"/>
      <c r="AE68" s="1087"/>
      <c r="AF68" s="1087"/>
      <c r="AG68" s="1087"/>
      <c r="AH68" s="1087"/>
      <c r="AI68" s="1087"/>
      <c r="AJ68" s="1087"/>
      <c r="AK68" s="1087"/>
      <c r="AL68" s="1087"/>
      <c r="AM68" s="1087"/>
      <c r="AN68" s="1087"/>
      <c r="AO68" s="1087"/>
      <c r="AP68" s="1087"/>
      <c r="AQ68" s="1087"/>
      <c r="AR68" s="1087"/>
      <c r="AS68" s="1087"/>
      <c r="AT68" s="1087"/>
      <c r="AU68" s="1087"/>
      <c r="AV68" s="1087"/>
      <c r="AW68" s="1087"/>
      <c r="AX68" s="1087"/>
      <c r="AY68" s="1088"/>
    </row>
    <row r="69" spans="1:51" x14ac:dyDescent="0.3">
      <c r="A69" s="1083" t="s">
        <v>4584</v>
      </c>
      <c r="B69" s="1084"/>
      <c r="C69" s="1084"/>
      <c r="D69" s="1084"/>
      <c r="E69" s="1084"/>
      <c r="F69" s="1084"/>
      <c r="G69" s="1084"/>
      <c r="H69" s="1084"/>
      <c r="I69" s="1084"/>
      <c r="J69" s="1084"/>
      <c r="K69" s="1084"/>
      <c r="L69" s="1084"/>
      <c r="M69" s="1084"/>
      <c r="N69" s="1084"/>
      <c r="O69" s="1084"/>
      <c r="P69" s="1084"/>
      <c r="Q69" s="1084"/>
      <c r="R69" s="1084"/>
      <c r="S69" s="1084"/>
      <c r="T69" s="1084"/>
      <c r="U69" s="1084"/>
      <c r="V69" s="1084"/>
      <c r="W69" s="1084"/>
      <c r="X69" s="1084"/>
      <c r="Y69" s="1084"/>
      <c r="Z69" s="1084"/>
      <c r="AA69" s="1084"/>
      <c r="AB69" s="1084"/>
      <c r="AC69" s="1084"/>
      <c r="AD69" s="1084"/>
      <c r="AE69" s="1084"/>
      <c r="AF69" s="1084"/>
      <c r="AG69" s="1084"/>
      <c r="AH69" s="1084"/>
      <c r="AI69" s="1084"/>
      <c r="AJ69" s="1084"/>
      <c r="AK69" s="1084"/>
      <c r="AL69" s="1084"/>
      <c r="AM69" s="1084"/>
      <c r="AN69" s="1084"/>
      <c r="AO69" s="1084"/>
      <c r="AP69" s="1084"/>
      <c r="AQ69" s="1084"/>
      <c r="AR69" s="1084"/>
      <c r="AS69" s="1084"/>
      <c r="AT69" s="1084"/>
      <c r="AU69" s="1084"/>
      <c r="AV69" s="1084"/>
      <c r="AW69" s="1084"/>
      <c r="AX69" s="1084"/>
      <c r="AY69" s="1085"/>
    </row>
    <row r="70" spans="1:51" x14ac:dyDescent="0.3">
      <c r="A70" s="1086" t="s">
        <v>4585</v>
      </c>
      <c r="B70" s="1087"/>
      <c r="C70" s="1087"/>
      <c r="D70" s="1087"/>
      <c r="E70" s="1087"/>
      <c r="F70" s="1087"/>
      <c r="G70" s="1087"/>
      <c r="H70" s="1087"/>
      <c r="I70" s="1087"/>
      <c r="J70" s="1087"/>
      <c r="K70" s="1087"/>
      <c r="L70" s="1087"/>
      <c r="M70" s="1087"/>
      <c r="N70" s="1087"/>
      <c r="O70" s="1087"/>
      <c r="P70" s="1087"/>
      <c r="Q70" s="1087"/>
      <c r="R70" s="1087"/>
      <c r="S70" s="1087"/>
      <c r="T70" s="1087"/>
      <c r="U70" s="1087"/>
      <c r="V70" s="1087"/>
      <c r="W70" s="1087"/>
      <c r="X70" s="1087"/>
      <c r="Y70" s="1087"/>
      <c r="Z70" s="1087"/>
      <c r="AA70" s="1087"/>
      <c r="AB70" s="1087"/>
      <c r="AC70" s="1087"/>
      <c r="AD70" s="1087"/>
      <c r="AE70" s="1087"/>
      <c r="AF70" s="1087"/>
      <c r="AG70" s="1087"/>
      <c r="AH70" s="1087"/>
      <c r="AI70" s="1087"/>
      <c r="AJ70" s="1087"/>
      <c r="AK70" s="1087"/>
      <c r="AL70" s="1087"/>
      <c r="AM70" s="1087"/>
      <c r="AN70" s="1087"/>
      <c r="AO70" s="1087"/>
      <c r="AP70" s="1087"/>
      <c r="AQ70" s="1087"/>
      <c r="AR70" s="1087"/>
      <c r="AS70" s="1087"/>
      <c r="AT70" s="1087"/>
      <c r="AU70" s="1087"/>
      <c r="AV70" s="1087"/>
      <c r="AW70" s="1087"/>
      <c r="AX70" s="1087"/>
      <c r="AY70" s="1088"/>
    </row>
    <row r="71" spans="1:51" x14ac:dyDescent="0.3">
      <c r="A71" s="1083" t="s">
        <v>4586</v>
      </c>
      <c r="B71" s="1084"/>
      <c r="C71" s="1084"/>
      <c r="D71" s="1084"/>
      <c r="E71" s="1084"/>
      <c r="F71" s="1084"/>
      <c r="G71" s="1084"/>
      <c r="H71" s="1084"/>
      <c r="I71" s="1084"/>
      <c r="J71" s="1084"/>
      <c r="K71" s="1084"/>
      <c r="L71" s="1084"/>
      <c r="M71" s="1084"/>
      <c r="N71" s="1084"/>
      <c r="O71" s="1084"/>
      <c r="P71" s="1084"/>
      <c r="Q71" s="1084"/>
      <c r="R71" s="1084"/>
      <c r="S71" s="1084"/>
      <c r="T71" s="1084"/>
      <c r="U71" s="1084"/>
      <c r="V71" s="1084"/>
      <c r="W71" s="1084"/>
      <c r="X71" s="1084"/>
      <c r="Y71" s="1084"/>
      <c r="Z71" s="1084"/>
      <c r="AA71" s="1084"/>
      <c r="AB71" s="1084"/>
      <c r="AC71" s="1084"/>
      <c r="AD71" s="1084"/>
      <c r="AE71" s="1084"/>
      <c r="AF71" s="1084"/>
      <c r="AG71" s="1084"/>
      <c r="AH71" s="1084"/>
      <c r="AI71" s="1084"/>
      <c r="AJ71" s="1084"/>
      <c r="AK71" s="1084"/>
      <c r="AL71" s="1084"/>
      <c r="AM71" s="1084"/>
      <c r="AN71" s="1084"/>
      <c r="AO71" s="1084"/>
      <c r="AP71" s="1084"/>
      <c r="AQ71" s="1084"/>
      <c r="AR71" s="1084"/>
      <c r="AS71" s="1084"/>
      <c r="AT71" s="1084"/>
      <c r="AU71" s="1084"/>
      <c r="AV71" s="1084"/>
      <c r="AW71" s="1084"/>
      <c r="AX71" s="1084"/>
      <c r="AY71" s="1085"/>
    </row>
    <row r="72" spans="1:51" x14ac:dyDescent="0.3">
      <c r="A72" s="1086" t="s">
        <v>4587</v>
      </c>
      <c r="B72" s="1087"/>
      <c r="C72" s="1087"/>
      <c r="D72" s="1087"/>
      <c r="E72" s="1087"/>
      <c r="F72" s="1087"/>
      <c r="G72" s="1087"/>
      <c r="H72" s="1087"/>
      <c r="I72" s="1087"/>
      <c r="J72" s="1087"/>
      <c r="K72" s="1087"/>
      <c r="L72" s="1087"/>
      <c r="M72" s="1087"/>
      <c r="N72" s="1087"/>
      <c r="O72" s="1087"/>
      <c r="P72" s="1087"/>
      <c r="Q72" s="1087"/>
      <c r="R72" s="1087"/>
      <c r="S72" s="1087"/>
      <c r="T72" s="1087"/>
      <c r="U72" s="1087"/>
      <c r="V72" s="1087"/>
      <c r="W72" s="1087"/>
      <c r="X72" s="1087"/>
      <c r="Y72" s="1087"/>
      <c r="Z72" s="1087"/>
      <c r="AA72" s="1087"/>
      <c r="AB72" s="1087"/>
      <c r="AC72" s="1087"/>
      <c r="AD72" s="1087"/>
      <c r="AE72" s="1087"/>
      <c r="AF72" s="1087"/>
      <c r="AG72" s="1087"/>
      <c r="AH72" s="1087"/>
      <c r="AI72" s="1087"/>
      <c r="AJ72" s="1087"/>
      <c r="AK72" s="1087"/>
      <c r="AL72" s="1087"/>
      <c r="AM72" s="1087"/>
      <c r="AN72" s="1087"/>
      <c r="AO72" s="1087"/>
      <c r="AP72" s="1087"/>
      <c r="AQ72" s="1087"/>
      <c r="AR72" s="1087"/>
      <c r="AS72" s="1087"/>
      <c r="AT72" s="1087"/>
      <c r="AU72" s="1087"/>
      <c r="AV72" s="1087"/>
      <c r="AW72" s="1087"/>
      <c r="AX72" s="1087"/>
      <c r="AY72" s="1088"/>
    </row>
    <row r="73" spans="1:51" x14ac:dyDescent="0.3">
      <c r="A73" s="1083" t="s">
        <v>4588</v>
      </c>
      <c r="B73" s="1084"/>
      <c r="C73" s="1084"/>
      <c r="D73" s="1084"/>
      <c r="E73" s="1084"/>
      <c r="F73" s="1084"/>
      <c r="G73" s="1084"/>
      <c r="H73" s="1084"/>
      <c r="I73" s="1084"/>
      <c r="J73" s="1084"/>
      <c r="K73" s="1084"/>
      <c r="L73" s="1084"/>
      <c r="M73" s="1084"/>
      <c r="N73" s="1084"/>
      <c r="O73" s="1084"/>
      <c r="P73" s="1084"/>
      <c r="Q73" s="1084"/>
      <c r="R73" s="1084"/>
      <c r="S73" s="1084"/>
      <c r="T73" s="1084"/>
      <c r="U73" s="1084"/>
      <c r="V73" s="1084"/>
      <c r="W73" s="1084"/>
      <c r="X73" s="1084"/>
      <c r="Y73" s="1084"/>
      <c r="Z73" s="1084"/>
      <c r="AA73" s="1084"/>
      <c r="AB73" s="1084"/>
      <c r="AC73" s="1084"/>
      <c r="AD73" s="1084"/>
      <c r="AE73" s="1084"/>
      <c r="AF73" s="1084"/>
      <c r="AG73" s="1084"/>
      <c r="AH73" s="1084"/>
      <c r="AI73" s="1084"/>
      <c r="AJ73" s="1084"/>
      <c r="AK73" s="1084"/>
      <c r="AL73" s="1084"/>
      <c r="AM73" s="1084"/>
      <c r="AN73" s="1084"/>
      <c r="AO73" s="1084"/>
      <c r="AP73" s="1084"/>
      <c r="AQ73" s="1084"/>
      <c r="AR73" s="1084"/>
      <c r="AS73" s="1084"/>
      <c r="AT73" s="1084"/>
      <c r="AU73" s="1084"/>
      <c r="AV73" s="1084"/>
      <c r="AW73" s="1084"/>
      <c r="AX73" s="1084"/>
      <c r="AY73" s="1085"/>
    </row>
    <row r="74" spans="1:51" x14ac:dyDescent="0.3">
      <c r="A74" s="1086" t="s">
        <v>4589</v>
      </c>
      <c r="B74" s="1087"/>
      <c r="C74" s="1087"/>
      <c r="D74" s="1087"/>
      <c r="E74" s="1087"/>
      <c r="F74" s="1087"/>
      <c r="G74" s="1087"/>
      <c r="H74" s="1087"/>
      <c r="I74" s="1087"/>
      <c r="J74" s="1087"/>
      <c r="K74" s="1087"/>
      <c r="L74" s="1087"/>
      <c r="M74" s="1087"/>
      <c r="N74" s="1087"/>
      <c r="O74" s="1087"/>
      <c r="P74" s="1087"/>
      <c r="Q74" s="1087"/>
      <c r="R74" s="1087"/>
      <c r="S74" s="1087"/>
      <c r="T74" s="1087"/>
      <c r="U74" s="1087"/>
      <c r="V74" s="1087"/>
      <c r="W74" s="1087"/>
      <c r="X74" s="1087"/>
      <c r="Y74" s="1087"/>
      <c r="Z74" s="1087"/>
      <c r="AA74" s="1087"/>
      <c r="AB74" s="1087"/>
      <c r="AC74" s="1087"/>
      <c r="AD74" s="1087"/>
      <c r="AE74" s="1087"/>
      <c r="AF74" s="1087"/>
      <c r="AG74" s="1087"/>
      <c r="AH74" s="1087"/>
      <c r="AI74" s="1087"/>
      <c r="AJ74" s="1087"/>
      <c r="AK74" s="1087"/>
      <c r="AL74" s="1087"/>
      <c r="AM74" s="1087"/>
      <c r="AN74" s="1087"/>
      <c r="AO74" s="1087"/>
      <c r="AP74" s="1087"/>
      <c r="AQ74" s="1087"/>
      <c r="AR74" s="1087"/>
      <c r="AS74" s="1087"/>
      <c r="AT74" s="1087"/>
      <c r="AU74" s="1087"/>
      <c r="AV74" s="1087"/>
      <c r="AW74" s="1087"/>
      <c r="AX74" s="1087"/>
      <c r="AY74" s="1088"/>
    </row>
    <row r="75" spans="1:51" x14ac:dyDescent="0.3">
      <c r="A75" s="1083" t="s">
        <v>4590</v>
      </c>
      <c r="B75" s="1084"/>
      <c r="C75" s="1084"/>
      <c r="D75" s="1084"/>
      <c r="E75" s="1084"/>
      <c r="F75" s="1084"/>
      <c r="G75" s="1084"/>
      <c r="H75" s="1084"/>
      <c r="I75" s="1084"/>
      <c r="J75" s="1084"/>
      <c r="K75" s="1084"/>
      <c r="L75" s="1084"/>
      <c r="M75" s="1084"/>
      <c r="N75" s="1084"/>
      <c r="O75" s="1084"/>
      <c r="P75" s="1084"/>
      <c r="Q75" s="1084"/>
      <c r="R75" s="1084"/>
      <c r="S75" s="1084"/>
      <c r="T75" s="1084"/>
      <c r="U75" s="1084"/>
      <c r="V75" s="1084"/>
      <c r="W75" s="1084"/>
      <c r="X75" s="1084"/>
      <c r="Y75" s="1084"/>
      <c r="Z75" s="1084"/>
      <c r="AA75" s="1084"/>
      <c r="AB75" s="1084"/>
      <c r="AC75" s="1084"/>
      <c r="AD75" s="1084"/>
      <c r="AE75" s="1084"/>
      <c r="AF75" s="1084"/>
      <c r="AG75" s="1084"/>
      <c r="AH75" s="1084"/>
      <c r="AI75" s="1084"/>
      <c r="AJ75" s="1084"/>
      <c r="AK75" s="1084"/>
      <c r="AL75" s="1084"/>
      <c r="AM75" s="1084"/>
      <c r="AN75" s="1084"/>
      <c r="AO75" s="1084"/>
      <c r="AP75" s="1084"/>
      <c r="AQ75" s="1084"/>
      <c r="AR75" s="1084"/>
      <c r="AS75" s="1084"/>
      <c r="AT75" s="1084"/>
      <c r="AU75" s="1084"/>
      <c r="AV75" s="1084"/>
      <c r="AW75" s="1084"/>
      <c r="AX75" s="1084"/>
      <c r="AY75" s="1085"/>
    </row>
    <row r="76" spans="1:51" x14ac:dyDescent="0.3">
      <c r="A76" s="1080" t="s">
        <v>4591</v>
      </c>
      <c r="B76" s="1081"/>
      <c r="C76" s="1081"/>
      <c r="D76" s="1081"/>
      <c r="E76" s="1081"/>
      <c r="F76" s="1081"/>
      <c r="G76" s="1081"/>
      <c r="H76" s="1081"/>
      <c r="I76" s="1081"/>
      <c r="J76" s="1081"/>
      <c r="K76" s="1081"/>
      <c r="L76" s="1081"/>
      <c r="M76" s="1081"/>
      <c r="N76" s="1081"/>
      <c r="O76" s="1081"/>
      <c r="P76" s="1081"/>
      <c r="Q76" s="1081"/>
      <c r="R76" s="1081"/>
      <c r="S76" s="1081"/>
      <c r="T76" s="1081"/>
      <c r="U76" s="1081"/>
      <c r="V76" s="1081"/>
      <c r="W76" s="1081"/>
      <c r="X76" s="1081"/>
      <c r="Y76" s="1081"/>
      <c r="Z76" s="1081"/>
      <c r="AA76" s="1081"/>
      <c r="AB76" s="1081"/>
      <c r="AC76" s="1081"/>
      <c r="AD76" s="1081"/>
      <c r="AE76" s="1081"/>
      <c r="AF76" s="1081"/>
      <c r="AG76" s="1081"/>
      <c r="AH76" s="1081"/>
      <c r="AI76" s="1081"/>
      <c r="AJ76" s="1081"/>
      <c r="AK76" s="1081"/>
      <c r="AL76" s="1081"/>
      <c r="AM76" s="1081"/>
      <c r="AN76" s="1081"/>
      <c r="AO76" s="1081"/>
      <c r="AP76" s="1081"/>
      <c r="AQ76" s="1081"/>
      <c r="AR76" s="1081"/>
      <c r="AS76" s="1081"/>
      <c r="AT76" s="1081"/>
      <c r="AU76" s="1081"/>
      <c r="AV76" s="1081"/>
      <c r="AW76" s="1081"/>
      <c r="AX76" s="1081"/>
      <c r="AY76" s="1082"/>
    </row>
    <row r="77" spans="1:51" x14ac:dyDescent="0.3">
      <c r="A77" s="1077" t="s">
        <v>4592</v>
      </c>
      <c r="B77" s="1078"/>
      <c r="C77" s="1078"/>
      <c r="D77" s="1078"/>
      <c r="E77" s="1078"/>
      <c r="F77" s="1078"/>
      <c r="G77" s="1078"/>
      <c r="H77" s="1078"/>
      <c r="I77" s="1078"/>
      <c r="J77" s="1078"/>
      <c r="K77" s="1078"/>
      <c r="L77" s="1078"/>
      <c r="M77" s="1078"/>
      <c r="N77" s="1078"/>
      <c r="O77" s="1078"/>
      <c r="P77" s="1078"/>
      <c r="Q77" s="1078"/>
      <c r="R77" s="1078"/>
      <c r="S77" s="1078"/>
      <c r="T77" s="1078"/>
      <c r="U77" s="1078"/>
      <c r="V77" s="1078"/>
      <c r="W77" s="1078"/>
      <c r="X77" s="1078"/>
      <c r="Y77" s="1078"/>
      <c r="Z77" s="1078"/>
      <c r="AA77" s="1078"/>
      <c r="AB77" s="1078"/>
      <c r="AC77" s="1078"/>
      <c r="AD77" s="1078"/>
      <c r="AE77" s="1078"/>
      <c r="AF77" s="1078"/>
      <c r="AG77" s="1078"/>
      <c r="AH77" s="1078"/>
      <c r="AI77" s="1078"/>
      <c r="AJ77" s="1078"/>
      <c r="AK77" s="1078"/>
      <c r="AL77" s="1078"/>
      <c r="AM77" s="1078"/>
      <c r="AN77" s="1078"/>
      <c r="AO77" s="1078"/>
      <c r="AP77" s="1078"/>
      <c r="AQ77" s="1078"/>
      <c r="AR77" s="1078"/>
      <c r="AS77" s="1078"/>
      <c r="AT77" s="1078"/>
      <c r="AU77" s="1078"/>
      <c r="AV77" s="1078"/>
      <c r="AW77" s="1078"/>
      <c r="AX77" s="1078"/>
      <c r="AY77" s="1079"/>
    </row>
    <row r="78" spans="1:51" x14ac:dyDescent="0.3">
      <c r="A78" s="1074" t="s">
        <v>4593</v>
      </c>
      <c r="B78" s="1075"/>
      <c r="C78" s="1075"/>
      <c r="D78" s="1075"/>
      <c r="E78" s="1075"/>
      <c r="F78" s="1075"/>
      <c r="G78" s="1075"/>
      <c r="H78" s="1075"/>
      <c r="I78" s="1075"/>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6"/>
    </row>
    <row r="79" spans="1:51" x14ac:dyDescent="0.3">
      <c r="A79" s="1092" t="s">
        <v>4594</v>
      </c>
      <c r="B79" s="1093"/>
      <c r="C79" s="1093"/>
      <c r="D79" s="1093"/>
      <c r="E79" s="1093"/>
      <c r="F79" s="1093"/>
      <c r="G79" s="1093"/>
      <c r="H79" s="1093"/>
      <c r="I79" s="1093"/>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4"/>
    </row>
    <row r="80" spans="1:51" x14ac:dyDescent="0.3">
      <c r="A80" s="1089" t="s">
        <v>4595</v>
      </c>
      <c r="B80" s="1090"/>
      <c r="C80" s="1090"/>
      <c r="D80" s="1090"/>
      <c r="E80" s="1090"/>
      <c r="F80" s="1090"/>
      <c r="G80" s="1090"/>
      <c r="H80" s="1090"/>
      <c r="I80" s="1090"/>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1"/>
    </row>
    <row r="81" spans="1:51" x14ac:dyDescent="0.3">
      <c r="A81" s="1074" t="s">
        <v>4596</v>
      </c>
      <c r="B81" s="1075"/>
      <c r="C81" s="1075"/>
      <c r="D81" s="1075"/>
      <c r="E81" s="1075"/>
      <c r="F81" s="1075"/>
      <c r="G81" s="1075"/>
      <c r="H81" s="1075"/>
      <c r="I81" s="1075"/>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6"/>
    </row>
    <row r="82" spans="1:51" x14ac:dyDescent="0.3">
      <c r="A82" s="1086" t="s">
        <v>4597</v>
      </c>
      <c r="B82" s="1087"/>
      <c r="C82" s="1087"/>
      <c r="D82" s="1087"/>
      <c r="E82" s="1087"/>
      <c r="F82" s="1087"/>
      <c r="G82" s="1087"/>
      <c r="H82" s="1087"/>
      <c r="I82" s="1087"/>
      <c r="J82" s="1087"/>
      <c r="K82" s="1087"/>
      <c r="L82" s="1087"/>
      <c r="M82" s="1087"/>
      <c r="N82" s="1087"/>
      <c r="O82" s="1087"/>
      <c r="P82" s="1087"/>
      <c r="Q82" s="1087"/>
      <c r="R82" s="1087"/>
      <c r="S82" s="1087"/>
      <c r="T82" s="1087"/>
      <c r="U82" s="1087"/>
      <c r="V82" s="1087"/>
      <c r="W82" s="1087"/>
      <c r="X82" s="1087"/>
      <c r="Y82" s="1087"/>
      <c r="Z82" s="1087"/>
      <c r="AA82" s="1087"/>
      <c r="AB82" s="1087"/>
      <c r="AC82" s="1087"/>
      <c r="AD82" s="1087"/>
      <c r="AE82" s="1087"/>
      <c r="AF82" s="1087"/>
      <c r="AG82" s="1087"/>
      <c r="AH82" s="1087"/>
      <c r="AI82" s="1087"/>
      <c r="AJ82" s="1087"/>
      <c r="AK82" s="1087"/>
      <c r="AL82" s="1087"/>
      <c r="AM82" s="1087"/>
      <c r="AN82" s="1087"/>
      <c r="AO82" s="1087"/>
      <c r="AP82" s="1087"/>
      <c r="AQ82" s="1087"/>
      <c r="AR82" s="1087"/>
      <c r="AS82" s="1087"/>
      <c r="AT82" s="1087"/>
      <c r="AU82" s="1087"/>
      <c r="AV82" s="1087"/>
      <c r="AW82" s="1087"/>
      <c r="AX82" s="1087"/>
      <c r="AY82" s="1088"/>
    </row>
    <row r="83" spans="1:51" x14ac:dyDescent="0.3">
      <c r="A83" s="1083" t="s">
        <v>4598</v>
      </c>
      <c r="B83" s="1084"/>
      <c r="C83" s="1084"/>
      <c r="D83" s="1084"/>
      <c r="E83" s="1084"/>
      <c r="F83" s="1084"/>
      <c r="G83" s="1084"/>
      <c r="H83" s="1084"/>
      <c r="I83" s="1084"/>
      <c r="J83" s="1084"/>
      <c r="K83" s="1084"/>
      <c r="L83" s="1084"/>
      <c r="M83" s="1084"/>
      <c r="N83" s="1084"/>
      <c r="O83" s="1084"/>
      <c r="P83" s="1084"/>
      <c r="Q83" s="1084"/>
      <c r="R83" s="1084"/>
      <c r="S83" s="1084"/>
      <c r="T83" s="1084"/>
      <c r="U83" s="1084"/>
      <c r="V83" s="1084"/>
      <c r="W83" s="1084"/>
      <c r="X83" s="1084"/>
      <c r="Y83" s="1084"/>
      <c r="Z83" s="1084"/>
      <c r="AA83" s="1084"/>
      <c r="AB83" s="1084"/>
      <c r="AC83" s="1084"/>
      <c r="AD83" s="1084"/>
      <c r="AE83" s="1084"/>
      <c r="AF83" s="1084"/>
      <c r="AG83" s="1084"/>
      <c r="AH83" s="1084"/>
      <c r="AI83" s="1084"/>
      <c r="AJ83" s="1084"/>
      <c r="AK83" s="1084"/>
      <c r="AL83" s="1084"/>
      <c r="AM83" s="1084"/>
      <c r="AN83" s="1084"/>
      <c r="AO83" s="1084"/>
      <c r="AP83" s="1084"/>
      <c r="AQ83" s="1084"/>
      <c r="AR83" s="1084"/>
      <c r="AS83" s="1084"/>
      <c r="AT83" s="1084"/>
      <c r="AU83" s="1084"/>
      <c r="AV83" s="1084"/>
      <c r="AW83" s="1084"/>
      <c r="AX83" s="1084"/>
      <c r="AY83" s="1085"/>
    </row>
    <row r="84" spans="1:51" x14ac:dyDescent="0.3">
      <c r="A84" s="365" t="s">
        <v>4599</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089" t="s">
        <v>4600</v>
      </c>
      <c r="B85" s="1107"/>
      <c r="C85" s="1107"/>
      <c r="D85" s="1107"/>
      <c r="E85" s="1107"/>
      <c r="F85" s="1107"/>
      <c r="G85" s="1107"/>
      <c r="H85" s="1107"/>
      <c r="I85" s="1107"/>
      <c r="J85" s="1107"/>
      <c r="K85" s="1107"/>
      <c r="L85" s="1107"/>
      <c r="M85" s="1107"/>
      <c r="N85" s="1107"/>
      <c r="O85" s="1107"/>
      <c r="P85" s="1107"/>
      <c r="Q85" s="1107"/>
      <c r="R85" s="1107"/>
      <c r="S85" s="1107"/>
      <c r="T85" s="1107"/>
      <c r="U85" s="1107"/>
      <c r="V85" s="1107"/>
      <c r="W85" s="1107"/>
      <c r="X85" s="1107"/>
      <c r="Y85" s="1107"/>
      <c r="Z85" s="1107"/>
      <c r="AA85" s="1107"/>
      <c r="AB85" s="1107"/>
      <c r="AC85" s="1107"/>
      <c r="AD85" s="1107"/>
      <c r="AE85" s="1107"/>
      <c r="AF85" s="1107"/>
      <c r="AG85" s="1107"/>
      <c r="AH85" s="1107"/>
      <c r="AI85" s="1107"/>
      <c r="AJ85" s="1107"/>
      <c r="AK85" s="1107"/>
      <c r="AL85" s="1107"/>
      <c r="AM85" s="1107"/>
      <c r="AN85" s="1107"/>
      <c r="AO85" s="1107"/>
      <c r="AP85" s="1107"/>
      <c r="AQ85" s="1107"/>
      <c r="AR85" s="1107"/>
      <c r="AS85" s="1107"/>
      <c r="AT85" s="1107"/>
      <c r="AU85" s="1107"/>
      <c r="AV85" s="1107"/>
      <c r="AW85" s="1107"/>
      <c r="AX85" s="1107"/>
      <c r="AY85" s="1108"/>
    </row>
    <row r="86" spans="1:51" x14ac:dyDescent="0.3">
      <c r="A86" s="1074" t="s">
        <v>4601</v>
      </c>
      <c r="B86" s="1075"/>
      <c r="C86" s="1075"/>
      <c r="D86" s="1075"/>
      <c r="E86" s="1075"/>
      <c r="F86" s="1075"/>
      <c r="G86" s="1075"/>
      <c r="H86" s="1075"/>
      <c r="I86" s="1075"/>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6"/>
    </row>
    <row r="87" spans="1:51" x14ac:dyDescent="0.3">
      <c r="A87" s="1109" t="s">
        <v>4602</v>
      </c>
      <c r="B87" s="1110"/>
      <c r="C87" s="1110"/>
      <c r="D87" s="1110"/>
      <c r="E87" s="1110"/>
      <c r="F87" s="1110"/>
      <c r="G87" s="1110"/>
      <c r="H87" s="1110"/>
      <c r="I87" s="1110"/>
      <c r="J87" s="1110"/>
      <c r="K87" s="1110"/>
      <c r="L87" s="1110"/>
      <c r="M87" s="1110"/>
      <c r="N87" s="1110"/>
      <c r="O87" s="1110"/>
      <c r="P87" s="1110"/>
      <c r="Q87" s="1110"/>
      <c r="R87" s="1110"/>
      <c r="S87" s="1110"/>
      <c r="T87" s="1110"/>
      <c r="U87" s="1110"/>
      <c r="V87" s="1110"/>
      <c r="W87" s="1110"/>
      <c r="X87" s="1110"/>
      <c r="Y87" s="1110"/>
      <c r="Z87" s="1110"/>
      <c r="AA87" s="1110"/>
      <c r="AB87" s="1110"/>
      <c r="AC87" s="1110"/>
      <c r="AD87" s="1110"/>
      <c r="AE87" s="1110"/>
      <c r="AF87" s="1110"/>
      <c r="AG87" s="1110"/>
      <c r="AH87" s="1110"/>
      <c r="AI87" s="1110"/>
      <c r="AJ87" s="1110"/>
      <c r="AK87" s="1110"/>
      <c r="AL87" s="1110"/>
      <c r="AM87" s="1110"/>
      <c r="AN87" s="1110"/>
      <c r="AO87" s="1110"/>
      <c r="AP87" s="1110"/>
      <c r="AQ87" s="1110"/>
      <c r="AR87" s="1110"/>
      <c r="AS87" s="1110"/>
      <c r="AT87" s="1110"/>
      <c r="AU87" s="1110"/>
      <c r="AV87" s="1110"/>
      <c r="AW87" s="1110"/>
      <c r="AX87" s="1110"/>
      <c r="AY87" s="1111"/>
    </row>
    <row r="88" spans="1:51" x14ac:dyDescent="0.3">
      <c r="A88" s="1083" t="s">
        <v>4603</v>
      </c>
      <c r="B88" s="1112"/>
      <c r="C88" s="1112"/>
      <c r="D88" s="1112"/>
      <c r="E88" s="1112"/>
      <c r="F88" s="1112"/>
      <c r="G88" s="1112"/>
      <c r="H88" s="1112"/>
      <c r="I88" s="1112"/>
      <c r="J88" s="1112"/>
      <c r="K88" s="1112"/>
      <c r="L88" s="1112"/>
      <c r="M88" s="1112"/>
      <c r="N88" s="1112"/>
      <c r="O88" s="1112"/>
      <c r="P88" s="1112"/>
      <c r="Q88" s="1112"/>
      <c r="R88" s="1112"/>
      <c r="S88" s="1112"/>
      <c r="T88" s="1112"/>
      <c r="U88" s="1112"/>
      <c r="V88" s="1112"/>
      <c r="W88" s="1112"/>
      <c r="X88" s="1112"/>
      <c r="Y88" s="1112"/>
      <c r="Z88" s="1112"/>
      <c r="AA88" s="1112"/>
      <c r="AB88" s="1112"/>
      <c r="AC88" s="1112"/>
      <c r="AD88" s="1112"/>
      <c r="AE88" s="1112"/>
      <c r="AF88" s="1112"/>
      <c r="AG88" s="1112"/>
      <c r="AH88" s="1112"/>
      <c r="AI88" s="1112"/>
      <c r="AJ88" s="1112"/>
      <c r="AK88" s="1112"/>
      <c r="AL88" s="1112"/>
      <c r="AM88" s="1112"/>
      <c r="AN88" s="1112"/>
      <c r="AO88" s="1112"/>
      <c r="AP88" s="1112"/>
      <c r="AQ88" s="1112"/>
      <c r="AR88" s="1112"/>
      <c r="AS88" s="1112"/>
      <c r="AT88" s="1112"/>
      <c r="AU88" s="1112"/>
      <c r="AV88" s="1112"/>
      <c r="AW88" s="1112"/>
      <c r="AX88" s="1112"/>
      <c r="AY88" s="1113"/>
    </row>
    <row r="89" spans="1:51" x14ac:dyDescent="0.3">
      <c r="A89" s="1086" t="s">
        <v>4604</v>
      </c>
      <c r="B89" s="1087"/>
      <c r="C89" s="1087"/>
      <c r="D89" s="1087"/>
      <c r="E89" s="1087"/>
      <c r="F89" s="1087"/>
      <c r="G89" s="1087"/>
      <c r="H89" s="1087"/>
      <c r="I89" s="1087"/>
      <c r="J89" s="1087"/>
      <c r="K89" s="1087"/>
      <c r="L89" s="1087"/>
      <c r="M89" s="1087"/>
      <c r="N89" s="1087"/>
      <c r="O89" s="1087"/>
      <c r="P89" s="1087"/>
      <c r="Q89" s="1087"/>
      <c r="R89" s="1087"/>
      <c r="S89" s="1087"/>
      <c r="T89" s="1087"/>
      <c r="U89" s="1087"/>
      <c r="V89" s="1087"/>
      <c r="W89" s="1087"/>
      <c r="X89" s="1087"/>
      <c r="Y89" s="1087"/>
      <c r="Z89" s="1087"/>
      <c r="AA89" s="1087"/>
      <c r="AB89" s="1087"/>
      <c r="AC89" s="1087"/>
      <c r="AD89" s="1087"/>
      <c r="AE89" s="1087"/>
      <c r="AF89" s="1087"/>
      <c r="AG89" s="1087"/>
      <c r="AH89" s="1087"/>
      <c r="AI89" s="1087"/>
      <c r="AJ89" s="1087"/>
      <c r="AK89" s="1087"/>
      <c r="AL89" s="1087"/>
      <c r="AM89" s="1087"/>
      <c r="AN89" s="1087"/>
      <c r="AO89" s="1087"/>
      <c r="AP89" s="1087"/>
      <c r="AQ89" s="1087"/>
      <c r="AR89" s="1087"/>
      <c r="AS89" s="1087"/>
      <c r="AT89" s="1087"/>
      <c r="AU89" s="1087"/>
      <c r="AV89" s="1087"/>
      <c r="AW89" s="1087"/>
      <c r="AX89" s="1087"/>
      <c r="AY89" s="1088"/>
    </row>
    <row r="90" spans="1:51" x14ac:dyDescent="0.3">
      <c r="A90" s="1083" t="s">
        <v>4605</v>
      </c>
      <c r="B90" s="1112"/>
      <c r="C90" s="1112"/>
      <c r="D90" s="1112"/>
      <c r="E90" s="1112"/>
      <c r="F90" s="1112"/>
      <c r="G90" s="1112"/>
      <c r="H90" s="1112"/>
      <c r="I90" s="1112"/>
      <c r="J90" s="1112"/>
      <c r="K90" s="1112"/>
      <c r="L90" s="1112"/>
      <c r="M90" s="1112"/>
      <c r="N90" s="1112"/>
      <c r="O90" s="1112"/>
      <c r="P90" s="1112"/>
      <c r="Q90" s="1112"/>
      <c r="R90" s="1112"/>
      <c r="S90" s="1112"/>
      <c r="T90" s="1112"/>
      <c r="U90" s="1112"/>
      <c r="V90" s="1112"/>
      <c r="W90" s="1112"/>
      <c r="X90" s="1112"/>
      <c r="Y90" s="1112"/>
      <c r="Z90" s="1112"/>
      <c r="AA90" s="1112"/>
      <c r="AB90" s="1112"/>
      <c r="AC90" s="1112"/>
      <c r="AD90" s="1112"/>
      <c r="AE90" s="1112"/>
      <c r="AF90" s="1112"/>
      <c r="AG90" s="1112"/>
      <c r="AH90" s="1112"/>
      <c r="AI90" s="1112"/>
      <c r="AJ90" s="1112"/>
      <c r="AK90" s="1112"/>
      <c r="AL90" s="1112"/>
      <c r="AM90" s="1112"/>
      <c r="AN90" s="1112"/>
      <c r="AO90" s="1112"/>
      <c r="AP90" s="1112"/>
      <c r="AQ90" s="1112"/>
      <c r="AR90" s="1112"/>
      <c r="AS90" s="1112"/>
      <c r="AT90" s="1112"/>
      <c r="AU90" s="1112"/>
      <c r="AV90" s="1112"/>
      <c r="AW90" s="1112"/>
      <c r="AX90" s="1112"/>
      <c r="AY90" s="1113"/>
    </row>
    <row r="91" spans="1:51" x14ac:dyDescent="0.3">
      <c r="A91" s="1086" t="s">
        <v>4606</v>
      </c>
      <c r="B91" s="1087"/>
      <c r="C91" s="1087"/>
      <c r="D91" s="1087"/>
      <c r="E91" s="1087"/>
      <c r="F91" s="1087"/>
      <c r="G91" s="1087"/>
      <c r="H91" s="1087"/>
      <c r="I91" s="1087"/>
      <c r="J91" s="1087"/>
      <c r="K91" s="1087"/>
      <c r="L91" s="1087"/>
      <c r="M91" s="1087"/>
      <c r="N91" s="1087"/>
      <c r="O91" s="1087"/>
      <c r="P91" s="1087"/>
      <c r="Q91" s="1087"/>
      <c r="R91" s="1087"/>
      <c r="S91" s="1087"/>
      <c r="T91" s="1087"/>
      <c r="U91" s="1087"/>
      <c r="V91" s="1087"/>
      <c r="W91" s="1087"/>
      <c r="X91" s="1087"/>
      <c r="Y91" s="1087"/>
      <c r="Z91" s="1087"/>
      <c r="AA91" s="1087"/>
      <c r="AB91" s="1087"/>
      <c r="AC91" s="1087"/>
      <c r="AD91" s="1087"/>
      <c r="AE91" s="1087"/>
      <c r="AF91" s="1087"/>
      <c r="AG91" s="1087"/>
      <c r="AH91" s="1087"/>
      <c r="AI91" s="1087"/>
      <c r="AJ91" s="1087"/>
      <c r="AK91" s="1087"/>
      <c r="AL91" s="1087"/>
      <c r="AM91" s="1087"/>
      <c r="AN91" s="1087"/>
      <c r="AO91" s="1087"/>
      <c r="AP91" s="1087"/>
      <c r="AQ91" s="1087"/>
      <c r="AR91" s="1087"/>
      <c r="AS91" s="1087"/>
      <c r="AT91" s="1087"/>
      <c r="AU91" s="1087"/>
      <c r="AV91" s="1087"/>
      <c r="AW91" s="1087"/>
      <c r="AX91" s="1087"/>
      <c r="AY91" s="1088"/>
    </row>
    <row r="92" spans="1:51" x14ac:dyDescent="0.3">
      <c r="A92" s="1083" t="s">
        <v>4607</v>
      </c>
      <c r="B92" s="1112"/>
      <c r="C92" s="1112"/>
      <c r="D92" s="1112"/>
      <c r="E92" s="1112"/>
      <c r="F92" s="1112"/>
      <c r="G92" s="1112"/>
      <c r="H92" s="1112"/>
      <c r="I92" s="1112"/>
      <c r="J92" s="1112"/>
      <c r="K92" s="1112"/>
      <c r="L92" s="1112"/>
      <c r="M92" s="1112"/>
      <c r="N92" s="1112"/>
      <c r="O92" s="1112"/>
      <c r="P92" s="1112"/>
      <c r="Q92" s="1112"/>
      <c r="R92" s="1112"/>
      <c r="S92" s="1112"/>
      <c r="T92" s="1112"/>
      <c r="U92" s="1112"/>
      <c r="V92" s="1112"/>
      <c r="W92" s="1112"/>
      <c r="X92" s="1112"/>
      <c r="Y92" s="1112"/>
      <c r="Z92" s="1112"/>
      <c r="AA92" s="1112"/>
      <c r="AB92" s="1112"/>
      <c r="AC92" s="1112"/>
      <c r="AD92" s="1112"/>
      <c r="AE92" s="1112"/>
      <c r="AF92" s="1112"/>
      <c r="AG92" s="1112"/>
      <c r="AH92" s="1112"/>
      <c r="AI92" s="1112"/>
      <c r="AJ92" s="1112"/>
      <c r="AK92" s="1112"/>
      <c r="AL92" s="1112"/>
      <c r="AM92" s="1112"/>
      <c r="AN92" s="1112"/>
      <c r="AO92" s="1112"/>
      <c r="AP92" s="1112"/>
      <c r="AQ92" s="1112"/>
      <c r="AR92" s="1112"/>
      <c r="AS92" s="1112"/>
      <c r="AT92" s="1112"/>
      <c r="AU92" s="1112"/>
      <c r="AV92" s="1112"/>
      <c r="AW92" s="1112"/>
      <c r="AX92" s="1112"/>
      <c r="AY92" s="1113"/>
    </row>
    <row r="93" spans="1:51" x14ac:dyDescent="0.3">
      <c r="A93" s="1086" t="s">
        <v>4608</v>
      </c>
      <c r="B93" s="1087"/>
      <c r="C93" s="1087"/>
      <c r="D93" s="1087"/>
      <c r="E93" s="1087"/>
      <c r="F93" s="1087"/>
      <c r="G93" s="1087"/>
      <c r="H93" s="1087"/>
      <c r="I93" s="1087"/>
      <c r="J93" s="1087"/>
      <c r="K93" s="1087"/>
      <c r="L93" s="1087"/>
      <c r="M93" s="1087"/>
      <c r="N93" s="1087"/>
      <c r="O93" s="1087"/>
      <c r="P93" s="1087"/>
      <c r="Q93" s="1087"/>
      <c r="R93" s="1087"/>
      <c r="S93" s="1087"/>
      <c r="T93" s="1087"/>
      <c r="U93" s="1087"/>
      <c r="V93" s="1087"/>
      <c r="W93" s="1087"/>
      <c r="X93" s="1087"/>
      <c r="Y93" s="1087"/>
      <c r="Z93" s="1087"/>
      <c r="AA93" s="1087"/>
      <c r="AB93" s="1087"/>
      <c r="AC93" s="1087"/>
      <c r="AD93" s="1087"/>
      <c r="AE93" s="1087"/>
      <c r="AF93" s="1087"/>
      <c r="AG93" s="1087"/>
      <c r="AH93" s="1087"/>
      <c r="AI93" s="1087"/>
      <c r="AJ93" s="1087"/>
      <c r="AK93" s="1087"/>
      <c r="AL93" s="1087"/>
      <c r="AM93" s="1087"/>
      <c r="AN93" s="1087"/>
      <c r="AO93" s="1087"/>
      <c r="AP93" s="1087"/>
      <c r="AQ93" s="1087"/>
      <c r="AR93" s="1087"/>
      <c r="AS93" s="1087"/>
      <c r="AT93" s="1087"/>
      <c r="AU93" s="1087"/>
      <c r="AV93" s="1087"/>
      <c r="AW93" s="1087"/>
      <c r="AX93" s="1087"/>
      <c r="AY93" s="1088"/>
    </row>
    <row r="94" spans="1:51" x14ac:dyDescent="0.3">
      <c r="A94" s="1083" t="s">
        <v>4609</v>
      </c>
      <c r="B94" s="1112"/>
      <c r="C94" s="1112"/>
      <c r="D94" s="1112"/>
      <c r="E94" s="1112"/>
      <c r="F94" s="1112"/>
      <c r="G94" s="1112"/>
      <c r="H94" s="1112"/>
      <c r="I94" s="1112"/>
      <c r="J94" s="1112"/>
      <c r="K94" s="1112"/>
      <c r="L94" s="1112"/>
      <c r="M94" s="1112"/>
      <c r="N94" s="1112"/>
      <c r="O94" s="1112"/>
      <c r="P94" s="1112"/>
      <c r="Q94" s="1112"/>
      <c r="R94" s="1112"/>
      <c r="S94" s="1112"/>
      <c r="T94" s="1112"/>
      <c r="U94" s="1112"/>
      <c r="V94" s="1112"/>
      <c r="W94" s="1112"/>
      <c r="X94" s="1112"/>
      <c r="Y94" s="1112"/>
      <c r="Z94" s="1112"/>
      <c r="AA94" s="1112"/>
      <c r="AB94" s="1112"/>
      <c r="AC94" s="1112"/>
      <c r="AD94" s="1112"/>
      <c r="AE94" s="1112"/>
      <c r="AF94" s="1112"/>
      <c r="AG94" s="1112"/>
      <c r="AH94" s="1112"/>
      <c r="AI94" s="1112"/>
      <c r="AJ94" s="1112"/>
      <c r="AK94" s="1112"/>
      <c r="AL94" s="1112"/>
      <c r="AM94" s="1112"/>
      <c r="AN94" s="1112"/>
      <c r="AO94" s="1112"/>
      <c r="AP94" s="1112"/>
      <c r="AQ94" s="1112"/>
      <c r="AR94" s="1112"/>
      <c r="AS94" s="1112"/>
      <c r="AT94" s="1112"/>
      <c r="AU94" s="1112"/>
      <c r="AV94" s="1112"/>
      <c r="AW94" s="1112"/>
      <c r="AX94" s="1112"/>
      <c r="AY94" s="1113"/>
    </row>
    <row r="95" spans="1:51" x14ac:dyDescent="0.3">
      <c r="A95" s="1086" t="s">
        <v>4610</v>
      </c>
      <c r="B95" s="1087"/>
      <c r="C95" s="1087"/>
      <c r="D95" s="1087"/>
      <c r="E95" s="1087"/>
      <c r="F95" s="1087"/>
      <c r="G95" s="1087"/>
      <c r="H95" s="1087"/>
      <c r="I95" s="1087"/>
      <c r="J95" s="1087"/>
      <c r="K95" s="1087"/>
      <c r="L95" s="1087"/>
      <c r="M95" s="1087"/>
      <c r="N95" s="1087"/>
      <c r="O95" s="1087"/>
      <c r="P95" s="1087"/>
      <c r="Q95" s="1087"/>
      <c r="R95" s="1087"/>
      <c r="S95" s="1087"/>
      <c r="T95" s="1087"/>
      <c r="U95" s="1087"/>
      <c r="V95" s="1087"/>
      <c r="W95" s="1087"/>
      <c r="X95" s="1087"/>
      <c r="Y95" s="1087"/>
      <c r="Z95" s="1087"/>
      <c r="AA95" s="1087"/>
      <c r="AB95" s="1087"/>
      <c r="AC95" s="1087"/>
      <c r="AD95" s="1087"/>
      <c r="AE95" s="1087"/>
      <c r="AF95" s="1087"/>
      <c r="AG95" s="1087"/>
      <c r="AH95" s="1087"/>
      <c r="AI95" s="1087"/>
      <c r="AJ95" s="1087"/>
      <c r="AK95" s="1087"/>
      <c r="AL95" s="1087"/>
      <c r="AM95" s="1087"/>
      <c r="AN95" s="1087"/>
      <c r="AO95" s="1087"/>
      <c r="AP95" s="1087"/>
      <c r="AQ95" s="1087"/>
      <c r="AR95" s="1087"/>
      <c r="AS95" s="1087"/>
      <c r="AT95" s="1087"/>
      <c r="AU95" s="1087"/>
      <c r="AV95" s="1087"/>
      <c r="AW95" s="1087"/>
      <c r="AX95" s="1087"/>
      <c r="AY95" s="1088"/>
    </row>
    <row r="96" spans="1:51" x14ac:dyDescent="0.3">
      <c r="A96" s="1083" t="s">
        <v>4611</v>
      </c>
      <c r="B96" s="1112"/>
      <c r="C96" s="1112"/>
      <c r="D96" s="1112"/>
      <c r="E96" s="1112"/>
      <c r="F96" s="1112"/>
      <c r="G96" s="1112"/>
      <c r="H96" s="1112"/>
      <c r="I96" s="1112"/>
      <c r="J96" s="1112"/>
      <c r="K96" s="1112"/>
      <c r="L96" s="1112"/>
      <c r="M96" s="1112"/>
      <c r="N96" s="1112"/>
      <c r="O96" s="1112"/>
      <c r="P96" s="1112"/>
      <c r="Q96" s="1112"/>
      <c r="R96" s="1112"/>
      <c r="S96" s="1112"/>
      <c r="T96" s="1112"/>
      <c r="U96" s="1112"/>
      <c r="V96" s="1112"/>
      <c r="W96" s="1112"/>
      <c r="X96" s="1112"/>
      <c r="Y96" s="1112"/>
      <c r="Z96" s="1112"/>
      <c r="AA96" s="1112"/>
      <c r="AB96" s="1112"/>
      <c r="AC96" s="1112"/>
      <c r="AD96" s="1112"/>
      <c r="AE96" s="1112"/>
      <c r="AF96" s="1112"/>
      <c r="AG96" s="1112"/>
      <c r="AH96" s="1112"/>
      <c r="AI96" s="1112"/>
      <c r="AJ96" s="1112"/>
      <c r="AK96" s="1112"/>
      <c r="AL96" s="1112"/>
      <c r="AM96" s="1112"/>
      <c r="AN96" s="1112"/>
      <c r="AO96" s="1112"/>
      <c r="AP96" s="1112"/>
      <c r="AQ96" s="1112"/>
      <c r="AR96" s="1112"/>
      <c r="AS96" s="1112"/>
      <c r="AT96" s="1112"/>
      <c r="AU96" s="1112"/>
      <c r="AV96" s="1112"/>
      <c r="AW96" s="1112"/>
      <c r="AX96" s="1112"/>
      <c r="AY96" s="1113"/>
    </row>
    <row r="97" spans="1:51" x14ac:dyDescent="0.3">
      <c r="A97" s="1086" t="s">
        <v>4612</v>
      </c>
      <c r="B97" s="1087"/>
      <c r="C97" s="1087"/>
      <c r="D97" s="1087"/>
      <c r="E97" s="1087"/>
      <c r="F97" s="1087"/>
      <c r="G97" s="1087"/>
      <c r="H97" s="1087"/>
      <c r="I97" s="1087"/>
      <c r="J97" s="1087"/>
      <c r="K97" s="1087"/>
      <c r="L97" s="1087"/>
      <c r="M97" s="1087"/>
      <c r="N97" s="1087"/>
      <c r="O97" s="1087"/>
      <c r="P97" s="1087"/>
      <c r="Q97" s="1087"/>
      <c r="R97" s="1087"/>
      <c r="S97" s="1087"/>
      <c r="T97" s="1087"/>
      <c r="U97" s="1087"/>
      <c r="V97" s="1087"/>
      <c r="W97" s="1087"/>
      <c r="X97" s="1087"/>
      <c r="Y97" s="1087"/>
      <c r="Z97" s="1087"/>
      <c r="AA97" s="1087"/>
      <c r="AB97" s="1087"/>
      <c r="AC97" s="1087"/>
      <c r="AD97" s="1087"/>
      <c r="AE97" s="1087"/>
      <c r="AF97" s="1087"/>
      <c r="AG97" s="1087"/>
      <c r="AH97" s="1087"/>
      <c r="AI97" s="1087"/>
      <c r="AJ97" s="1087"/>
      <c r="AK97" s="1087"/>
      <c r="AL97" s="1087"/>
      <c r="AM97" s="1087"/>
      <c r="AN97" s="1087"/>
      <c r="AO97" s="1087"/>
      <c r="AP97" s="1087"/>
      <c r="AQ97" s="1087"/>
      <c r="AR97" s="1087"/>
      <c r="AS97" s="1087"/>
      <c r="AT97" s="1087"/>
      <c r="AU97" s="1087"/>
      <c r="AV97" s="1087"/>
      <c r="AW97" s="1087"/>
      <c r="AX97" s="1087"/>
      <c r="AY97" s="1088"/>
    </row>
    <row r="98" spans="1:51" x14ac:dyDescent="0.3">
      <c r="A98" s="1083" t="s">
        <v>4613</v>
      </c>
      <c r="B98" s="1112"/>
      <c r="C98" s="1112"/>
      <c r="D98" s="1112"/>
      <c r="E98" s="1112"/>
      <c r="F98" s="1112"/>
      <c r="G98" s="1112"/>
      <c r="H98" s="1112"/>
      <c r="I98" s="1112"/>
      <c r="J98" s="1112"/>
      <c r="K98" s="1112"/>
      <c r="L98" s="1112"/>
      <c r="M98" s="1112"/>
      <c r="N98" s="1112"/>
      <c r="O98" s="1112"/>
      <c r="P98" s="1112"/>
      <c r="Q98" s="1112"/>
      <c r="R98" s="1112"/>
      <c r="S98" s="1112"/>
      <c r="T98" s="1112"/>
      <c r="U98" s="1112"/>
      <c r="V98" s="1112"/>
      <c r="W98" s="1112"/>
      <c r="X98" s="1112"/>
      <c r="Y98" s="1112"/>
      <c r="Z98" s="1112"/>
      <c r="AA98" s="1112"/>
      <c r="AB98" s="1112"/>
      <c r="AC98" s="1112"/>
      <c r="AD98" s="1112"/>
      <c r="AE98" s="1112"/>
      <c r="AF98" s="1112"/>
      <c r="AG98" s="1112"/>
      <c r="AH98" s="1112"/>
      <c r="AI98" s="1112"/>
      <c r="AJ98" s="1112"/>
      <c r="AK98" s="1112"/>
      <c r="AL98" s="1112"/>
      <c r="AM98" s="1112"/>
      <c r="AN98" s="1112"/>
      <c r="AO98" s="1112"/>
      <c r="AP98" s="1112"/>
      <c r="AQ98" s="1112"/>
      <c r="AR98" s="1112"/>
      <c r="AS98" s="1112"/>
      <c r="AT98" s="1112"/>
      <c r="AU98" s="1112"/>
      <c r="AV98" s="1112"/>
      <c r="AW98" s="1112"/>
      <c r="AX98" s="1112"/>
      <c r="AY98" s="1113"/>
    </row>
    <row r="99" spans="1:51" x14ac:dyDescent="0.3">
      <c r="A99" s="1086" t="s">
        <v>4614</v>
      </c>
      <c r="B99" s="1087"/>
      <c r="C99" s="1087"/>
      <c r="D99" s="1087"/>
      <c r="E99" s="1087"/>
      <c r="F99" s="1087"/>
      <c r="G99" s="1087"/>
      <c r="H99" s="1087"/>
      <c r="I99" s="1087"/>
      <c r="J99" s="1087"/>
      <c r="K99" s="1087"/>
      <c r="L99" s="1087"/>
      <c r="M99" s="1087"/>
      <c r="N99" s="1087"/>
      <c r="O99" s="1087"/>
      <c r="P99" s="1087"/>
      <c r="Q99" s="1087"/>
      <c r="R99" s="1087"/>
      <c r="S99" s="1087"/>
      <c r="T99" s="1087"/>
      <c r="U99" s="1087"/>
      <c r="V99" s="1087"/>
      <c r="W99" s="1087"/>
      <c r="X99" s="1087"/>
      <c r="Y99" s="1087"/>
      <c r="Z99" s="1087"/>
      <c r="AA99" s="1087"/>
      <c r="AB99" s="1087"/>
      <c r="AC99" s="1087"/>
      <c r="AD99" s="1087"/>
      <c r="AE99" s="1087"/>
      <c r="AF99" s="1087"/>
      <c r="AG99" s="1087"/>
      <c r="AH99" s="1087"/>
      <c r="AI99" s="1087"/>
      <c r="AJ99" s="1087"/>
      <c r="AK99" s="1087"/>
      <c r="AL99" s="1087"/>
      <c r="AM99" s="1087"/>
      <c r="AN99" s="1087"/>
      <c r="AO99" s="1087"/>
      <c r="AP99" s="1087"/>
      <c r="AQ99" s="1087"/>
      <c r="AR99" s="1087"/>
      <c r="AS99" s="1087"/>
      <c r="AT99" s="1087"/>
      <c r="AU99" s="1087"/>
      <c r="AV99" s="1087"/>
      <c r="AW99" s="1087"/>
      <c r="AX99" s="1087"/>
      <c r="AY99" s="1088"/>
    </row>
    <row r="100" spans="1:51" x14ac:dyDescent="0.3">
      <c r="A100" s="1083" t="s">
        <v>4615</v>
      </c>
      <c r="B100" s="1112"/>
      <c r="C100" s="1112"/>
      <c r="D100" s="1112"/>
      <c r="E100" s="1112"/>
      <c r="F100" s="1112"/>
      <c r="G100" s="1112"/>
      <c r="H100" s="1112"/>
      <c r="I100" s="1112"/>
      <c r="J100" s="1112"/>
      <c r="K100" s="1112"/>
      <c r="L100" s="1112"/>
      <c r="M100" s="1112"/>
      <c r="N100" s="1112"/>
      <c r="O100" s="1112"/>
      <c r="P100" s="1112"/>
      <c r="Q100" s="1112"/>
      <c r="R100" s="1112"/>
      <c r="S100" s="1112"/>
      <c r="T100" s="1112"/>
      <c r="U100" s="1112"/>
      <c r="V100" s="1112"/>
      <c r="W100" s="1112"/>
      <c r="X100" s="1112"/>
      <c r="Y100" s="1112"/>
      <c r="Z100" s="1112"/>
      <c r="AA100" s="1112"/>
      <c r="AB100" s="1112"/>
      <c r="AC100" s="1112"/>
      <c r="AD100" s="1112"/>
      <c r="AE100" s="1112"/>
      <c r="AF100" s="1112"/>
      <c r="AG100" s="1112"/>
      <c r="AH100" s="1112"/>
      <c r="AI100" s="1112"/>
      <c r="AJ100" s="1112"/>
      <c r="AK100" s="1112"/>
      <c r="AL100" s="1112"/>
      <c r="AM100" s="1112"/>
      <c r="AN100" s="1112"/>
      <c r="AO100" s="1112"/>
      <c r="AP100" s="1112"/>
      <c r="AQ100" s="1112"/>
      <c r="AR100" s="1112"/>
      <c r="AS100" s="1112"/>
      <c r="AT100" s="1112"/>
      <c r="AU100" s="1112"/>
      <c r="AV100" s="1112"/>
      <c r="AW100" s="1112"/>
      <c r="AX100" s="1112"/>
      <c r="AY100" s="1113"/>
    </row>
    <row r="101" spans="1:51" x14ac:dyDescent="0.3">
      <c r="A101" s="1086" t="s">
        <v>4616</v>
      </c>
      <c r="B101" s="1087"/>
      <c r="C101" s="1087"/>
      <c r="D101" s="1087"/>
      <c r="E101" s="1087"/>
      <c r="F101" s="1087"/>
      <c r="G101" s="1087"/>
      <c r="H101" s="1087"/>
      <c r="I101" s="1087"/>
      <c r="J101" s="1087"/>
      <c r="K101" s="1087"/>
      <c r="L101" s="1087"/>
      <c r="M101" s="1087"/>
      <c r="N101" s="1087"/>
      <c r="O101" s="1087"/>
      <c r="P101" s="1087"/>
      <c r="Q101" s="1087"/>
      <c r="R101" s="1087"/>
      <c r="S101" s="1087"/>
      <c r="T101" s="1087"/>
      <c r="U101" s="1087"/>
      <c r="V101" s="1087"/>
      <c r="W101" s="1087"/>
      <c r="X101" s="1087"/>
      <c r="Y101" s="1087"/>
      <c r="Z101" s="1087"/>
      <c r="AA101" s="1087"/>
      <c r="AB101" s="1087"/>
      <c r="AC101" s="1087"/>
      <c r="AD101" s="1087"/>
      <c r="AE101" s="1087"/>
      <c r="AF101" s="1087"/>
      <c r="AG101" s="1087"/>
      <c r="AH101" s="1087"/>
      <c r="AI101" s="1087"/>
      <c r="AJ101" s="1087"/>
      <c r="AK101" s="1087"/>
      <c r="AL101" s="1087"/>
      <c r="AM101" s="1087"/>
      <c r="AN101" s="1087"/>
      <c r="AO101" s="1087"/>
      <c r="AP101" s="1087"/>
      <c r="AQ101" s="1087"/>
      <c r="AR101" s="1087"/>
      <c r="AS101" s="1087"/>
      <c r="AT101" s="1087"/>
      <c r="AU101" s="1087"/>
      <c r="AV101" s="1087"/>
      <c r="AW101" s="1087"/>
      <c r="AX101" s="1087"/>
      <c r="AY101" s="1088"/>
    </row>
    <row r="102" spans="1:51" x14ac:dyDescent="0.3">
      <c r="A102" s="1083" t="s">
        <v>4617</v>
      </c>
      <c r="B102" s="1112"/>
      <c r="C102" s="1112"/>
      <c r="D102" s="1112"/>
      <c r="E102" s="1112"/>
      <c r="F102" s="1112"/>
      <c r="G102" s="1112"/>
      <c r="H102" s="1112"/>
      <c r="I102" s="1112"/>
      <c r="J102" s="1112"/>
      <c r="K102" s="1112"/>
      <c r="L102" s="1112"/>
      <c r="M102" s="1112"/>
      <c r="N102" s="1112"/>
      <c r="O102" s="1112"/>
      <c r="P102" s="1112"/>
      <c r="Q102" s="1112"/>
      <c r="R102" s="1112"/>
      <c r="S102" s="1112"/>
      <c r="T102" s="1112"/>
      <c r="U102" s="1112"/>
      <c r="V102" s="1112"/>
      <c r="W102" s="1112"/>
      <c r="X102" s="1112"/>
      <c r="Y102" s="1112"/>
      <c r="Z102" s="1112"/>
      <c r="AA102" s="1112"/>
      <c r="AB102" s="1112"/>
      <c r="AC102" s="1112"/>
      <c r="AD102" s="1112"/>
      <c r="AE102" s="1112"/>
      <c r="AF102" s="1112"/>
      <c r="AG102" s="1112"/>
      <c r="AH102" s="1112"/>
      <c r="AI102" s="1112"/>
      <c r="AJ102" s="1112"/>
      <c r="AK102" s="1112"/>
      <c r="AL102" s="1112"/>
      <c r="AM102" s="1112"/>
      <c r="AN102" s="1112"/>
      <c r="AO102" s="1112"/>
      <c r="AP102" s="1112"/>
      <c r="AQ102" s="1112"/>
      <c r="AR102" s="1112"/>
      <c r="AS102" s="1112"/>
      <c r="AT102" s="1112"/>
      <c r="AU102" s="1112"/>
      <c r="AV102" s="1112"/>
      <c r="AW102" s="1112"/>
      <c r="AX102" s="1112"/>
      <c r="AY102" s="1113"/>
    </row>
    <row r="103" spans="1:51" x14ac:dyDescent="0.3">
      <c r="A103" s="1086" t="s">
        <v>4618</v>
      </c>
      <c r="B103" s="1087"/>
      <c r="C103" s="1087"/>
      <c r="D103" s="1087"/>
      <c r="E103" s="1087"/>
      <c r="F103" s="1087"/>
      <c r="G103" s="1087"/>
      <c r="H103" s="1087"/>
      <c r="I103" s="1087"/>
      <c r="J103" s="1087"/>
      <c r="K103" s="1087"/>
      <c r="L103" s="1087"/>
      <c r="M103" s="1087"/>
      <c r="N103" s="1087"/>
      <c r="O103" s="1087"/>
      <c r="P103" s="1087"/>
      <c r="Q103" s="1087"/>
      <c r="R103" s="1087"/>
      <c r="S103" s="1087"/>
      <c r="T103" s="1087"/>
      <c r="U103" s="1087"/>
      <c r="V103" s="1087"/>
      <c r="W103" s="1087"/>
      <c r="X103" s="1087"/>
      <c r="Y103" s="1087"/>
      <c r="Z103" s="1087"/>
      <c r="AA103" s="1087"/>
      <c r="AB103" s="1087"/>
      <c r="AC103" s="1087"/>
      <c r="AD103" s="1087"/>
      <c r="AE103" s="1087"/>
      <c r="AF103" s="1087"/>
      <c r="AG103" s="1087"/>
      <c r="AH103" s="1087"/>
      <c r="AI103" s="1087"/>
      <c r="AJ103" s="1087"/>
      <c r="AK103" s="1087"/>
      <c r="AL103" s="1087"/>
      <c r="AM103" s="1087"/>
      <c r="AN103" s="1087"/>
      <c r="AO103" s="1087"/>
      <c r="AP103" s="1087"/>
      <c r="AQ103" s="1087"/>
      <c r="AR103" s="1087"/>
      <c r="AS103" s="1087"/>
      <c r="AT103" s="1087"/>
      <c r="AU103" s="1087"/>
      <c r="AV103" s="1087"/>
      <c r="AW103" s="1087"/>
      <c r="AX103" s="1087"/>
      <c r="AY103" s="1088"/>
    </row>
    <row r="104" spans="1:51" x14ac:dyDescent="0.3">
      <c r="A104" s="1083" t="s">
        <v>4619</v>
      </c>
      <c r="B104" s="1112"/>
      <c r="C104" s="1112"/>
      <c r="D104" s="1112"/>
      <c r="E104" s="1112"/>
      <c r="F104" s="1112"/>
      <c r="G104" s="1112"/>
      <c r="H104" s="1112"/>
      <c r="I104" s="1112"/>
      <c r="J104" s="1112"/>
      <c r="K104" s="1112"/>
      <c r="L104" s="1112"/>
      <c r="M104" s="1112"/>
      <c r="N104" s="1112"/>
      <c r="O104" s="1112"/>
      <c r="P104" s="1112"/>
      <c r="Q104" s="1112"/>
      <c r="R104" s="1112"/>
      <c r="S104" s="1112"/>
      <c r="T104" s="1112"/>
      <c r="U104" s="1112"/>
      <c r="V104" s="1112"/>
      <c r="W104" s="1112"/>
      <c r="X104" s="1112"/>
      <c r="Y104" s="1112"/>
      <c r="Z104" s="1112"/>
      <c r="AA104" s="1112"/>
      <c r="AB104" s="1112"/>
      <c r="AC104" s="1112"/>
      <c r="AD104" s="1112"/>
      <c r="AE104" s="1112"/>
      <c r="AF104" s="1112"/>
      <c r="AG104" s="1112"/>
      <c r="AH104" s="1112"/>
      <c r="AI104" s="1112"/>
      <c r="AJ104" s="1112"/>
      <c r="AK104" s="1112"/>
      <c r="AL104" s="1112"/>
      <c r="AM104" s="1112"/>
      <c r="AN104" s="1112"/>
      <c r="AO104" s="1112"/>
      <c r="AP104" s="1112"/>
      <c r="AQ104" s="1112"/>
      <c r="AR104" s="1112"/>
      <c r="AS104" s="1112"/>
      <c r="AT104" s="1112"/>
      <c r="AU104" s="1112"/>
      <c r="AV104" s="1112"/>
      <c r="AW104" s="1112"/>
      <c r="AX104" s="1112"/>
      <c r="AY104" s="1113"/>
    </row>
    <row r="105" spans="1:51" x14ac:dyDescent="0.3">
      <c r="A105" s="1086" t="s">
        <v>4620</v>
      </c>
      <c r="B105" s="1087"/>
      <c r="C105" s="1087"/>
      <c r="D105" s="1087"/>
      <c r="E105" s="1087"/>
      <c r="F105" s="1087"/>
      <c r="G105" s="1087"/>
      <c r="H105" s="1087"/>
      <c r="I105" s="1087"/>
      <c r="J105" s="1087"/>
      <c r="K105" s="1087"/>
      <c r="L105" s="1087"/>
      <c r="M105" s="1087"/>
      <c r="N105" s="1087"/>
      <c r="O105" s="1087"/>
      <c r="P105" s="1087"/>
      <c r="Q105" s="1087"/>
      <c r="R105" s="1087"/>
      <c r="S105" s="1087"/>
      <c r="T105" s="1087"/>
      <c r="U105" s="1087"/>
      <c r="V105" s="1087"/>
      <c r="W105" s="1087"/>
      <c r="X105" s="1087"/>
      <c r="Y105" s="1087"/>
      <c r="Z105" s="1087"/>
      <c r="AA105" s="1087"/>
      <c r="AB105" s="1087"/>
      <c r="AC105" s="1087"/>
      <c r="AD105" s="1087"/>
      <c r="AE105" s="1087"/>
      <c r="AF105" s="1087"/>
      <c r="AG105" s="1087"/>
      <c r="AH105" s="1087"/>
      <c r="AI105" s="1087"/>
      <c r="AJ105" s="1087"/>
      <c r="AK105" s="1087"/>
      <c r="AL105" s="1087"/>
      <c r="AM105" s="1087"/>
      <c r="AN105" s="1087"/>
      <c r="AO105" s="1087"/>
      <c r="AP105" s="1087"/>
      <c r="AQ105" s="1087"/>
      <c r="AR105" s="1087"/>
      <c r="AS105" s="1087"/>
      <c r="AT105" s="1087"/>
      <c r="AU105" s="1087"/>
      <c r="AV105" s="1087"/>
      <c r="AW105" s="1087"/>
      <c r="AX105" s="1087"/>
      <c r="AY105" s="1088"/>
    </row>
    <row r="106" spans="1:51" x14ac:dyDescent="0.3">
      <c r="A106" s="1083" t="s">
        <v>4621</v>
      </c>
      <c r="B106" s="1112"/>
      <c r="C106" s="1112"/>
      <c r="D106" s="1112"/>
      <c r="E106" s="1112"/>
      <c r="F106" s="1112"/>
      <c r="G106" s="1112"/>
      <c r="H106" s="1112"/>
      <c r="I106" s="1112"/>
      <c r="J106" s="1112"/>
      <c r="K106" s="1112"/>
      <c r="L106" s="1112"/>
      <c r="M106" s="1112"/>
      <c r="N106" s="1112"/>
      <c r="O106" s="1112"/>
      <c r="P106" s="1112"/>
      <c r="Q106" s="1112"/>
      <c r="R106" s="1112"/>
      <c r="S106" s="1112"/>
      <c r="T106" s="1112"/>
      <c r="U106" s="1112"/>
      <c r="V106" s="1112"/>
      <c r="W106" s="1112"/>
      <c r="X106" s="1112"/>
      <c r="Y106" s="1112"/>
      <c r="Z106" s="1112"/>
      <c r="AA106" s="1112"/>
      <c r="AB106" s="1112"/>
      <c r="AC106" s="1112"/>
      <c r="AD106" s="1112"/>
      <c r="AE106" s="1112"/>
      <c r="AF106" s="1112"/>
      <c r="AG106" s="1112"/>
      <c r="AH106" s="1112"/>
      <c r="AI106" s="1112"/>
      <c r="AJ106" s="1112"/>
      <c r="AK106" s="1112"/>
      <c r="AL106" s="1112"/>
      <c r="AM106" s="1112"/>
      <c r="AN106" s="1112"/>
      <c r="AO106" s="1112"/>
      <c r="AP106" s="1112"/>
      <c r="AQ106" s="1112"/>
      <c r="AR106" s="1112"/>
      <c r="AS106" s="1112"/>
      <c r="AT106" s="1112"/>
      <c r="AU106" s="1112"/>
      <c r="AV106" s="1112"/>
      <c r="AW106" s="1112"/>
      <c r="AX106" s="1112"/>
      <c r="AY106" s="1113"/>
    </row>
    <row r="107" spans="1:51" x14ac:dyDescent="0.3">
      <c r="A107" s="1114" t="s">
        <v>4622</v>
      </c>
      <c r="B107" s="1107"/>
      <c r="C107" s="1107"/>
      <c r="D107" s="1107"/>
      <c r="E107" s="1107"/>
      <c r="F107" s="1107"/>
      <c r="G107" s="1107"/>
      <c r="H107" s="1107"/>
      <c r="I107" s="1107"/>
      <c r="J107" s="1107"/>
      <c r="K107" s="1107"/>
      <c r="L107" s="1107"/>
      <c r="M107" s="1107"/>
      <c r="N107" s="1107"/>
      <c r="O107" s="1107"/>
      <c r="P107" s="1107"/>
      <c r="Q107" s="1107"/>
      <c r="R107" s="1107"/>
      <c r="S107" s="1107"/>
      <c r="T107" s="1107"/>
      <c r="U107" s="1107"/>
      <c r="V107" s="1107"/>
      <c r="W107" s="1107"/>
      <c r="X107" s="1107"/>
      <c r="Y107" s="1107"/>
      <c r="Z107" s="1107"/>
      <c r="AA107" s="1107"/>
      <c r="AB107" s="1107"/>
      <c r="AC107" s="1107"/>
      <c r="AD107" s="1107"/>
      <c r="AE107" s="1107"/>
      <c r="AF107" s="1107"/>
      <c r="AG107" s="1107"/>
      <c r="AH107" s="1107"/>
      <c r="AI107" s="1107"/>
      <c r="AJ107" s="1107"/>
      <c r="AK107" s="1107"/>
      <c r="AL107" s="1107"/>
      <c r="AM107" s="1107"/>
      <c r="AN107" s="1107"/>
      <c r="AO107" s="1107"/>
      <c r="AP107" s="1107"/>
      <c r="AQ107" s="1107"/>
      <c r="AR107" s="1107"/>
      <c r="AS107" s="1107"/>
      <c r="AT107" s="1107"/>
      <c r="AU107" s="1107"/>
      <c r="AV107" s="1107"/>
      <c r="AW107" s="1107"/>
      <c r="AX107" s="1107"/>
      <c r="AY107" s="1108"/>
    </row>
    <row r="108" spans="1:51" ht="15" thickBot="1" x14ac:dyDescent="0.35">
      <c r="A108" s="1115" t="s">
        <v>4623</v>
      </c>
      <c r="B108" s="1116"/>
      <c r="C108" s="1116"/>
      <c r="D108" s="1116"/>
      <c r="E108" s="1116"/>
      <c r="F108" s="1116"/>
      <c r="G108" s="1116"/>
      <c r="H108" s="1116"/>
      <c r="I108" s="1116"/>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7"/>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21" t="s">
        <v>3648</v>
      </c>
      <c r="B1" s="1122"/>
      <c r="C1" s="1123"/>
    </row>
    <row r="2" spans="1:5" s="10" customFormat="1" ht="15" thickTop="1" x14ac:dyDescent="0.3">
      <c r="A2" s="18"/>
      <c r="B2" s="18"/>
      <c r="C2" s="18"/>
    </row>
    <row r="3" spans="1:5" ht="15" thickBot="1" x14ac:dyDescent="0.35">
      <c r="A3" s="10"/>
      <c r="B3" s="10"/>
      <c r="C3" s="10"/>
      <c r="D3" s="10"/>
    </row>
    <row r="4" spans="1:5" ht="15" thickBot="1" x14ac:dyDescent="0.35">
      <c r="A4" s="1118" t="s">
        <v>3649</v>
      </c>
      <c r="B4" s="1119"/>
      <c r="C4" s="1119"/>
      <c r="D4" s="1119"/>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18" t="s">
        <v>3652</v>
      </c>
      <c r="B8" s="1119"/>
      <c r="C8" s="1119"/>
      <c r="D8" s="1120"/>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18" t="s">
        <v>3653</v>
      </c>
      <c r="B12" s="1119"/>
      <c r="C12" s="1119"/>
      <c r="D12" s="1120"/>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18" t="s">
        <v>3654</v>
      </c>
      <c r="B16" s="1119"/>
      <c r="C16" s="1119"/>
      <c r="D16" s="1120"/>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18" t="s">
        <v>3655</v>
      </c>
      <c r="B20" s="1119"/>
      <c r="C20" s="1119"/>
      <c r="D20" s="1120"/>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4698</v>
      </c>
    </row>
    <row r="2" spans="1:1" x14ac:dyDescent="0.3">
      <c r="A2" s="292"/>
    </row>
    <row r="3" spans="1:1" x14ac:dyDescent="0.3">
      <c r="A3" s="292" t="s">
        <v>4699</v>
      </c>
    </row>
    <row r="4" spans="1:1" x14ac:dyDescent="0.3">
      <c r="A4" s="292"/>
    </row>
    <row r="5" spans="1:1" x14ac:dyDescent="0.3">
      <c r="A5" s="292" t="s">
        <v>4700</v>
      </c>
    </row>
    <row r="6" spans="1:1" x14ac:dyDescent="0.3">
      <c r="A6" s="292" t="s">
        <v>4701</v>
      </c>
    </row>
    <row r="7" spans="1:1" x14ac:dyDescent="0.3">
      <c r="A7" s="292" t="s">
        <v>4702</v>
      </c>
    </row>
    <row r="8" spans="1:1" x14ac:dyDescent="0.3">
      <c r="A8" s="292" t="s">
        <v>4703</v>
      </c>
    </row>
    <row r="9" spans="1:1" x14ac:dyDescent="0.3">
      <c r="A9" s="292" t="s">
        <v>4704</v>
      </c>
    </row>
    <row r="10" spans="1:1" x14ac:dyDescent="0.3">
      <c r="A10" s="292" t="s">
        <v>4705</v>
      </c>
    </row>
    <row r="11" spans="1:1" x14ac:dyDescent="0.3">
      <c r="A11" s="292"/>
    </row>
    <row r="12" spans="1:1" x14ac:dyDescent="0.3">
      <c r="A12" s="292" t="s">
        <v>4706</v>
      </c>
    </row>
    <row r="13" spans="1:1" x14ac:dyDescent="0.3">
      <c r="A13" s="292" t="s">
        <v>4707</v>
      </c>
    </row>
    <row r="14" spans="1:1" x14ac:dyDescent="0.3">
      <c r="A14" s="292"/>
    </row>
    <row r="15" spans="1:1" x14ac:dyDescent="0.3">
      <c r="A15" s="292" t="s">
        <v>4708</v>
      </c>
    </row>
    <row r="16" spans="1:1" x14ac:dyDescent="0.3">
      <c r="A16" s="292" t="s">
        <v>4709</v>
      </c>
    </row>
    <row r="17" spans="1:1" x14ac:dyDescent="0.3">
      <c r="A17" s="292" t="s">
        <v>4710</v>
      </c>
    </row>
    <row r="18" spans="1:1" x14ac:dyDescent="0.3">
      <c r="A18" s="292" t="s">
        <v>4711</v>
      </c>
    </row>
    <row r="19" spans="1:1" x14ac:dyDescent="0.3">
      <c r="A19" s="292" t="s">
        <v>4712</v>
      </c>
    </row>
    <row r="20" spans="1:1" x14ac:dyDescent="0.3">
      <c r="A20" s="292" t="s">
        <v>4713</v>
      </c>
    </row>
    <row r="21" spans="1:1" ht="15" thickBot="1" x14ac:dyDescent="0.35">
      <c r="A21" s="293" t="s">
        <v>4714</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topLeftCell="H1" zoomScale="80" zoomScaleNormal="80" workbookViewId="0">
      <selection activeCell="K1" sqref="K1"/>
    </sheetView>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4532</v>
      </c>
      <c r="B1" s="371" t="s">
        <v>54</v>
      </c>
      <c r="C1" s="372" t="s">
        <v>4429</v>
      </c>
      <c r="D1" s="371" t="s">
        <v>2676</v>
      </c>
      <c r="E1" s="6" t="s">
        <v>55</v>
      </c>
      <c r="F1" s="6" t="s">
        <v>56</v>
      </c>
      <c r="G1" s="6" t="s">
        <v>2678</v>
      </c>
      <c r="H1" s="6" t="s">
        <v>3775</v>
      </c>
      <c r="I1" s="347" t="s">
        <v>4820</v>
      </c>
      <c r="J1" s="347" t="s">
        <v>2750</v>
      </c>
      <c r="K1" s="347" t="s">
        <v>4821</v>
      </c>
      <c r="L1" s="6" t="s">
        <v>2776</v>
      </c>
      <c r="M1" s="6" t="s">
        <v>2777</v>
      </c>
      <c r="N1" s="6" t="s">
        <v>21</v>
      </c>
      <c r="O1" s="6" t="s">
        <v>3304</v>
      </c>
      <c r="P1" s="6" t="s">
        <v>3368</v>
      </c>
      <c r="Q1" s="347" t="s">
        <v>3621</v>
      </c>
      <c r="R1" s="6" t="s">
        <v>3302</v>
      </c>
      <c r="S1" s="6" t="s">
        <v>3751</v>
      </c>
      <c r="T1" s="6" t="s">
        <v>3752</v>
      </c>
      <c r="U1" s="6" t="s">
        <v>3773</v>
      </c>
      <c r="V1" s="6" t="s">
        <v>3776</v>
      </c>
      <c r="W1" s="6" t="s">
        <v>3794</v>
      </c>
      <c r="X1" s="6" t="s">
        <v>3752</v>
      </c>
      <c r="Y1" s="373" t="s">
        <v>3803</v>
      </c>
      <c r="Z1" s="374" t="s">
        <v>4010</v>
      </c>
      <c r="AA1" s="373" t="s">
        <v>4512</v>
      </c>
      <c r="AB1" s="375" t="s">
        <v>4013</v>
      </c>
      <c r="AC1" s="11" t="s">
        <v>4649</v>
      </c>
      <c r="AD1" s="11" t="s">
        <v>4651</v>
      </c>
    </row>
    <row r="2" spans="1:30" x14ac:dyDescent="0.3">
      <c r="A2" s="376" t="s">
        <v>57</v>
      </c>
      <c r="B2" t="s">
        <v>2667</v>
      </c>
      <c r="C2" s="377" t="s">
        <v>4032</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4502</v>
      </c>
      <c r="Q2" t="s">
        <v>3622</v>
      </c>
      <c r="R2" t="s">
        <v>2664</v>
      </c>
      <c r="S2">
        <v>2000</v>
      </c>
      <c r="T2">
        <v>1</v>
      </c>
      <c r="U2" t="s">
        <v>4534</v>
      </c>
      <c r="V2" t="s">
        <v>2668</v>
      </c>
      <c r="W2" s="379">
        <v>1</v>
      </c>
      <c r="X2" t="s">
        <v>3753</v>
      </c>
      <c r="Y2" t="s">
        <v>2778</v>
      </c>
      <c r="Z2" s="39" t="s">
        <v>2753</v>
      </c>
      <c r="AA2" t="s">
        <v>3821</v>
      </c>
      <c r="AB2" s="2" t="s">
        <v>4014</v>
      </c>
      <c r="AC2">
        <v>1</v>
      </c>
      <c r="AD2" t="s">
        <v>4652</v>
      </c>
    </row>
    <row r="3" spans="1:30" ht="28.8" x14ac:dyDescent="0.3">
      <c r="A3" s="378" t="s">
        <v>60</v>
      </c>
      <c r="B3" t="s">
        <v>61</v>
      </c>
      <c r="C3" s="380" t="s">
        <v>4033</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4504</v>
      </c>
      <c r="Q3" t="s">
        <v>3623</v>
      </c>
      <c r="R3" t="s">
        <v>2665</v>
      </c>
      <c r="S3">
        <v>2001</v>
      </c>
      <c r="T3">
        <v>2</v>
      </c>
      <c r="U3" t="s">
        <v>3772</v>
      </c>
      <c r="V3" t="s">
        <v>2669</v>
      </c>
      <c r="W3" s="379">
        <v>2</v>
      </c>
      <c r="X3" t="s">
        <v>3754</v>
      </c>
      <c r="Y3" t="s">
        <v>2782</v>
      </c>
      <c r="Z3" t="s">
        <v>3173</v>
      </c>
      <c r="AA3" t="s">
        <v>3822</v>
      </c>
      <c r="AB3" s="2" t="s">
        <v>4015</v>
      </c>
      <c r="AC3">
        <v>2</v>
      </c>
      <c r="AD3" t="s">
        <v>4653</v>
      </c>
    </row>
    <row r="4" spans="1:30" x14ac:dyDescent="0.3">
      <c r="A4" s="377" t="s">
        <v>64</v>
      </c>
      <c r="B4" t="s">
        <v>65</v>
      </c>
      <c r="C4" s="380" t="s">
        <v>4034</v>
      </c>
      <c r="D4" s="377" t="str">
        <f t="shared" si="0"/>
        <v>NACE A - 01 Crop and animal production, hunting and related service activities</v>
      </c>
      <c r="E4" s="378" t="s">
        <v>66</v>
      </c>
      <c r="F4" t="s">
        <v>67</v>
      </c>
      <c r="G4" t="str">
        <f t="shared" si="1"/>
        <v>AF</v>
      </c>
      <c r="H4" t="s">
        <v>2669</v>
      </c>
      <c r="I4" t="s">
        <v>2747</v>
      </c>
      <c r="K4" t="s">
        <v>3620</v>
      </c>
      <c r="L4" t="s">
        <v>2773</v>
      </c>
      <c r="M4" t="s">
        <v>4503</v>
      </c>
      <c r="N4" t="s">
        <v>3290</v>
      </c>
      <c r="O4" t="s">
        <v>3307</v>
      </c>
      <c r="R4" t="s">
        <v>3624</v>
      </c>
      <c r="S4">
        <v>2002</v>
      </c>
      <c r="T4">
        <v>3</v>
      </c>
      <c r="V4" t="s">
        <v>2670</v>
      </c>
      <c r="W4" s="379">
        <v>3</v>
      </c>
      <c r="X4" t="s">
        <v>3755</v>
      </c>
      <c r="Z4" t="s">
        <v>3174</v>
      </c>
      <c r="AA4" t="s">
        <v>3823</v>
      </c>
      <c r="AC4">
        <v>3</v>
      </c>
      <c r="AD4" t="s">
        <v>4654</v>
      </c>
    </row>
    <row r="5" spans="1:30" x14ac:dyDescent="0.3">
      <c r="A5" s="380" t="s">
        <v>68</v>
      </c>
      <c r="B5" t="s">
        <v>69</v>
      </c>
      <c r="C5" s="380" t="s">
        <v>4035</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3756</v>
      </c>
      <c r="Z5" t="s">
        <v>3175</v>
      </c>
      <c r="AA5" t="s">
        <v>3824</v>
      </c>
      <c r="AC5">
        <v>4</v>
      </c>
      <c r="AD5" t="s">
        <v>4655</v>
      </c>
    </row>
    <row r="6" spans="1:30" x14ac:dyDescent="0.3">
      <c r="A6" s="381" t="s">
        <v>72</v>
      </c>
      <c r="B6" t="s">
        <v>73</v>
      </c>
      <c r="C6" s="380" t="s">
        <v>4036</v>
      </c>
      <c r="D6" s="381" t="str">
        <f t="shared" si="0"/>
        <v>NACE A - 01.11 Growing of cereals, other than rice, leguminous crops and oil seeds</v>
      </c>
      <c r="E6" s="378" t="s">
        <v>74</v>
      </c>
      <c r="F6" t="s">
        <v>75</v>
      </c>
      <c r="G6" t="str">
        <f t="shared" si="1"/>
        <v>AI</v>
      </c>
      <c r="H6" t="s">
        <v>19</v>
      </c>
      <c r="I6" t="s">
        <v>4430</v>
      </c>
      <c r="K6" t="s">
        <v>3174</v>
      </c>
      <c r="L6" t="s">
        <v>2775</v>
      </c>
      <c r="O6" t="s">
        <v>3309</v>
      </c>
      <c r="S6">
        <v>2004</v>
      </c>
      <c r="T6">
        <v>5</v>
      </c>
      <c r="V6" t="s">
        <v>2671</v>
      </c>
      <c r="W6" s="379">
        <v>5</v>
      </c>
      <c r="X6" t="s">
        <v>3757</v>
      </c>
      <c r="Z6" t="s">
        <v>3176</v>
      </c>
      <c r="AA6" t="s">
        <v>3825</v>
      </c>
      <c r="AC6">
        <v>5</v>
      </c>
    </row>
    <row r="7" spans="1:30" x14ac:dyDescent="0.3">
      <c r="A7" s="381" t="s">
        <v>76</v>
      </c>
      <c r="B7" t="s">
        <v>77</v>
      </c>
      <c r="C7" s="380" t="s">
        <v>4037</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3758</v>
      </c>
      <c r="Z7" t="s">
        <v>3177</v>
      </c>
      <c r="AA7" t="s">
        <v>3826</v>
      </c>
      <c r="AC7">
        <v>6</v>
      </c>
    </row>
    <row r="8" spans="1:30" x14ac:dyDescent="0.3">
      <c r="A8" s="381" t="s">
        <v>80</v>
      </c>
      <c r="B8" t="s">
        <v>81</v>
      </c>
      <c r="C8" s="380" t="s">
        <v>4038</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3759</v>
      </c>
      <c r="Z8" t="s">
        <v>2754</v>
      </c>
      <c r="AA8" t="s">
        <v>3827</v>
      </c>
      <c r="AC8">
        <v>7</v>
      </c>
    </row>
    <row r="9" spans="1:30" x14ac:dyDescent="0.3">
      <c r="A9" s="381" t="s">
        <v>84</v>
      </c>
      <c r="B9" t="s">
        <v>85</v>
      </c>
      <c r="C9" s="380" t="s">
        <v>4039</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3760</v>
      </c>
      <c r="Z9" t="s">
        <v>3178</v>
      </c>
      <c r="AA9" t="s">
        <v>3828</v>
      </c>
      <c r="AC9">
        <v>8</v>
      </c>
    </row>
    <row r="10" spans="1:30" x14ac:dyDescent="0.3">
      <c r="A10" s="381" t="s">
        <v>88</v>
      </c>
      <c r="B10" t="s">
        <v>89</v>
      </c>
      <c r="C10" s="377" t="s">
        <v>4040</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3761</v>
      </c>
      <c r="Z10" t="s">
        <v>3179</v>
      </c>
      <c r="AA10" t="s">
        <v>3829</v>
      </c>
      <c r="AC10">
        <v>9</v>
      </c>
    </row>
    <row r="11" spans="1:30" x14ac:dyDescent="0.3">
      <c r="A11" s="381" t="s">
        <v>92</v>
      </c>
      <c r="B11" t="s">
        <v>93</v>
      </c>
      <c r="C11" s="380" t="s">
        <v>4041</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3762</v>
      </c>
      <c r="Z11" t="s">
        <v>3180</v>
      </c>
      <c r="AA11" t="s">
        <v>3830</v>
      </c>
      <c r="AC11">
        <v>10</v>
      </c>
    </row>
    <row r="12" spans="1:30" x14ac:dyDescent="0.3">
      <c r="A12" s="381" t="s">
        <v>96</v>
      </c>
      <c r="B12" t="s">
        <v>97</v>
      </c>
      <c r="C12" s="380" t="s">
        <v>4042</v>
      </c>
      <c r="D12" s="381" t="str">
        <f t="shared" si="0"/>
        <v>NACE A - 01.19 Growing of other non-perennial crops</v>
      </c>
      <c r="E12" s="378" t="s">
        <v>98</v>
      </c>
      <c r="F12" t="s">
        <v>99</v>
      </c>
      <c r="G12" t="str">
        <f t="shared" si="1"/>
        <v>AR</v>
      </c>
      <c r="H12" t="s">
        <v>44</v>
      </c>
      <c r="I12" t="s">
        <v>4431</v>
      </c>
      <c r="K12" t="s">
        <v>2791</v>
      </c>
      <c r="O12" t="s">
        <v>39</v>
      </c>
      <c r="S12">
        <v>2010</v>
      </c>
      <c r="T12">
        <v>11</v>
      </c>
      <c r="V12" t="s">
        <v>51</v>
      </c>
      <c r="W12" s="379">
        <v>11</v>
      </c>
      <c r="X12" t="s">
        <v>3763</v>
      </c>
      <c r="Z12" t="s">
        <v>3181</v>
      </c>
      <c r="AA12" t="s">
        <v>3831</v>
      </c>
      <c r="AC12">
        <v>11</v>
      </c>
    </row>
    <row r="13" spans="1:30" x14ac:dyDescent="0.3">
      <c r="A13" s="380" t="s">
        <v>100</v>
      </c>
      <c r="B13" t="s">
        <v>101</v>
      </c>
      <c r="C13" s="380" t="s">
        <v>4043</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3764</v>
      </c>
      <c r="Z13" t="s">
        <v>3182</v>
      </c>
      <c r="AA13" t="s">
        <v>3832</v>
      </c>
      <c r="AC13">
        <v>12</v>
      </c>
    </row>
    <row r="14" spans="1:30" x14ac:dyDescent="0.3">
      <c r="A14" s="381" t="s">
        <v>104</v>
      </c>
      <c r="B14" t="s">
        <v>105</v>
      </c>
      <c r="C14" s="380" t="s">
        <v>4044</v>
      </c>
      <c r="D14" s="381" t="str">
        <f t="shared" si="0"/>
        <v>NACE A - 01.21 Growing of grapes</v>
      </c>
      <c r="E14" s="378" t="s">
        <v>106</v>
      </c>
      <c r="F14" t="s">
        <v>107</v>
      </c>
      <c r="G14" t="str">
        <f t="shared" si="1"/>
        <v>AT</v>
      </c>
      <c r="H14" t="s">
        <v>15</v>
      </c>
      <c r="I14" t="s">
        <v>2739</v>
      </c>
      <c r="K14" t="s">
        <v>3176</v>
      </c>
      <c r="S14">
        <v>2012</v>
      </c>
      <c r="V14" t="s">
        <v>2673</v>
      </c>
      <c r="Z14" t="s">
        <v>3183</v>
      </c>
      <c r="AA14" t="s">
        <v>3833</v>
      </c>
      <c r="AC14">
        <v>13</v>
      </c>
    </row>
    <row r="15" spans="1:30" x14ac:dyDescent="0.3">
      <c r="A15" s="381" t="s">
        <v>108</v>
      </c>
      <c r="B15" t="s">
        <v>109</v>
      </c>
      <c r="C15" s="377" t="s">
        <v>4045</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3834</v>
      </c>
      <c r="AC15">
        <v>14</v>
      </c>
    </row>
    <row r="16" spans="1:30" x14ac:dyDescent="0.3">
      <c r="A16" s="381" t="s">
        <v>112</v>
      </c>
      <c r="B16" t="s">
        <v>113</v>
      </c>
      <c r="C16" s="380" t="s">
        <v>4046</v>
      </c>
      <c r="D16" s="381" t="str">
        <f t="shared" si="0"/>
        <v>NACE A - 01.23 Growing of citrus fruits</v>
      </c>
      <c r="E16" s="378" t="s">
        <v>114</v>
      </c>
      <c r="F16" t="s">
        <v>115</v>
      </c>
      <c r="G16" t="str">
        <f t="shared" si="1"/>
        <v>AW</v>
      </c>
      <c r="H16" t="s">
        <v>2674</v>
      </c>
      <c r="I16" t="s">
        <v>2737</v>
      </c>
      <c r="K16" t="s">
        <v>2794</v>
      </c>
      <c r="S16">
        <v>2014</v>
      </c>
      <c r="V16" t="s">
        <v>28</v>
      </c>
      <c r="Z16" t="s">
        <v>2755</v>
      </c>
      <c r="AA16" t="s">
        <v>3835</v>
      </c>
      <c r="AC16">
        <v>15</v>
      </c>
    </row>
    <row r="17" spans="1:29" x14ac:dyDescent="0.3">
      <c r="A17" s="381" t="s">
        <v>116</v>
      </c>
      <c r="B17" t="s">
        <v>117</v>
      </c>
      <c r="C17" s="380" t="s">
        <v>4047</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3836</v>
      </c>
      <c r="AC17">
        <v>16</v>
      </c>
    </row>
    <row r="18" spans="1:29" x14ac:dyDescent="0.3">
      <c r="A18" s="381" t="s">
        <v>120</v>
      </c>
      <c r="B18" t="s">
        <v>121</v>
      </c>
      <c r="C18" s="380" t="s">
        <v>4048</v>
      </c>
      <c r="D18" s="381" t="str">
        <f t="shared" si="0"/>
        <v>NACE A - 01.25 Growing of other tree and bush fruits and nuts</v>
      </c>
      <c r="E18" s="378" t="s">
        <v>122</v>
      </c>
      <c r="F18" t="s">
        <v>123</v>
      </c>
      <c r="G18" t="str">
        <f t="shared" si="1"/>
        <v>AZ</v>
      </c>
      <c r="H18" t="s">
        <v>45</v>
      </c>
      <c r="I18" t="s">
        <v>4445</v>
      </c>
      <c r="K18" t="s">
        <v>2796</v>
      </c>
      <c r="S18">
        <v>2016</v>
      </c>
      <c r="V18" t="s">
        <v>47</v>
      </c>
      <c r="Z18" t="s">
        <v>3186</v>
      </c>
      <c r="AA18" t="s">
        <v>3837</v>
      </c>
      <c r="AC18">
        <v>17</v>
      </c>
    </row>
    <row r="19" spans="1:29" x14ac:dyDescent="0.3">
      <c r="A19" s="381" t="s">
        <v>124</v>
      </c>
      <c r="B19" t="s">
        <v>125</v>
      </c>
      <c r="C19" s="378" t="s">
        <v>4030</v>
      </c>
      <c r="D19" s="381" t="str">
        <f t="shared" si="0"/>
        <v>NACE A - 01.26 Growing of oleaginous fruits</v>
      </c>
      <c r="E19" s="378" t="s">
        <v>126</v>
      </c>
      <c r="F19" t="s">
        <v>127</v>
      </c>
      <c r="G19" t="str">
        <f t="shared" si="1"/>
        <v>BA</v>
      </c>
      <c r="H19" t="s">
        <v>47</v>
      </c>
      <c r="I19" t="s">
        <v>4432</v>
      </c>
      <c r="K19" t="s">
        <v>2797</v>
      </c>
      <c r="S19">
        <v>2017</v>
      </c>
      <c r="V19" t="s">
        <v>50</v>
      </c>
      <c r="Z19" t="s">
        <v>3187</v>
      </c>
      <c r="AA19" t="s">
        <v>3838</v>
      </c>
      <c r="AC19">
        <v>18</v>
      </c>
    </row>
    <row r="20" spans="1:29" x14ac:dyDescent="0.3">
      <c r="A20" s="381" t="s">
        <v>128</v>
      </c>
      <c r="B20" t="s">
        <v>129</v>
      </c>
      <c r="C20" s="377" t="s">
        <v>4050</v>
      </c>
      <c r="D20" s="381" t="str">
        <f t="shared" si="0"/>
        <v>NACE A - 01.27 Growing of beverage crops</v>
      </c>
      <c r="E20" s="378" t="s">
        <v>130</v>
      </c>
      <c r="F20" t="s">
        <v>131</v>
      </c>
      <c r="G20" t="str">
        <f t="shared" si="1"/>
        <v>BB</v>
      </c>
      <c r="H20" t="s">
        <v>50</v>
      </c>
      <c r="I20" t="s">
        <v>2735</v>
      </c>
      <c r="K20" t="s">
        <v>2798</v>
      </c>
      <c r="S20">
        <v>2018</v>
      </c>
      <c r="V20" t="s">
        <v>52</v>
      </c>
      <c r="Z20" t="s">
        <v>2756</v>
      </c>
      <c r="AA20" t="s">
        <v>3839</v>
      </c>
      <c r="AC20">
        <v>19</v>
      </c>
    </row>
    <row r="21" spans="1:29" x14ac:dyDescent="0.3">
      <c r="A21" s="381" t="s">
        <v>132</v>
      </c>
      <c r="B21" t="s">
        <v>133</v>
      </c>
      <c r="C21" s="377" t="s">
        <v>4053</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3840</v>
      </c>
      <c r="AC21">
        <v>20</v>
      </c>
    </row>
    <row r="22" spans="1:29" x14ac:dyDescent="0.3">
      <c r="A22" s="381" t="s">
        <v>136</v>
      </c>
      <c r="B22" t="s">
        <v>137</v>
      </c>
      <c r="C22" s="380" t="s">
        <v>4051</v>
      </c>
      <c r="D22" s="381" t="str">
        <f t="shared" si="0"/>
        <v>NACE A - 01.29 Growing of other perennial crops</v>
      </c>
      <c r="E22" s="378" t="s">
        <v>138</v>
      </c>
      <c r="F22" t="s">
        <v>139</v>
      </c>
      <c r="G22" t="str">
        <f t="shared" si="1"/>
        <v>BE</v>
      </c>
      <c r="H22" t="s">
        <v>53</v>
      </c>
      <c r="I22" t="s">
        <v>2733</v>
      </c>
      <c r="K22" t="s">
        <v>3177</v>
      </c>
      <c r="S22">
        <v>2020</v>
      </c>
      <c r="Z22" t="s">
        <v>3189</v>
      </c>
      <c r="AA22" t="s">
        <v>3841</v>
      </c>
      <c r="AC22">
        <v>21</v>
      </c>
    </row>
    <row r="23" spans="1:29" x14ac:dyDescent="0.3">
      <c r="A23" s="380" t="s">
        <v>140</v>
      </c>
      <c r="B23" t="s">
        <v>141</v>
      </c>
      <c r="C23" s="380" t="s">
        <v>4052</v>
      </c>
      <c r="D23" s="380" t="str">
        <f t="shared" si="0"/>
        <v>NACE A - 01.3 Plant propagation</v>
      </c>
      <c r="E23" s="378" t="s">
        <v>142</v>
      </c>
      <c r="F23" t="s">
        <v>143</v>
      </c>
      <c r="G23" t="str">
        <f t="shared" si="1"/>
        <v>BF</v>
      </c>
      <c r="I23" t="s">
        <v>4433</v>
      </c>
      <c r="K23" t="s">
        <v>2800</v>
      </c>
      <c r="S23">
        <v>2021</v>
      </c>
      <c r="Z23" t="s">
        <v>2757</v>
      </c>
      <c r="AA23" t="s">
        <v>3842</v>
      </c>
      <c r="AC23">
        <v>22</v>
      </c>
    </row>
    <row r="24" spans="1:29" x14ac:dyDescent="0.3">
      <c r="A24" s="381" t="s">
        <v>144</v>
      </c>
      <c r="B24" t="s">
        <v>145</v>
      </c>
      <c r="C24" s="377" t="s">
        <v>4056</v>
      </c>
      <c r="D24" s="381" t="str">
        <f t="shared" si="0"/>
        <v>NACE A - 01.30 Plant propagation</v>
      </c>
      <c r="E24" s="378" t="s">
        <v>146</v>
      </c>
      <c r="F24" t="s">
        <v>147</v>
      </c>
      <c r="G24" t="str">
        <f t="shared" si="1"/>
        <v>BG</v>
      </c>
      <c r="I24" t="s">
        <v>4434</v>
      </c>
      <c r="K24" t="s">
        <v>2801</v>
      </c>
      <c r="S24">
        <v>2022</v>
      </c>
      <c r="Z24" t="s">
        <v>3190</v>
      </c>
      <c r="AA24" t="s">
        <v>3843</v>
      </c>
      <c r="AC24">
        <v>23</v>
      </c>
    </row>
    <row r="25" spans="1:29" x14ac:dyDescent="0.3">
      <c r="A25" s="380" t="s">
        <v>148</v>
      </c>
      <c r="B25" t="s">
        <v>149</v>
      </c>
      <c r="C25" s="380" t="s">
        <v>4054</v>
      </c>
      <c r="D25" s="380" t="str">
        <f t="shared" si="0"/>
        <v>NACE A - 01.4 Animal production</v>
      </c>
      <c r="E25" s="378" t="s">
        <v>150</v>
      </c>
      <c r="F25" t="s">
        <v>151</v>
      </c>
      <c r="G25" t="str">
        <f t="shared" si="1"/>
        <v>BH</v>
      </c>
      <c r="I25" t="s">
        <v>4446</v>
      </c>
      <c r="K25" t="s">
        <v>2802</v>
      </c>
      <c r="S25">
        <v>2023</v>
      </c>
      <c r="Z25" t="s">
        <v>3191</v>
      </c>
      <c r="AA25" t="s">
        <v>3844</v>
      </c>
      <c r="AC25">
        <v>24</v>
      </c>
    </row>
    <row r="26" spans="1:29" x14ac:dyDescent="0.3">
      <c r="A26" s="381" t="s">
        <v>152</v>
      </c>
      <c r="B26" t="s">
        <v>153</v>
      </c>
      <c r="C26" s="380" t="s">
        <v>4055</v>
      </c>
      <c r="D26" s="381" t="str">
        <f t="shared" si="0"/>
        <v>NACE A - 01.41 Raising of dairy cattle</v>
      </c>
      <c r="E26" s="378" t="s">
        <v>154</v>
      </c>
      <c r="F26" t="s">
        <v>155</v>
      </c>
      <c r="G26" t="str">
        <f t="shared" si="1"/>
        <v>BI</v>
      </c>
      <c r="I26" t="s">
        <v>2732</v>
      </c>
      <c r="K26" t="s">
        <v>2803</v>
      </c>
      <c r="S26">
        <v>2024</v>
      </c>
      <c r="Z26" t="s">
        <v>3192</v>
      </c>
      <c r="AA26" t="s">
        <v>3845</v>
      </c>
      <c r="AC26">
        <v>25</v>
      </c>
    </row>
    <row r="27" spans="1:29" x14ac:dyDescent="0.3">
      <c r="A27" s="381" t="s">
        <v>156</v>
      </c>
      <c r="B27" t="s">
        <v>157</v>
      </c>
      <c r="C27" s="377" t="s">
        <v>4059</v>
      </c>
      <c r="D27" s="381" t="str">
        <f t="shared" si="0"/>
        <v>NACE A - 01.42 Raising of other cattle and buffaloes</v>
      </c>
      <c r="E27" s="378" t="s">
        <v>158</v>
      </c>
      <c r="F27" t="s">
        <v>159</v>
      </c>
      <c r="G27" t="str">
        <f t="shared" si="1"/>
        <v>BJ</v>
      </c>
      <c r="I27" t="s">
        <v>2731</v>
      </c>
      <c r="K27" t="s">
        <v>2804</v>
      </c>
      <c r="S27">
        <v>2025</v>
      </c>
      <c r="Z27" t="s">
        <v>3193</v>
      </c>
      <c r="AA27" t="s">
        <v>3846</v>
      </c>
      <c r="AC27">
        <v>26</v>
      </c>
    </row>
    <row r="28" spans="1:29" x14ac:dyDescent="0.3">
      <c r="A28" s="381" t="s">
        <v>160</v>
      </c>
      <c r="B28" t="s">
        <v>161</v>
      </c>
      <c r="C28" s="380" t="s">
        <v>4057</v>
      </c>
      <c r="D28" s="381" t="str">
        <f t="shared" si="0"/>
        <v>NACE A - 01.43 Raising of horses and other equines</v>
      </c>
      <c r="E28" s="378" t="s">
        <v>162</v>
      </c>
      <c r="F28" t="s">
        <v>163</v>
      </c>
      <c r="G28" t="str">
        <f t="shared" si="1"/>
        <v>BL</v>
      </c>
      <c r="I28" t="s">
        <v>4448</v>
      </c>
      <c r="K28" t="s">
        <v>2754</v>
      </c>
      <c r="S28">
        <v>2026</v>
      </c>
      <c r="Z28" t="s">
        <v>3194</v>
      </c>
      <c r="AA28" t="s">
        <v>3847</v>
      </c>
      <c r="AC28">
        <v>27</v>
      </c>
    </row>
    <row r="29" spans="1:29" x14ac:dyDescent="0.3">
      <c r="A29" s="381" t="s">
        <v>164</v>
      </c>
      <c r="B29" t="s">
        <v>165</v>
      </c>
      <c r="C29" s="380" t="s">
        <v>4058</v>
      </c>
      <c r="D29" s="381" t="str">
        <f t="shared" si="0"/>
        <v>NACE A - 01.44 Raising of camels and camelids</v>
      </c>
      <c r="E29" s="378" t="s">
        <v>166</v>
      </c>
      <c r="F29" t="s">
        <v>167</v>
      </c>
      <c r="G29" t="str">
        <f t="shared" si="1"/>
        <v>BM</v>
      </c>
      <c r="I29" t="s">
        <v>2730</v>
      </c>
      <c r="K29" t="s">
        <v>3178</v>
      </c>
      <c r="S29">
        <v>2027</v>
      </c>
      <c r="Z29" t="s">
        <v>3195</v>
      </c>
      <c r="AA29" t="s">
        <v>3848</v>
      </c>
      <c r="AC29">
        <v>28</v>
      </c>
    </row>
    <row r="30" spans="1:29" x14ac:dyDescent="0.3">
      <c r="A30" s="381" t="s">
        <v>168</v>
      </c>
      <c r="B30" t="s">
        <v>169</v>
      </c>
      <c r="C30" s="377" t="s">
        <v>4062</v>
      </c>
      <c r="D30" s="381" t="str">
        <f t="shared" si="0"/>
        <v>NACE A - 01.45 Raising of sheep and goats</v>
      </c>
      <c r="E30" s="378" t="s">
        <v>170</v>
      </c>
      <c r="F30" t="s">
        <v>171</v>
      </c>
      <c r="G30" t="str">
        <f t="shared" si="1"/>
        <v>BN</v>
      </c>
      <c r="I30" t="s">
        <v>2729</v>
      </c>
      <c r="K30" t="s">
        <v>2805</v>
      </c>
      <c r="S30">
        <v>2028</v>
      </c>
      <c r="Z30" t="s">
        <v>3196</v>
      </c>
      <c r="AA30" t="s">
        <v>3849</v>
      </c>
      <c r="AC30">
        <v>29</v>
      </c>
    </row>
    <row r="31" spans="1:29" x14ac:dyDescent="0.3">
      <c r="A31" s="381" t="s">
        <v>172</v>
      </c>
      <c r="B31" t="s">
        <v>173</v>
      </c>
      <c r="C31" s="380" t="s">
        <v>4060</v>
      </c>
      <c r="D31" s="381" t="str">
        <f t="shared" si="0"/>
        <v>NACE A - 01.46 Raising of swine and pigs</v>
      </c>
      <c r="E31" s="378" t="s">
        <v>174</v>
      </c>
      <c r="F31" t="s">
        <v>175</v>
      </c>
      <c r="G31" t="str">
        <f t="shared" si="1"/>
        <v>BO</v>
      </c>
      <c r="I31" t="s">
        <v>2728</v>
      </c>
      <c r="K31" t="s">
        <v>2806</v>
      </c>
      <c r="S31">
        <v>2029</v>
      </c>
      <c r="Z31" t="s">
        <v>2758</v>
      </c>
      <c r="AA31" t="s">
        <v>3850</v>
      </c>
      <c r="AC31">
        <v>30</v>
      </c>
    </row>
    <row r="32" spans="1:29" x14ac:dyDescent="0.3">
      <c r="A32" s="381" t="s">
        <v>176</v>
      </c>
      <c r="B32" t="s">
        <v>177</v>
      </c>
      <c r="C32" s="380" t="s">
        <v>4061</v>
      </c>
      <c r="D32" s="381" t="str">
        <f t="shared" si="0"/>
        <v>NACE A - 01.47 Raising of poultry</v>
      </c>
      <c r="E32" s="378" t="s">
        <v>178</v>
      </c>
      <c r="F32" t="s">
        <v>179</v>
      </c>
      <c r="G32" t="str">
        <f t="shared" si="1"/>
        <v>BQ</v>
      </c>
      <c r="I32" t="s">
        <v>2727</v>
      </c>
      <c r="K32" t="s">
        <v>2807</v>
      </c>
      <c r="S32">
        <v>2030</v>
      </c>
      <c r="Z32" t="s">
        <v>3197</v>
      </c>
      <c r="AA32" t="s">
        <v>3851</v>
      </c>
      <c r="AC32">
        <v>31</v>
      </c>
    </row>
    <row r="33" spans="1:27" x14ac:dyDescent="0.3">
      <c r="A33" s="381" t="s">
        <v>180</v>
      </c>
      <c r="B33" t="s">
        <v>181</v>
      </c>
      <c r="C33" s="380" t="s">
        <v>4063</v>
      </c>
      <c r="D33" s="381" t="str">
        <f t="shared" si="0"/>
        <v>NACE A - 01.48 Raising of other animals</v>
      </c>
      <c r="E33" s="378" t="s">
        <v>182</v>
      </c>
      <c r="F33" t="s">
        <v>183</v>
      </c>
      <c r="G33" t="str">
        <f t="shared" si="1"/>
        <v>BR</v>
      </c>
      <c r="I33" t="s">
        <v>2726</v>
      </c>
      <c r="K33" t="s">
        <v>2808</v>
      </c>
      <c r="S33">
        <v>2031</v>
      </c>
      <c r="Z33" t="s">
        <v>3198</v>
      </c>
      <c r="AA33" t="s">
        <v>3852</v>
      </c>
    </row>
    <row r="34" spans="1:27" x14ac:dyDescent="0.3">
      <c r="A34" s="380" t="s">
        <v>184</v>
      </c>
      <c r="B34" t="s">
        <v>185</v>
      </c>
      <c r="C34" s="380" t="s">
        <v>4064</v>
      </c>
      <c r="D34" s="380" t="str">
        <f t="shared" si="0"/>
        <v>NACE A - 01.5 Mixed farming</v>
      </c>
      <c r="E34" s="378" t="s">
        <v>186</v>
      </c>
      <c r="F34" t="s">
        <v>187</v>
      </c>
      <c r="G34" t="str">
        <f t="shared" si="1"/>
        <v>BS</v>
      </c>
      <c r="I34" t="s">
        <v>2725</v>
      </c>
      <c r="K34" t="s">
        <v>2785</v>
      </c>
      <c r="S34">
        <v>2032</v>
      </c>
      <c r="Z34" t="s">
        <v>3199</v>
      </c>
      <c r="AA34" t="s">
        <v>3853</v>
      </c>
    </row>
    <row r="35" spans="1:27" x14ac:dyDescent="0.3">
      <c r="A35" s="381" t="s">
        <v>188</v>
      </c>
      <c r="B35" t="s">
        <v>189</v>
      </c>
      <c r="C35" s="378" t="s">
        <v>4049</v>
      </c>
      <c r="D35" s="381" t="str">
        <f t="shared" si="0"/>
        <v>NACE A - 01.50 Mixed farming</v>
      </c>
      <c r="E35" s="378" t="s">
        <v>190</v>
      </c>
      <c r="F35" t="s">
        <v>191</v>
      </c>
      <c r="G35" t="str">
        <f t="shared" si="1"/>
        <v>BT</v>
      </c>
      <c r="I35" t="s">
        <v>2724</v>
      </c>
      <c r="K35" t="s">
        <v>2809</v>
      </c>
      <c r="S35">
        <v>2033</v>
      </c>
      <c r="Z35" t="s">
        <v>3200</v>
      </c>
      <c r="AA35" t="s">
        <v>3854</v>
      </c>
    </row>
    <row r="36" spans="1:27" x14ac:dyDescent="0.3">
      <c r="A36" s="380" t="s">
        <v>192</v>
      </c>
      <c r="B36" t="s">
        <v>193</v>
      </c>
      <c r="C36" s="377" t="s">
        <v>4066</v>
      </c>
      <c r="D36" s="380" t="str">
        <f t="shared" si="0"/>
        <v>NACE A - 01.6 Support activities to agriculture and post-harvest crop activities</v>
      </c>
      <c r="E36" s="378" t="s">
        <v>194</v>
      </c>
      <c r="F36" t="s">
        <v>195</v>
      </c>
      <c r="G36" t="str">
        <f t="shared" si="1"/>
        <v>BU</v>
      </c>
      <c r="I36" t="s">
        <v>2723</v>
      </c>
      <c r="K36" t="s">
        <v>2810</v>
      </c>
      <c r="S36">
        <v>2034</v>
      </c>
      <c r="Z36" t="s">
        <v>3201</v>
      </c>
      <c r="AA36" t="s">
        <v>3855</v>
      </c>
    </row>
    <row r="37" spans="1:27" x14ac:dyDescent="0.3">
      <c r="A37" s="381" t="s">
        <v>196</v>
      </c>
      <c r="B37" t="s">
        <v>197</v>
      </c>
      <c r="C37" s="380" t="s">
        <v>4067</v>
      </c>
      <c r="D37" s="381" t="str">
        <f t="shared" si="0"/>
        <v>NACE A - 01.61 Support activities for crop production</v>
      </c>
      <c r="E37" s="378" t="s">
        <v>198</v>
      </c>
      <c r="F37" t="s">
        <v>199</v>
      </c>
      <c r="G37" t="str">
        <f t="shared" si="1"/>
        <v>BV</v>
      </c>
      <c r="I37" t="s">
        <v>2722</v>
      </c>
      <c r="K37" t="s">
        <v>2811</v>
      </c>
      <c r="S37">
        <v>2035</v>
      </c>
      <c r="Z37" t="s">
        <v>3202</v>
      </c>
      <c r="AA37" t="s">
        <v>3856</v>
      </c>
    </row>
    <row r="38" spans="1:27" x14ac:dyDescent="0.3">
      <c r="A38" s="381" t="s">
        <v>200</v>
      </c>
      <c r="B38" t="s">
        <v>201</v>
      </c>
      <c r="C38" s="380" t="s">
        <v>4068</v>
      </c>
      <c r="D38" s="381" t="str">
        <f t="shared" si="0"/>
        <v>NACE A - 01.62 Support activities for animal production</v>
      </c>
      <c r="E38" s="378" t="s">
        <v>202</v>
      </c>
      <c r="F38" t="s">
        <v>203</v>
      </c>
      <c r="G38" t="str">
        <f t="shared" si="1"/>
        <v>BW</v>
      </c>
      <c r="I38" t="s">
        <v>4447</v>
      </c>
      <c r="K38" t="s">
        <v>3179</v>
      </c>
      <c r="S38">
        <v>2036</v>
      </c>
      <c r="Z38" t="s">
        <v>3203</v>
      </c>
      <c r="AA38" t="s">
        <v>3857</v>
      </c>
    </row>
    <row r="39" spans="1:27" x14ac:dyDescent="0.3">
      <c r="A39" s="381" t="s">
        <v>204</v>
      </c>
      <c r="B39" t="s">
        <v>205</v>
      </c>
      <c r="C39" s="380" t="s">
        <v>4069</v>
      </c>
      <c r="D39" s="381" t="str">
        <f t="shared" si="0"/>
        <v>NACE A - 01.63 Post-harvest crop activities and seed processing for propagation</v>
      </c>
      <c r="E39" s="378" t="s">
        <v>206</v>
      </c>
      <c r="F39" t="s">
        <v>207</v>
      </c>
      <c r="G39" t="str">
        <f t="shared" si="1"/>
        <v>BY</v>
      </c>
      <c r="I39" t="s">
        <v>4435</v>
      </c>
      <c r="K39" t="s">
        <v>2812</v>
      </c>
      <c r="S39">
        <v>2037</v>
      </c>
      <c r="Z39" t="s">
        <v>3204</v>
      </c>
      <c r="AA39" t="s">
        <v>3858</v>
      </c>
    </row>
    <row r="40" spans="1:27" x14ac:dyDescent="0.3">
      <c r="A40" s="380" t="s">
        <v>208</v>
      </c>
      <c r="B40" t="s">
        <v>209</v>
      </c>
      <c r="C40" s="380" t="s">
        <v>4070</v>
      </c>
      <c r="D40" s="380" t="str">
        <f t="shared" si="0"/>
        <v>NACE A - 01.7 Hunting, trapping and related service activities</v>
      </c>
      <c r="E40" s="378" t="s">
        <v>210</v>
      </c>
      <c r="F40" t="s">
        <v>211</v>
      </c>
      <c r="G40" t="str">
        <f t="shared" si="1"/>
        <v>BZ</v>
      </c>
      <c r="I40" t="s">
        <v>4436</v>
      </c>
      <c r="K40" t="s">
        <v>2813</v>
      </c>
      <c r="S40">
        <v>2038</v>
      </c>
      <c r="Z40" t="s">
        <v>3205</v>
      </c>
      <c r="AA40" t="s">
        <v>3859</v>
      </c>
    </row>
    <row r="41" spans="1:27" x14ac:dyDescent="0.3">
      <c r="A41" s="381" t="s">
        <v>212</v>
      </c>
      <c r="B41" t="s">
        <v>213</v>
      </c>
      <c r="C41" s="380" t="s">
        <v>4071</v>
      </c>
      <c r="D41" s="381" t="str">
        <f t="shared" si="0"/>
        <v>NACE A - 01.70 Hunting, trapping and related service activities</v>
      </c>
      <c r="E41" s="378" t="s">
        <v>214</v>
      </c>
      <c r="F41" t="s">
        <v>215</v>
      </c>
      <c r="G41" t="str">
        <f t="shared" si="1"/>
        <v>CA</v>
      </c>
      <c r="I41" t="s">
        <v>2721</v>
      </c>
      <c r="K41" t="s">
        <v>2814</v>
      </c>
      <c r="S41">
        <v>2039</v>
      </c>
      <c r="Z41" t="s">
        <v>3206</v>
      </c>
      <c r="AA41" t="s">
        <v>3860</v>
      </c>
    </row>
    <row r="42" spans="1:27" x14ac:dyDescent="0.3">
      <c r="A42" s="377" t="s">
        <v>216</v>
      </c>
      <c r="B42" t="s">
        <v>217</v>
      </c>
      <c r="C42" s="380" t="s">
        <v>4072</v>
      </c>
      <c r="D42" s="377" t="str">
        <f t="shared" si="0"/>
        <v>NACE A - 02 Forestry and logging</v>
      </c>
      <c r="E42" s="378" t="s">
        <v>218</v>
      </c>
      <c r="F42" t="s">
        <v>219</v>
      </c>
      <c r="G42" t="str">
        <f t="shared" si="1"/>
        <v>CC</v>
      </c>
      <c r="I42" t="s">
        <v>2720</v>
      </c>
      <c r="K42" t="s">
        <v>2815</v>
      </c>
      <c r="S42">
        <v>2040</v>
      </c>
      <c r="Z42" t="s">
        <v>3207</v>
      </c>
      <c r="AA42" t="s">
        <v>3861</v>
      </c>
    </row>
    <row r="43" spans="1:27" x14ac:dyDescent="0.3">
      <c r="A43" s="380" t="s">
        <v>220</v>
      </c>
      <c r="B43" t="s">
        <v>221</v>
      </c>
      <c r="C43" s="380" t="s">
        <v>4073</v>
      </c>
      <c r="D43" s="380" t="str">
        <f t="shared" si="0"/>
        <v>NACE A - 02.1 Silviculture and other forestry activities</v>
      </c>
      <c r="E43" s="378" t="s">
        <v>222</v>
      </c>
      <c r="F43" t="s">
        <v>223</v>
      </c>
      <c r="G43" t="str">
        <f t="shared" si="1"/>
        <v>CD</v>
      </c>
      <c r="I43" t="s">
        <v>2719</v>
      </c>
      <c r="K43" t="s">
        <v>2816</v>
      </c>
      <c r="S43">
        <v>2041</v>
      </c>
      <c r="Z43" t="s">
        <v>3208</v>
      </c>
      <c r="AA43" t="s">
        <v>3862</v>
      </c>
    </row>
    <row r="44" spans="1:27" x14ac:dyDescent="0.3">
      <c r="A44" s="381" t="s">
        <v>224</v>
      </c>
      <c r="B44" t="s">
        <v>225</v>
      </c>
      <c r="C44" s="380" t="s">
        <v>4074</v>
      </c>
      <c r="D44" s="381" t="str">
        <f t="shared" si="0"/>
        <v>NACE A - 02.10 Silviculture and other forestry activities</v>
      </c>
      <c r="E44" s="378" t="s">
        <v>226</v>
      </c>
      <c r="F44" t="s">
        <v>227</v>
      </c>
      <c r="G44" t="str">
        <f t="shared" si="1"/>
        <v>CF</v>
      </c>
      <c r="I44" t="s">
        <v>2718</v>
      </c>
      <c r="K44" t="s">
        <v>3180</v>
      </c>
      <c r="S44">
        <v>2042</v>
      </c>
      <c r="Z44" t="s">
        <v>2759</v>
      </c>
      <c r="AA44" t="s">
        <v>3863</v>
      </c>
    </row>
    <row r="45" spans="1:27" x14ac:dyDescent="0.3">
      <c r="A45" s="380" t="s">
        <v>228</v>
      </c>
      <c r="B45" t="s">
        <v>229</v>
      </c>
      <c r="C45" s="380" t="s">
        <v>4075</v>
      </c>
      <c r="D45" s="380" t="str">
        <f t="shared" si="0"/>
        <v>NACE A - 02.2 Logging</v>
      </c>
      <c r="E45" s="378" t="s">
        <v>230</v>
      </c>
      <c r="F45" t="s">
        <v>231</v>
      </c>
      <c r="G45" t="str">
        <f t="shared" si="1"/>
        <v>CG</v>
      </c>
      <c r="I45" t="s">
        <v>2717</v>
      </c>
      <c r="K45" t="s">
        <v>2817</v>
      </c>
      <c r="S45">
        <v>2043</v>
      </c>
      <c r="Z45" t="s">
        <v>3209</v>
      </c>
      <c r="AA45" t="s">
        <v>3864</v>
      </c>
    </row>
    <row r="46" spans="1:27" x14ac:dyDescent="0.3">
      <c r="A46" s="381" t="s">
        <v>232</v>
      </c>
      <c r="B46" t="s">
        <v>233</v>
      </c>
      <c r="C46" s="377" t="s">
        <v>4076</v>
      </c>
      <c r="D46" s="381" t="str">
        <f t="shared" si="0"/>
        <v>NACE A - 02.20 Logging</v>
      </c>
      <c r="E46" s="378" t="s">
        <v>234</v>
      </c>
      <c r="F46" t="s">
        <v>235</v>
      </c>
      <c r="G46" t="str">
        <f t="shared" si="1"/>
        <v>CH</v>
      </c>
      <c r="I46" t="s">
        <v>4449</v>
      </c>
      <c r="K46" t="s">
        <v>2818</v>
      </c>
      <c r="S46">
        <v>2044</v>
      </c>
      <c r="Z46" t="s">
        <v>3210</v>
      </c>
      <c r="AA46" t="s">
        <v>3865</v>
      </c>
    </row>
    <row r="47" spans="1:27" x14ac:dyDescent="0.3">
      <c r="A47" s="380" t="s">
        <v>236</v>
      </c>
      <c r="B47" t="s">
        <v>237</v>
      </c>
      <c r="C47" s="380" t="s">
        <v>4077</v>
      </c>
      <c r="D47" s="380" t="str">
        <f t="shared" si="0"/>
        <v>NACE A - 02.3 Gathering of wild growing non-wood products</v>
      </c>
      <c r="E47" s="378" t="s">
        <v>238</v>
      </c>
      <c r="F47" t="s">
        <v>239</v>
      </c>
      <c r="G47" t="str">
        <f t="shared" si="1"/>
        <v>CI</v>
      </c>
      <c r="I47" t="s">
        <v>2716</v>
      </c>
      <c r="K47" t="s">
        <v>2819</v>
      </c>
      <c r="S47">
        <v>2045</v>
      </c>
      <c r="Z47" t="s">
        <v>3211</v>
      </c>
      <c r="AA47" t="s">
        <v>3866</v>
      </c>
    </row>
    <row r="48" spans="1:27" x14ac:dyDescent="0.3">
      <c r="A48" s="381" t="s">
        <v>240</v>
      </c>
      <c r="B48" t="s">
        <v>241</v>
      </c>
      <c r="C48" s="377" t="s">
        <v>4078</v>
      </c>
      <c r="D48" s="381" t="str">
        <f t="shared" si="0"/>
        <v>NACE A - 02.30 Gathering of wild growing non-wood products</v>
      </c>
      <c r="E48" s="378" t="s">
        <v>242</v>
      </c>
      <c r="F48" t="s">
        <v>243</v>
      </c>
      <c r="G48" t="str">
        <f t="shared" si="1"/>
        <v>CK</v>
      </c>
      <c r="I48" t="s">
        <v>2715</v>
      </c>
      <c r="K48" t="s">
        <v>2820</v>
      </c>
      <c r="S48">
        <v>2046</v>
      </c>
      <c r="Z48" t="s">
        <v>3212</v>
      </c>
      <c r="AA48" t="s">
        <v>3867</v>
      </c>
    </row>
    <row r="49" spans="1:27" x14ac:dyDescent="0.3">
      <c r="A49" s="380" t="s">
        <v>244</v>
      </c>
      <c r="B49" t="s">
        <v>245</v>
      </c>
      <c r="C49" s="380" t="s">
        <v>4079</v>
      </c>
      <c r="D49" s="380" t="str">
        <f t="shared" si="0"/>
        <v>NACE A - 02.4 Support services to forestry</v>
      </c>
      <c r="E49" s="378" t="s">
        <v>246</v>
      </c>
      <c r="F49" t="s">
        <v>247</v>
      </c>
      <c r="G49" t="str">
        <f t="shared" si="1"/>
        <v>CL</v>
      </c>
      <c r="I49" t="s">
        <v>2714</v>
      </c>
      <c r="K49" t="s">
        <v>2821</v>
      </c>
      <c r="S49">
        <v>2047</v>
      </c>
      <c r="Z49" t="s">
        <v>3213</v>
      </c>
      <c r="AA49" t="s">
        <v>3868</v>
      </c>
    </row>
    <row r="50" spans="1:27" x14ac:dyDescent="0.3">
      <c r="A50" s="381" t="s">
        <v>248</v>
      </c>
      <c r="B50" t="s">
        <v>249</v>
      </c>
      <c r="C50" s="377" t="s">
        <v>4080</v>
      </c>
      <c r="D50" s="381" t="str">
        <f t="shared" si="0"/>
        <v>NACE A - 02.40 Support services to forestry</v>
      </c>
      <c r="E50" s="378" t="s">
        <v>250</v>
      </c>
      <c r="F50" t="s">
        <v>251</v>
      </c>
      <c r="G50" t="str">
        <f t="shared" si="1"/>
        <v>CM</v>
      </c>
      <c r="I50" t="s">
        <v>2713</v>
      </c>
      <c r="K50" t="s">
        <v>2822</v>
      </c>
      <c r="S50">
        <v>2048</v>
      </c>
      <c r="Z50" t="s">
        <v>3214</v>
      </c>
      <c r="AA50" t="s">
        <v>3869</v>
      </c>
    </row>
    <row r="51" spans="1:27" x14ac:dyDescent="0.3">
      <c r="A51" s="377" t="s">
        <v>252</v>
      </c>
      <c r="B51" t="s">
        <v>253</v>
      </c>
      <c r="C51" s="380" t="s">
        <v>4081</v>
      </c>
      <c r="D51" s="377" t="str">
        <f t="shared" si="0"/>
        <v>NACE A - 03 Fishing and aquaculture</v>
      </c>
      <c r="E51" s="378" t="s">
        <v>254</v>
      </c>
      <c r="F51" t="s">
        <v>255</v>
      </c>
      <c r="G51" t="str">
        <f t="shared" si="1"/>
        <v>CN</v>
      </c>
      <c r="I51" t="s">
        <v>2712</v>
      </c>
      <c r="K51" t="s">
        <v>3181</v>
      </c>
      <c r="S51">
        <v>2049</v>
      </c>
      <c r="Z51" t="s">
        <v>3215</v>
      </c>
      <c r="AA51" t="s">
        <v>3870</v>
      </c>
    </row>
    <row r="52" spans="1:27" x14ac:dyDescent="0.3">
      <c r="A52" s="380" t="s">
        <v>256</v>
      </c>
      <c r="B52" t="s">
        <v>257</v>
      </c>
      <c r="C52" s="380" t="s">
        <v>4082</v>
      </c>
      <c r="D52" s="380" t="str">
        <f t="shared" si="0"/>
        <v>NACE A - 03.1 Fishing</v>
      </c>
      <c r="E52" s="378" t="s">
        <v>258</v>
      </c>
      <c r="F52" t="s">
        <v>259</v>
      </c>
      <c r="G52" t="str">
        <f t="shared" si="1"/>
        <v>CO</v>
      </c>
      <c r="I52" t="s">
        <v>4437</v>
      </c>
      <c r="K52" t="s">
        <v>2823</v>
      </c>
      <c r="S52">
        <v>2050</v>
      </c>
      <c r="Z52" t="s">
        <v>2760</v>
      </c>
      <c r="AA52" t="s">
        <v>3871</v>
      </c>
    </row>
    <row r="53" spans="1:27" x14ac:dyDescent="0.3">
      <c r="A53" s="381" t="s">
        <v>260</v>
      </c>
      <c r="B53" t="s">
        <v>261</v>
      </c>
      <c r="C53" s="380" t="s">
        <v>4083</v>
      </c>
      <c r="D53" s="381" t="str">
        <f t="shared" si="0"/>
        <v>NACE A - 03.11 Marine fishing</v>
      </c>
      <c r="E53" s="378" t="s">
        <v>262</v>
      </c>
      <c r="F53" t="s">
        <v>263</v>
      </c>
      <c r="G53" t="str">
        <f t="shared" si="1"/>
        <v>CR</v>
      </c>
      <c r="I53" t="s">
        <v>2711</v>
      </c>
      <c r="K53" t="s">
        <v>2824</v>
      </c>
      <c r="S53">
        <v>2051</v>
      </c>
      <c r="Z53" t="s">
        <v>3216</v>
      </c>
      <c r="AA53" t="s">
        <v>3872</v>
      </c>
    </row>
    <row r="54" spans="1:27" x14ac:dyDescent="0.3">
      <c r="A54" s="381" t="s">
        <v>264</v>
      </c>
      <c r="B54" t="s">
        <v>265</v>
      </c>
      <c r="C54" s="380" t="s">
        <v>4084</v>
      </c>
      <c r="D54" s="381" t="str">
        <f t="shared" si="0"/>
        <v>NACE A - 03.12 Freshwater fishing</v>
      </c>
      <c r="E54" s="378" t="s">
        <v>266</v>
      </c>
      <c r="F54" t="s">
        <v>267</v>
      </c>
      <c r="G54" t="str">
        <f t="shared" si="1"/>
        <v>CS</v>
      </c>
      <c r="I54" t="s">
        <v>4438</v>
      </c>
      <c r="K54" t="s">
        <v>2825</v>
      </c>
      <c r="S54">
        <v>2052</v>
      </c>
      <c r="Z54" t="s">
        <v>3217</v>
      </c>
      <c r="AA54" t="s">
        <v>3873</v>
      </c>
    </row>
    <row r="55" spans="1:27" x14ac:dyDescent="0.3">
      <c r="A55" s="380" t="s">
        <v>268</v>
      </c>
      <c r="B55" t="s">
        <v>269</v>
      </c>
      <c r="C55" s="377" t="s">
        <v>4085</v>
      </c>
      <c r="D55" s="380" t="str">
        <f t="shared" si="0"/>
        <v>NACE A - 03.2 Aquaculture</v>
      </c>
      <c r="E55" s="378" t="s">
        <v>270</v>
      </c>
      <c r="F55" t="s">
        <v>271</v>
      </c>
      <c r="G55" t="str">
        <f t="shared" si="1"/>
        <v>CU</v>
      </c>
      <c r="I55" t="s">
        <v>2710</v>
      </c>
      <c r="K55" t="s">
        <v>2826</v>
      </c>
      <c r="S55">
        <v>2053</v>
      </c>
      <c r="Z55" t="s">
        <v>3218</v>
      </c>
      <c r="AA55" t="s">
        <v>3874</v>
      </c>
    </row>
    <row r="56" spans="1:27" x14ac:dyDescent="0.3">
      <c r="A56" s="381" t="s">
        <v>272</v>
      </c>
      <c r="B56" t="s">
        <v>273</v>
      </c>
      <c r="C56" s="380" t="s">
        <v>4086</v>
      </c>
      <c r="D56" s="381" t="str">
        <f t="shared" si="0"/>
        <v>NACE A - 03.21 Marine aquaculture</v>
      </c>
      <c r="E56" s="378" t="s">
        <v>274</v>
      </c>
      <c r="F56" t="s">
        <v>275</v>
      </c>
      <c r="G56" t="str">
        <f t="shared" si="1"/>
        <v>CV</v>
      </c>
      <c r="I56" t="s">
        <v>2709</v>
      </c>
      <c r="K56" t="s">
        <v>3182</v>
      </c>
      <c r="S56">
        <v>2054</v>
      </c>
      <c r="Z56" t="s">
        <v>3219</v>
      </c>
      <c r="AA56" t="s">
        <v>3875</v>
      </c>
    </row>
    <row r="57" spans="1:27" x14ac:dyDescent="0.3">
      <c r="A57" s="381" t="s">
        <v>276</v>
      </c>
      <c r="B57" t="s">
        <v>277</v>
      </c>
      <c r="C57" s="380" t="s">
        <v>4087</v>
      </c>
      <c r="D57" s="381" t="str">
        <f t="shared" si="0"/>
        <v>NACE A - 03.22 Freshwater aquaculture</v>
      </c>
      <c r="E57" s="378" t="s">
        <v>278</v>
      </c>
      <c r="F57" t="s">
        <v>279</v>
      </c>
      <c r="G57" t="str">
        <f t="shared" si="1"/>
        <v>CW</v>
      </c>
      <c r="I57" t="s">
        <v>2708</v>
      </c>
      <c r="K57" t="s">
        <v>2827</v>
      </c>
      <c r="S57">
        <v>2055</v>
      </c>
      <c r="Z57" t="s">
        <v>3220</v>
      </c>
      <c r="AA57" t="s">
        <v>3876</v>
      </c>
    </row>
    <row r="58" spans="1:27" x14ac:dyDescent="0.3">
      <c r="A58" s="380" t="s">
        <v>280</v>
      </c>
      <c r="B58" t="s">
        <v>281</v>
      </c>
      <c r="C58" s="377" t="s">
        <v>4088</v>
      </c>
      <c r="D58" s="380" t="str">
        <f t="shared" si="0"/>
        <v>NACE A - 03.3 Support activities for fishing and aquaculture</v>
      </c>
      <c r="E58" s="378" t="s">
        <v>282</v>
      </c>
      <c r="F58" t="s">
        <v>283</v>
      </c>
      <c r="G58" t="str">
        <f t="shared" si="1"/>
        <v>CX</v>
      </c>
      <c r="I58" t="s">
        <v>4439</v>
      </c>
      <c r="K58" t="s">
        <v>2828</v>
      </c>
      <c r="S58">
        <v>2056</v>
      </c>
      <c r="Z58" t="s">
        <v>2761</v>
      </c>
      <c r="AA58" t="s">
        <v>3877</v>
      </c>
    </row>
    <row r="59" spans="1:27" x14ac:dyDescent="0.3">
      <c r="A59" s="381" t="s">
        <v>284</v>
      </c>
      <c r="B59" t="s">
        <v>285</v>
      </c>
      <c r="C59" s="380" t="s">
        <v>4089</v>
      </c>
      <c r="D59" s="381" t="str">
        <f t="shared" si="0"/>
        <v>NACE A - 03.30 Support activities for fishing and aquaculture</v>
      </c>
      <c r="E59" s="378" t="s">
        <v>286</v>
      </c>
      <c r="F59" t="s">
        <v>287</v>
      </c>
      <c r="G59" t="str">
        <f t="shared" si="1"/>
        <v>CY</v>
      </c>
      <c r="I59" t="s">
        <v>2707</v>
      </c>
      <c r="K59" t="s">
        <v>2829</v>
      </c>
      <c r="S59">
        <v>2057</v>
      </c>
      <c r="Z59" t="s">
        <v>3221</v>
      </c>
      <c r="AA59" t="s">
        <v>3878</v>
      </c>
    </row>
    <row r="60" spans="1:27" x14ac:dyDescent="0.3">
      <c r="A60" s="378" t="s">
        <v>288</v>
      </c>
      <c r="B60" t="s">
        <v>289</v>
      </c>
      <c r="C60" s="380" t="s">
        <v>4090</v>
      </c>
      <c r="D60" s="378" t="str">
        <f t="shared" si="0"/>
        <v>NACE B - MINING AND QUARRYING</v>
      </c>
      <c r="E60" s="378" t="s">
        <v>290</v>
      </c>
      <c r="F60" t="s">
        <v>291</v>
      </c>
      <c r="G60" t="str">
        <f t="shared" si="1"/>
        <v>CZ</v>
      </c>
      <c r="I60" t="s">
        <v>2706</v>
      </c>
      <c r="K60" t="s">
        <v>3183</v>
      </c>
      <c r="S60">
        <v>2058</v>
      </c>
      <c r="Z60" t="s">
        <v>2762</v>
      </c>
      <c r="AA60" t="s">
        <v>3879</v>
      </c>
    </row>
    <row r="61" spans="1:27" x14ac:dyDescent="0.3">
      <c r="A61" s="377" t="s">
        <v>292</v>
      </c>
      <c r="B61" t="s">
        <v>293</v>
      </c>
      <c r="C61" s="381" t="s">
        <v>4091</v>
      </c>
      <c r="D61" s="377" t="str">
        <f t="shared" si="0"/>
        <v>NACE B - 04 Mining of coal and lignite</v>
      </c>
      <c r="E61" s="378" t="s">
        <v>294</v>
      </c>
      <c r="F61" t="s">
        <v>295</v>
      </c>
      <c r="G61" t="str">
        <f t="shared" si="1"/>
        <v>DE</v>
      </c>
      <c r="I61" t="s">
        <v>2705</v>
      </c>
      <c r="K61" t="s">
        <v>2830</v>
      </c>
      <c r="S61">
        <v>2059</v>
      </c>
      <c r="Z61" t="s">
        <v>3222</v>
      </c>
      <c r="AA61" t="s">
        <v>3880</v>
      </c>
    </row>
    <row r="62" spans="1:27" x14ac:dyDescent="0.3">
      <c r="A62" s="380" t="s">
        <v>296</v>
      </c>
      <c r="B62" t="s">
        <v>297</v>
      </c>
      <c r="C62" s="377" t="s">
        <v>4092</v>
      </c>
      <c r="D62" s="380" t="str">
        <f t="shared" si="0"/>
        <v>NACE B - 05.1 Mining of hard coal</v>
      </c>
      <c r="E62" s="378" t="s">
        <v>298</v>
      </c>
      <c r="F62" t="s">
        <v>299</v>
      </c>
      <c r="G62" t="str">
        <f t="shared" si="1"/>
        <v>DJ</v>
      </c>
      <c r="I62" t="s">
        <v>2704</v>
      </c>
      <c r="K62" t="s">
        <v>2831</v>
      </c>
      <c r="S62">
        <v>2060</v>
      </c>
      <c r="Z62" t="s">
        <v>3223</v>
      </c>
      <c r="AA62" t="s">
        <v>3881</v>
      </c>
    </row>
    <row r="63" spans="1:27" x14ac:dyDescent="0.3">
      <c r="A63" s="381" t="s">
        <v>300</v>
      </c>
      <c r="B63" t="s">
        <v>301</v>
      </c>
      <c r="C63" s="380" t="s">
        <v>4093</v>
      </c>
      <c r="D63" s="381" t="str">
        <f t="shared" si="0"/>
        <v>NACE B - 05.10 Mining of hard coal</v>
      </c>
      <c r="E63" s="378" t="s">
        <v>302</v>
      </c>
      <c r="F63" t="s">
        <v>303</v>
      </c>
      <c r="G63" t="str">
        <f t="shared" si="1"/>
        <v>DK</v>
      </c>
      <c r="I63" t="s">
        <v>2703</v>
      </c>
      <c r="K63" t="s">
        <v>2832</v>
      </c>
      <c r="S63">
        <v>2061</v>
      </c>
      <c r="Z63" t="s">
        <v>3224</v>
      </c>
      <c r="AA63" t="s">
        <v>3882</v>
      </c>
    </row>
    <row r="64" spans="1:27" x14ac:dyDescent="0.3">
      <c r="A64" s="380" t="s">
        <v>304</v>
      </c>
      <c r="B64" t="s">
        <v>305</v>
      </c>
      <c r="C64" s="380" t="s">
        <v>4094</v>
      </c>
      <c r="D64" s="380" t="str">
        <f t="shared" si="0"/>
        <v>NACE B - 05.2 Mining of lignite</v>
      </c>
      <c r="E64" s="378" t="s">
        <v>306</v>
      </c>
      <c r="F64" t="s">
        <v>307</v>
      </c>
      <c r="G64" t="str">
        <f t="shared" si="1"/>
        <v>DM</v>
      </c>
      <c r="I64" t="s">
        <v>4440</v>
      </c>
      <c r="K64" t="s">
        <v>2833</v>
      </c>
      <c r="S64">
        <v>2062</v>
      </c>
      <c r="Z64" t="s">
        <v>3225</v>
      </c>
      <c r="AA64" t="s">
        <v>3883</v>
      </c>
    </row>
    <row r="65" spans="1:27" x14ac:dyDescent="0.3">
      <c r="A65" s="381" t="s">
        <v>308</v>
      </c>
      <c r="B65" t="s">
        <v>309</v>
      </c>
      <c r="C65" s="377" t="s">
        <v>4095</v>
      </c>
      <c r="D65" s="381" t="str">
        <f t="shared" si="0"/>
        <v>NACE B - 05.20 Mining of lignite</v>
      </c>
      <c r="E65" s="378" t="s">
        <v>310</v>
      </c>
      <c r="F65" t="s">
        <v>311</v>
      </c>
      <c r="G65" t="str">
        <f t="shared" si="1"/>
        <v>DO</v>
      </c>
      <c r="I65" t="s">
        <v>3798</v>
      </c>
      <c r="K65" t="s">
        <v>3184</v>
      </c>
      <c r="S65">
        <v>2063</v>
      </c>
      <c r="Z65" t="s">
        <v>3226</v>
      </c>
      <c r="AA65" t="s">
        <v>3884</v>
      </c>
    </row>
    <row r="66" spans="1:27" x14ac:dyDescent="0.3">
      <c r="A66" s="377" t="s">
        <v>312</v>
      </c>
      <c r="B66" t="s">
        <v>313</v>
      </c>
      <c r="C66" s="380" t="s">
        <v>4096</v>
      </c>
      <c r="D66" s="377" t="str">
        <f t="shared" ref="D66:D129" si="2">_xlfn.CONCAT("NACE ", A66)</f>
        <v>NACE B - 05 Extraction of crude petroleum and natural gas</v>
      </c>
      <c r="E66" s="378" t="s">
        <v>314</v>
      </c>
      <c r="F66" t="s">
        <v>315</v>
      </c>
      <c r="G66" t="str">
        <f t="shared" si="1"/>
        <v>DZ</v>
      </c>
      <c r="I66" t="s">
        <v>4441</v>
      </c>
      <c r="K66" t="s">
        <v>2834</v>
      </c>
      <c r="S66">
        <v>2064</v>
      </c>
      <c r="Z66" t="s">
        <v>3227</v>
      </c>
      <c r="AA66" t="s">
        <v>3885</v>
      </c>
    </row>
    <row r="67" spans="1:27" x14ac:dyDescent="0.3">
      <c r="A67" s="380" t="s">
        <v>316</v>
      </c>
      <c r="B67" t="s">
        <v>317</v>
      </c>
      <c r="C67" s="380" t="s">
        <v>4097</v>
      </c>
      <c r="D67" s="380" t="str">
        <f t="shared" si="2"/>
        <v>NACE B - 06.1 Extraction of crude petroleum</v>
      </c>
      <c r="E67" s="378" t="s">
        <v>318</v>
      </c>
      <c r="F67" t="s">
        <v>319</v>
      </c>
      <c r="G67" t="str">
        <f t="shared" ref="G67:G130" si="3">RIGHT(F67,2)</f>
        <v>EC</v>
      </c>
      <c r="I67" t="s">
        <v>2702</v>
      </c>
      <c r="K67" t="s">
        <v>2835</v>
      </c>
      <c r="S67">
        <v>2065</v>
      </c>
      <c r="Z67" t="s">
        <v>3228</v>
      </c>
      <c r="AA67" t="s">
        <v>3886</v>
      </c>
    </row>
    <row r="68" spans="1:27" x14ac:dyDescent="0.3">
      <c r="A68" s="381" t="s">
        <v>320</v>
      </c>
      <c r="B68" t="s">
        <v>321</v>
      </c>
      <c r="C68" s="377" t="s">
        <v>4098</v>
      </c>
      <c r="D68" s="381" t="str">
        <f t="shared" si="2"/>
        <v>NACE B - 06.10 Extraction of crude petroleum</v>
      </c>
      <c r="E68" s="378" t="s">
        <v>322</v>
      </c>
      <c r="F68" t="s">
        <v>323</v>
      </c>
      <c r="G68" t="str">
        <f t="shared" si="3"/>
        <v>EE</v>
      </c>
      <c r="I68" t="s">
        <v>2701</v>
      </c>
      <c r="K68" t="s">
        <v>2836</v>
      </c>
      <c r="S68">
        <v>2066</v>
      </c>
      <c r="Z68" t="s">
        <v>3229</v>
      </c>
      <c r="AA68" t="s">
        <v>3887</v>
      </c>
    </row>
    <row r="69" spans="1:27" x14ac:dyDescent="0.3">
      <c r="A69" s="380" t="s">
        <v>324</v>
      </c>
      <c r="B69" t="s">
        <v>325</v>
      </c>
      <c r="C69" s="380" t="s">
        <v>4099</v>
      </c>
      <c r="D69" s="380" t="str">
        <f t="shared" si="2"/>
        <v>NACE B - 06.2 Extraction of natural gas</v>
      </c>
      <c r="E69" s="378" t="s">
        <v>326</v>
      </c>
      <c r="F69" t="s">
        <v>327</v>
      </c>
      <c r="G69" t="str">
        <f t="shared" si="3"/>
        <v>EG</v>
      </c>
      <c r="I69" t="s">
        <v>2700</v>
      </c>
      <c r="K69" t="s">
        <v>2837</v>
      </c>
      <c r="S69">
        <v>2067</v>
      </c>
      <c r="Z69" t="s">
        <v>3230</v>
      </c>
      <c r="AA69" t="s">
        <v>3888</v>
      </c>
    </row>
    <row r="70" spans="1:27" x14ac:dyDescent="0.3">
      <c r="A70" s="381" t="s">
        <v>328</v>
      </c>
      <c r="B70" t="s">
        <v>329</v>
      </c>
      <c r="C70" s="380" t="s">
        <v>4100</v>
      </c>
      <c r="D70" s="381" t="str">
        <f t="shared" si="2"/>
        <v>NACE B - 06.20 Extraction of natural gas</v>
      </c>
      <c r="E70" s="378" t="s">
        <v>330</v>
      </c>
      <c r="F70" t="s">
        <v>331</v>
      </c>
      <c r="G70" t="str">
        <f t="shared" si="3"/>
        <v>EH</v>
      </c>
      <c r="I70" t="s">
        <v>2699</v>
      </c>
      <c r="K70" t="s">
        <v>2838</v>
      </c>
      <c r="S70">
        <v>2068</v>
      </c>
      <c r="Z70" t="s">
        <v>3231</v>
      </c>
      <c r="AA70" t="s">
        <v>3889</v>
      </c>
    </row>
    <row r="71" spans="1:27" x14ac:dyDescent="0.3">
      <c r="A71" s="377" t="s">
        <v>332</v>
      </c>
      <c r="B71" t="s">
        <v>333</v>
      </c>
      <c r="C71" s="377" t="s">
        <v>4101</v>
      </c>
      <c r="D71" s="377" t="str">
        <f t="shared" si="2"/>
        <v>NACE B - 06 Mining of metal ores</v>
      </c>
      <c r="E71" s="378" t="s">
        <v>334</v>
      </c>
      <c r="F71" t="s">
        <v>335</v>
      </c>
      <c r="G71" t="str">
        <f t="shared" si="3"/>
        <v>ER</v>
      </c>
      <c r="I71" t="s">
        <v>2698</v>
      </c>
      <c r="K71" t="s">
        <v>2839</v>
      </c>
      <c r="S71">
        <v>2069</v>
      </c>
      <c r="Z71" t="s">
        <v>3232</v>
      </c>
      <c r="AA71" t="s">
        <v>3890</v>
      </c>
    </row>
    <row r="72" spans="1:27" x14ac:dyDescent="0.3">
      <c r="A72" s="380" t="s">
        <v>336</v>
      </c>
      <c r="B72" t="s">
        <v>337</v>
      </c>
      <c r="C72" s="380" t="s">
        <v>4102</v>
      </c>
      <c r="D72" s="380" t="str">
        <f t="shared" si="2"/>
        <v>NACE B - 07.1 Mining of iron ores</v>
      </c>
      <c r="E72" s="378" t="s">
        <v>338</v>
      </c>
      <c r="F72" t="s">
        <v>339</v>
      </c>
      <c r="G72" t="str">
        <f t="shared" si="3"/>
        <v>ES</v>
      </c>
      <c r="I72" t="s">
        <v>4442</v>
      </c>
      <c r="K72" t="s">
        <v>2755</v>
      </c>
      <c r="S72">
        <v>2070</v>
      </c>
      <c r="Z72" t="s">
        <v>3233</v>
      </c>
      <c r="AA72" t="s">
        <v>3891</v>
      </c>
    </row>
    <row r="73" spans="1:27" x14ac:dyDescent="0.3">
      <c r="A73" s="381" t="s">
        <v>340</v>
      </c>
      <c r="B73" t="s">
        <v>341</v>
      </c>
      <c r="C73" s="380" t="s">
        <v>4103</v>
      </c>
      <c r="D73" s="381" t="str">
        <f t="shared" si="2"/>
        <v>NACE B - 07.10 Mining of iron ores</v>
      </c>
      <c r="E73" s="378" t="s">
        <v>342</v>
      </c>
      <c r="F73" t="s">
        <v>343</v>
      </c>
      <c r="G73" t="str">
        <f t="shared" si="3"/>
        <v>ET</v>
      </c>
      <c r="I73" t="s">
        <v>2697</v>
      </c>
      <c r="K73" t="s">
        <v>3185</v>
      </c>
      <c r="S73">
        <v>2071</v>
      </c>
      <c r="Z73" t="s">
        <v>3234</v>
      </c>
      <c r="AA73" t="s">
        <v>3892</v>
      </c>
    </row>
    <row r="74" spans="1:27" x14ac:dyDescent="0.3">
      <c r="A74" s="380" t="s">
        <v>344</v>
      </c>
      <c r="B74" t="s">
        <v>345</v>
      </c>
      <c r="C74" s="377" t="s">
        <v>4104</v>
      </c>
      <c r="D74" s="380" t="str">
        <f t="shared" si="2"/>
        <v>NACE B - 07.2 Mining of non-ferrous metal ores</v>
      </c>
      <c r="E74" s="378" t="s">
        <v>346</v>
      </c>
      <c r="F74" t="s">
        <v>347</v>
      </c>
      <c r="G74" t="str">
        <f t="shared" si="3"/>
        <v>FI</v>
      </c>
      <c r="I74" t="s">
        <v>2696</v>
      </c>
      <c r="K74" t="s">
        <v>3324</v>
      </c>
      <c r="S74">
        <v>2072</v>
      </c>
      <c r="Z74" t="s">
        <v>2763</v>
      </c>
      <c r="AA74" t="s">
        <v>3893</v>
      </c>
    </row>
    <row r="75" spans="1:27" x14ac:dyDescent="0.3">
      <c r="A75" s="381" t="s">
        <v>348</v>
      </c>
      <c r="B75" t="s">
        <v>349</v>
      </c>
      <c r="C75" s="380" t="s">
        <v>4105</v>
      </c>
      <c r="D75" s="381" t="str">
        <f t="shared" si="2"/>
        <v>NACE B - 07.21 Mining of uranium and thorium ores</v>
      </c>
      <c r="E75" s="378" t="s">
        <v>350</v>
      </c>
      <c r="F75" t="s">
        <v>351</v>
      </c>
      <c r="G75" t="str">
        <f t="shared" si="3"/>
        <v>FJ</v>
      </c>
      <c r="I75" t="s">
        <v>2695</v>
      </c>
      <c r="K75" t="s">
        <v>3325</v>
      </c>
      <c r="S75">
        <v>2073</v>
      </c>
      <c r="Z75" t="s">
        <v>3235</v>
      </c>
      <c r="AA75" t="s">
        <v>3894</v>
      </c>
    </row>
    <row r="76" spans="1:27" x14ac:dyDescent="0.3">
      <c r="A76" s="381" t="s">
        <v>352</v>
      </c>
      <c r="B76" t="s">
        <v>353</v>
      </c>
      <c r="C76" s="380" t="s">
        <v>4106</v>
      </c>
      <c r="D76" s="381" t="str">
        <f t="shared" si="2"/>
        <v>NACE B - 07.29 Mining of other non-ferrous metal ores</v>
      </c>
      <c r="E76" s="378" t="s">
        <v>354</v>
      </c>
      <c r="F76" t="s">
        <v>355</v>
      </c>
      <c r="G76" t="str">
        <f t="shared" si="3"/>
        <v>FK</v>
      </c>
      <c r="I76" t="s">
        <v>2694</v>
      </c>
      <c r="K76" t="s">
        <v>3326</v>
      </c>
      <c r="S76">
        <v>2074</v>
      </c>
      <c r="Z76" t="s">
        <v>3236</v>
      </c>
      <c r="AA76" t="s">
        <v>3895</v>
      </c>
    </row>
    <row r="77" spans="1:27" x14ac:dyDescent="0.3">
      <c r="A77" s="377" t="s">
        <v>356</v>
      </c>
      <c r="B77" t="s">
        <v>357</v>
      </c>
      <c r="C77" s="380" t="s">
        <v>4107</v>
      </c>
      <c r="D77" s="377" t="str">
        <f t="shared" si="2"/>
        <v>NACE B - 07 Other mining and quarrying</v>
      </c>
      <c r="E77" s="378" t="s">
        <v>358</v>
      </c>
      <c r="F77" t="s">
        <v>359</v>
      </c>
      <c r="G77" t="str">
        <f t="shared" si="3"/>
        <v>FM</v>
      </c>
      <c r="I77" t="s">
        <v>2693</v>
      </c>
      <c r="K77" t="s">
        <v>3327</v>
      </c>
      <c r="S77">
        <v>2075</v>
      </c>
      <c r="Z77" t="s">
        <v>3237</v>
      </c>
      <c r="AA77" t="s">
        <v>3896</v>
      </c>
    </row>
    <row r="78" spans="1:27" x14ac:dyDescent="0.3">
      <c r="A78" s="380" t="s">
        <v>360</v>
      </c>
      <c r="B78" t="s">
        <v>361</v>
      </c>
      <c r="C78" s="380" t="s">
        <v>4108</v>
      </c>
      <c r="D78" s="380" t="str">
        <f t="shared" si="2"/>
        <v>NACE B - 08.1 Quarrying of stone, sand and clay</v>
      </c>
      <c r="E78" s="378" t="s">
        <v>362</v>
      </c>
      <c r="F78" t="s">
        <v>363</v>
      </c>
      <c r="G78" t="str">
        <f t="shared" si="3"/>
        <v>FO</v>
      </c>
      <c r="I78" t="s">
        <v>2692</v>
      </c>
      <c r="K78" t="s">
        <v>3186</v>
      </c>
      <c r="S78">
        <v>2076</v>
      </c>
      <c r="Z78" t="s">
        <v>3238</v>
      </c>
      <c r="AA78" t="s">
        <v>3897</v>
      </c>
    </row>
    <row r="79" spans="1:27" x14ac:dyDescent="0.3">
      <c r="A79" s="381" t="s">
        <v>364</v>
      </c>
      <c r="B79" t="s">
        <v>365</v>
      </c>
      <c r="C79" s="380" t="s">
        <v>4109</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3898</v>
      </c>
    </row>
    <row r="80" spans="1:27" x14ac:dyDescent="0.3">
      <c r="A80" s="381" t="s">
        <v>368</v>
      </c>
      <c r="B80" t="s">
        <v>369</v>
      </c>
      <c r="C80" s="380" t="s">
        <v>4110</v>
      </c>
      <c r="D80" s="381" t="str">
        <f t="shared" si="2"/>
        <v>NACE B - 08.12 Operation of gravel and sand pits and mining of clay and kaolin</v>
      </c>
      <c r="E80" s="378" t="s">
        <v>370</v>
      </c>
      <c r="F80" t="s">
        <v>371</v>
      </c>
      <c r="G80" t="str">
        <f t="shared" si="3"/>
        <v>GA</v>
      </c>
      <c r="I80" t="s">
        <v>4450</v>
      </c>
      <c r="K80" t="s">
        <v>2841</v>
      </c>
      <c r="S80">
        <v>2078</v>
      </c>
      <c r="Z80" t="s">
        <v>3239</v>
      </c>
      <c r="AA80" t="s">
        <v>3899</v>
      </c>
    </row>
    <row r="81" spans="1:27" x14ac:dyDescent="0.3">
      <c r="A81" s="380" t="s">
        <v>372</v>
      </c>
      <c r="B81" t="s">
        <v>373</v>
      </c>
      <c r="C81" s="377" t="s">
        <v>4111</v>
      </c>
      <c r="D81" s="380" t="str">
        <f t="shared" si="2"/>
        <v>NACE B - 08.9 Mining and quarrying n.e.c.</v>
      </c>
      <c r="E81" s="378" t="s">
        <v>374</v>
      </c>
      <c r="F81" t="s">
        <v>375</v>
      </c>
      <c r="G81" t="str">
        <f t="shared" si="3"/>
        <v>GB</v>
      </c>
      <c r="I81" t="s">
        <v>2690</v>
      </c>
      <c r="K81" t="s">
        <v>2842</v>
      </c>
      <c r="S81">
        <v>2079</v>
      </c>
      <c r="Z81" t="s">
        <v>3240</v>
      </c>
      <c r="AA81" t="s">
        <v>3900</v>
      </c>
    </row>
    <row r="82" spans="1:27" x14ac:dyDescent="0.3">
      <c r="A82" s="381" t="s">
        <v>376</v>
      </c>
      <c r="B82" t="s">
        <v>377</v>
      </c>
      <c r="C82" s="380" t="s">
        <v>4112</v>
      </c>
      <c r="D82" s="381" t="str">
        <f t="shared" si="2"/>
        <v>NACE B - 08.91 Mining of chemical and fertiliser minerals</v>
      </c>
      <c r="E82" s="378" t="s">
        <v>378</v>
      </c>
      <c r="F82" t="s">
        <v>379</v>
      </c>
      <c r="G82" t="str">
        <f t="shared" si="3"/>
        <v>GD</v>
      </c>
      <c r="I82" t="s">
        <v>2689</v>
      </c>
      <c r="K82" t="s">
        <v>2843</v>
      </c>
      <c r="S82">
        <v>2080</v>
      </c>
      <c r="Z82" t="s">
        <v>3241</v>
      </c>
      <c r="AA82" t="s">
        <v>3901</v>
      </c>
    </row>
    <row r="83" spans="1:27" x14ac:dyDescent="0.3">
      <c r="A83" s="381" t="s">
        <v>380</v>
      </c>
      <c r="B83" t="s">
        <v>381</v>
      </c>
      <c r="C83" s="380" t="s">
        <v>4113</v>
      </c>
      <c r="D83" s="381" t="str">
        <f t="shared" si="2"/>
        <v>NACE B - 08.92 Extraction of peat</v>
      </c>
      <c r="E83" s="378" t="s">
        <v>382</v>
      </c>
      <c r="F83" t="s">
        <v>383</v>
      </c>
      <c r="G83" t="str">
        <f t="shared" si="3"/>
        <v>GE</v>
      </c>
      <c r="I83" t="s">
        <v>4443</v>
      </c>
      <c r="K83" t="s">
        <v>3187</v>
      </c>
      <c r="S83">
        <v>2081</v>
      </c>
      <c r="Z83" t="s">
        <v>2765</v>
      </c>
      <c r="AA83" t="s">
        <v>3902</v>
      </c>
    </row>
    <row r="84" spans="1:27" x14ac:dyDescent="0.3">
      <c r="A84" s="381" t="s">
        <v>384</v>
      </c>
      <c r="B84" t="s">
        <v>385</v>
      </c>
      <c r="C84" s="377" t="s">
        <v>4114</v>
      </c>
      <c r="D84" s="381" t="str">
        <f t="shared" si="2"/>
        <v>NACE B - 08.93 Extraction of salt</v>
      </c>
      <c r="E84" s="378" t="s">
        <v>386</v>
      </c>
      <c r="F84" t="s">
        <v>387</v>
      </c>
      <c r="G84" t="str">
        <f t="shared" si="3"/>
        <v>GF</v>
      </c>
      <c r="I84" t="s">
        <v>2688</v>
      </c>
      <c r="K84" t="s">
        <v>2844</v>
      </c>
      <c r="S84">
        <v>2082</v>
      </c>
      <c r="Z84" t="s">
        <v>3242</v>
      </c>
      <c r="AA84" t="s">
        <v>3903</v>
      </c>
    </row>
    <row r="85" spans="1:27" x14ac:dyDescent="0.3">
      <c r="A85" s="381" t="s">
        <v>388</v>
      </c>
      <c r="B85" t="s">
        <v>389</v>
      </c>
      <c r="C85" s="380" t="s">
        <v>4115</v>
      </c>
      <c r="D85" s="381" t="str">
        <f t="shared" si="2"/>
        <v>NACE B - 08.99 Other mining and quarrying n.e.c.</v>
      </c>
      <c r="E85" s="378" t="s">
        <v>390</v>
      </c>
      <c r="F85" t="s">
        <v>391</v>
      </c>
      <c r="G85" t="str">
        <f t="shared" si="3"/>
        <v>GG</v>
      </c>
      <c r="I85" t="s">
        <v>2687</v>
      </c>
      <c r="K85" t="s">
        <v>2845</v>
      </c>
      <c r="S85">
        <v>2083</v>
      </c>
      <c r="Z85" t="s">
        <v>3243</v>
      </c>
      <c r="AA85" t="s">
        <v>3904</v>
      </c>
    </row>
    <row r="86" spans="1:27" x14ac:dyDescent="0.3">
      <c r="A86" s="377" t="s">
        <v>392</v>
      </c>
      <c r="B86" t="s">
        <v>393</v>
      </c>
      <c r="C86" s="380" t="s">
        <v>4116</v>
      </c>
      <c r="D86" s="377" t="str">
        <f t="shared" si="2"/>
        <v>NACE B - 08 Mining support service activities</v>
      </c>
      <c r="E86" s="378" t="s">
        <v>394</v>
      </c>
      <c r="F86" t="s">
        <v>395</v>
      </c>
      <c r="G86" t="str">
        <f t="shared" si="3"/>
        <v>GH</v>
      </c>
      <c r="I86" t="s">
        <v>2686</v>
      </c>
      <c r="K86" t="s">
        <v>2846</v>
      </c>
      <c r="S86">
        <v>2084</v>
      </c>
      <c r="Z86" t="s">
        <v>3244</v>
      </c>
      <c r="AA86" t="s">
        <v>3905</v>
      </c>
    </row>
    <row r="87" spans="1:27" x14ac:dyDescent="0.3">
      <c r="A87" s="380" t="s">
        <v>396</v>
      </c>
      <c r="B87" t="s">
        <v>397</v>
      </c>
      <c r="C87" s="377" t="s">
        <v>4117</v>
      </c>
      <c r="D87" s="380" t="str">
        <f t="shared" si="2"/>
        <v>NACE B - 09.1 Support activities for petroleum and natural gas extraction</v>
      </c>
      <c r="E87" s="378" t="s">
        <v>398</v>
      </c>
      <c r="F87" t="s">
        <v>399</v>
      </c>
      <c r="G87" t="str">
        <f t="shared" si="3"/>
        <v>GI</v>
      </c>
      <c r="I87" t="s">
        <v>2685</v>
      </c>
      <c r="K87" t="s">
        <v>2847</v>
      </c>
      <c r="S87">
        <v>2085</v>
      </c>
      <c r="Z87" t="s">
        <v>3245</v>
      </c>
      <c r="AA87" t="s">
        <v>3906</v>
      </c>
    </row>
    <row r="88" spans="1:27" x14ac:dyDescent="0.3">
      <c r="A88" s="381" t="s">
        <v>400</v>
      </c>
      <c r="B88" t="s">
        <v>401</v>
      </c>
      <c r="C88" s="380" t="s">
        <v>4118</v>
      </c>
      <c r="D88" s="381" t="str">
        <f t="shared" si="2"/>
        <v>NACE B - 09.10 Support activities for petroleum and natural gas extraction</v>
      </c>
      <c r="E88" s="378" t="s">
        <v>402</v>
      </c>
      <c r="F88" t="s">
        <v>403</v>
      </c>
      <c r="G88" t="str">
        <f t="shared" si="3"/>
        <v>GL</v>
      </c>
      <c r="I88" t="s">
        <v>4451</v>
      </c>
      <c r="K88" t="s">
        <v>2848</v>
      </c>
      <c r="S88">
        <v>2086</v>
      </c>
      <c r="Z88" t="s">
        <v>3246</v>
      </c>
      <c r="AA88" t="s">
        <v>3907</v>
      </c>
    </row>
    <row r="89" spans="1:27" x14ac:dyDescent="0.3">
      <c r="A89" s="380" t="s">
        <v>404</v>
      </c>
      <c r="B89" t="s">
        <v>405</v>
      </c>
      <c r="C89" s="380" t="s">
        <v>4119</v>
      </c>
      <c r="D89" s="380" t="str">
        <f t="shared" si="2"/>
        <v>NACE B - 09.9 Support activities for other mining and quarrying</v>
      </c>
      <c r="E89" s="378" t="s">
        <v>406</v>
      </c>
      <c r="F89" t="s">
        <v>407</v>
      </c>
      <c r="G89" t="str">
        <f t="shared" si="3"/>
        <v>GM</v>
      </c>
      <c r="I89" t="s">
        <v>2684</v>
      </c>
      <c r="K89" t="s">
        <v>2849</v>
      </c>
      <c r="S89">
        <v>2087</v>
      </c>
      <c r="Z89" t="s">
        <v>3247</v>
      </c>
      <c r="AA89" t="s">
        <v>3908</v>
      </c>
    </row>
    <row r="90" spans="1:27" x14ac:dyDescent="0.3">
      <c r="A90" s="381" t="s">
        <v>408</v>
      </c>
      <c r="B90" t="s">
        <v>409</v>
      </c>
      <c r="C90" s="380" t="s">
        <v>4120</v>
      </c>
      <c r="D90" s="381" t="str">
        <f t="shared" si="2"/>
        <v>NACE B - 09.90 Support activities for other mining and quarrying</v>
      </c>
      <c r="E90" s="378" t="s">
        <v>410</v>
      </c>
      <c r="F90" t="s">
        <v>411</v>
      </c>
      <c r="G90" t="str">
        <f t="shared" si="3"/>
        <v>GN</v>
      </c>
      <c r="I90" t="s">
        <v>2683</v>
      </c>
      <c r="K90" t="s">
        <v>2850</v>
      </c>
      <c r="S90">
        <v>2088</v>
      </c>
      <c r="Z90" t="s">
        <v>3530</v>
      </c>
      <c r="AA90" t="s">
        <v>3909</v>
      </c>
    </row>
    <row r="91" spans="1:27" x14ac:dyDescent="0.3">
      <c r="A91" s="378" t="s">
        <v>412</v>
      </c>
      <c r="B91" t="s">
        <v>413</v>
      </c>
      <c r="C91" s="380" t="s">
        <v>4121</v>
      </c>
      <c r="D91" s="378" t="str">
        <f t="shared" si="2"/>
        <v>NACE C - MANUFACTURING</v>
      </c>
      <c r="E91" s="378" t="s">
        <v>414</v>
      </c>
      <c r="F91" t="s">
        <v>415</v>
      </c>
      <c r="G91" t="str">
        <f t="shared" si="3"/>
        <v>GP</v>
      </c>
      <c r="I91" t="s">
        <v>2682</v>
      </c>
      <c r="K91" t="s">
        <v>2851</v>
      </c>
      <c r="S91">
        <v>2089</v>
      </c>
      <c r="Z91" t="s">
        <v>3248</v>
      </c>
      <c r="AA91" t="s">
        <v>3910</v>
      </c>
    </row>
    <row r="92" spans="1:27" x14ac:dyDescent="0.3">
      <c r="A92" s="377" t="s">
        <v>416</v>
      </c>
      <c r="B92" t="s">
        <v>417</v>
      </c>
      <c r="C92" s="380" t="s">
        <v>4122</v>
      </c>
      <c r="D92" s="377" t="str">
        <f t="shared" si="2"/>
        <v>NACE C - 10 Manufacture of food products</v>
      </c>
      <c r="E92" s="378" t="s">
        <v>418</v>
      </c>
      <c r="F92" t="s">
        <v>419</v>
      </c>
      <c r="G92" t="str">
        <f t="shared" si="3"/>
        <v>GQ</v>
      </c>
      <c r="I92" t="s">
        <v>2681</v>
      </c>
      <c r="K92" t="s">
        <v>2756</v>
      </c>
      <c r="S92">
        <v>2090</v>
      </c>
      <c r="Z92" t="s">
        <v>3249</v>
      </c>
      <c r="AA92" t="s">
        <v>3911</v>
      </c>
    </row>
    <row r="93" spans="1:27" x14ac:dyDescent="0.3">
      <c r="A93" s="380" t="s">
        <v>420</v>
      </c>
      <c r="B93" t="s">
        <v>421</v>
      </c>
      <c r="C93" s="380" t="s">
        <v>4123</v>
      </c>
      <c r="D93" s="380" t="str">
        <f t="shared" si="2"/>
        <v>NACE C - 10.1 Processing and preserving of meat and production of meat products</v>
      </c>
      <c r="E93" s="378" t="s">
        <v>422</v>
      </c>
      <c r="F93" t="s">
        <v>423</v>
      </c>
      <c r="G93" t="str">
        <f t="shared" si="3"/>
        <v>GR</v>
      </c>
      <c r="I93" t="s">
        <v>2680</v>
      </c>
      <c r="K93" t="s">
        <v>3188</v>
      </c>
      <c r="S93">
        <v>2091</v>
      </c>
      <c r="Z93" t="s">
        <v>3250</v>
      </c>
      <c r="AA93" t="s">
        <v>3912</v>
      </c>
    </row>
    <row r="94" spans="1:27" x14ac:dyDescent="0.3">
      <c r="A94" s="381" t="s">
        <v>424</v>
      </c>
      <c r="B94" t="s">
        <v>425</v>
      </c>
      <c r="C94" s="380" t="s">
        <v>4124</v>
      </c>
      <c r="D94" s="381" t="str">
        <f t="shared" si="2"/>
        <v>NACE C - 10.11 Processing and preserving of meat, except of poultry meat</v>
      </c>
      <c r="E94" s="378" t="s">
        <v>426</v>
      </c>
      <c r="F94" t="s">
        <v>427</v>
      </c>
      <c r="G94" t="str">
        <f t="shared" si="3"/>
        <v>GS</v>
      </c>
      <c r="I94" t="s">
        <v>2679</v>
      </c>
      <c r="K94" t="s">
        <v>2852</v>
      </c>
      <c r="S94">
        <v>2092</v>
      </c>
      <c r="Z94" t="s">
        <v>3251</v>
      </c>
      <c r="AA94" t="s">
        <v>3913</v>
      </c>
    </row>
    <row r="95" spans="1:27" x14ac:dyDescent="0.3">
      <c r="A95" s="381" t="s">
        <v>428</v>
      </c>
      <c r="B95" t="s">
        <v>429</v>
      </c>
      <c r="C95" s="380" t="s">
        <v>4125</v>
      </c>
      <c r="D95" s="381" t="str">
        <f t="shared" si="2"/>
        <v>NACE C - 10.12 Processing and preserving of poultry meat</v>
      </c>
      <c r="E95" s="378" t="s">
        <v>430</v>
      </c>
      <c r="F95" t="s">
        <v>431</v>
      </c>
      <c r="G95" t="str">
        <f t="shared" si="3"/>
        <v>GT</v>
      </c>
      <c r="I95" t="s">
        <v>4444</v>
      </c>
      <c r="K95" t="s">
        <v>2853</v>
      </c>
      <c r="S95">
        <v>2093</v>
      </c>
      <c r="Z95" t="s">
        <v>3252</v>
      </c>
      <c r="AA95" t="s">
        <v>3914</v>
      </c>
    </row>
    <row r="96" spans="1:27" x14ac:dyDescent="0.3">
      <c r="A96" s="381" t="s">
        <v>432</v>
      </c>
      <c r="B96" t="s">
        <v>433</v>
      </c>
      <c r="C96" s="377" t="s">
        <v>4126</v>
      </c>
      <c r="D96" s="381" t="str">
        <f t="shared" si="2"/>
        <v>NACE C - 10.13 Production of meat and poultry meat products</v>
      </c>
      <c r="E96" s="378" t="s">
        <v>434</v>
      </c>
      <c r="F96" t="s">
        <v>435</v>
      </c>
      <c r="G96" t="str">
        <f t="shared" si="3"/>
        <v>GU</v>
      </c>
      <c r="K96" t="s">
        <v>3328</v>
      </c>
      <c r="S96">
        <v>2094</v>
      </c>
      <c r="Z96" t="s">
        <v>2766</v>
      </c>
      <c r="AA96" t="s">
        <v>3915</v>
      </c>
    </row>
    <row r="97" spans="1:27" x14ac:dyDescent="0.3">
      <c r="A97" s="380" t="s">
        <v>436</v>
      </c>
      <c r="B97" t="s">
        <v>437</v>
      </c>
      <c r="C97" s="380" t="s">
        <v>4127</v>
      </c>
      <c r="D97" s="380" t="str">
        <f t="shared" si="2"/>
        <v>NACE C - 10.2 Processing and preserving of fish, crustaceans and molluscs</v>
      </c>
      <c r="E97" s="378" t="s">
        <v>438</v>
      </c>
      <c r="F97" t="s">
        <v>439</v>
      </c>
      <c r="G97" t="str">
        <f t="shared" si="3"/>
        <v>GW</v>
      </c>
      <c r="K97" t="s">
        <v>2854</v>
      </c>
      <c r="S97">
        <v>2095</v>
      </c>
      <c r="Z97" t="s">
        <v>3253</v>
      </c>
      <c r="AA97" t="s">
        <v>3916</v>
      </c>
    </row>
    <row r="98" spans="1:27" x14ac:dyDescent="0.3">
      <c r="A98" s="381" t="s">
        <v>440</v>
      </c>
      <c r="B98" t="s">
        <v>441</v>
      </c>
      <c r="C98" s="380" t="s">
        <v>4128</v>
      </c>
      <c r="D98" s="381" t="str">
        <f t="shared" si="2"/>
        <v>NACE C - 10.20 Processing and preserving of fish, crustaceans and molluscs</v>
      </c>
      <c r="E98" s="378" t="s">
        <v>442</v>
      </c>
      <c r="F98" t="s">
        <v>443</v>
      </c>
      <c r="G98" t="str">
        <f t="shared" si="3"/>
        <v>GY</v>
      </c>
      <c r="K98" t="s">
        <v>2855</v>
      </c>
      <c r="S98">
        <v>2096</v>
      </c>
      <c r="Z98" t="s">
        <v>3254</v>
      </c>
      <c r="AA98" t="s">
        <v>3917</v>
      </c>
    </row>
    <row r="99" spans="1:27" x14ac:dyDescent="0.3">
      <c r="A99" s="380" t="s">
        <v>444</v>
      </c>
      <c r="B99" t="s">
        <v>445</v>
      </c>
      <c r="C99" s="380" t="s">
        <v>4129</v>
      </c>
      <c r="D99" s="380" t="str">
        <f t="shared" si="2"/>
        <v>NACE C - 10.3 Processing and preserving of fruit and vegetables</v>
      </c>
      <c r="E99" s="378" t="s">
        <v>446</v>
      </c>
      <c r="F99" t="s">
        <v>447</v>
      </c>
      <c r="G99" t="str">
        <f t="shared" si="3"/>
        <v>HK</v>
      </c>
      <c r="K99" t="s">
        <v>2856</v>
      </c>
      <c r="S99">
        <v>2097</v>
      </c>
      <c r="Z99" t="s">
        <v>2767</v>
      </c>
      <c r="AA99" t="s">
        <v>3918</v>
      </c>
    </row>
    <row r="100" spans="1:27" x14ac:dyDescent="0.3">
      <c r="A100" s="381" t="s">
        <v>448</v>
      </c>
      <c r="B100" t="s">
        <v>449</v>
      </c>
      <c r="C100" s="380" t="s">
        <v>4130</v>
      </c>
      <c r="D100" s="381" t="str">
        <f t="shared" si="2"/>
        <v>NACE C - 10.31 Processing and preserving of potatoes</v>
      </c>
      <c r="E100" s="378" t="s">
        <v>450</v>
      </c>
      <c r="F100" t="s">
        <v>451</v>
      </c>
      <c r="G100" t="str">
        <f t="shared" si="3"/>
        <v>HM</v>
      </c>
      <c r="K100" t="s">
        <v>2857</v>
      </c>
      <c r="S100">
        <v>2098</v>
      </c>
      <c r="Z100" t="s">
        <v>3255</v>
      </c>
      <c r="AA100" t="s">
        <v>3919</v>
      </c>
    </row>
    <row r="101" spans="1:27" x14ac:dyDescent="0.3">
      <c r="A101" s="381" t="s">
        <v>452</v>
      </c>
      <c r="B101" t="s">
        <v>453</v>
      </c>
      <c r="C101" s="380" t="s">
        <v>4131</v>
      </c>
      <c r="D101" s="381" t="str">
        <f t="shared" si="2"/>
        <v>NACE C - 10.32 Manufacture of fruit and vegetable juice</v>
      </c>
      <c r="E101" s="378" t="s">
        <v>454</v>
      </c>
      <c r="F101" t="s">
        <v>455</v>
      </c>
      <c r="G101" t="str">
        <f t="shared" si="3"/>
        <v>HN</v>
      </c>
      <c r="K101" t="s">
        <v>2858</v>
      </c>
      <c r="S101">
        <v>2099</v>
      </c>
      <c r="Z101" t="s">
        <v>3256</v>
      </c>
      <c r="AA101" t="s">
        <v>3920</v>
      </c>
    </row>
    <row r="102" spans="1:27" x14ac:dyDescent="0.3">
      <c r="A102" s="381" t="s">
        <v>456</v>
      </c>
      <c r="B102" t="s">
        <v>457</v>
      </c>
      <c r="C102" s="377" t="s">
        <v>4132</v>
      </c>
      <c r="D102" s="381" t="str">
        <f t="shared" si="2"/>
        <v>NACE C - 10.39 Other processing and preserving of fruit and vegetables</v>
      </c>
      <c r="E102" s="378" t="s">
        <v>458</v>
      </c>
      <c r="F102" t="s">
        <v>459</v>
      </c>
      <c r="G102" t="str">
        <f t="shared" si="3"/>
        <v>HR</v>
      </c>
      <c r="K102" t="s">
        <v>2859</v>
      </c>
      <c r="S102">
        <v>2100</v>
      </c>
      <c r="Z102" t="s">
        <v>3257</v>
      </c>
      <c r="AA102" t="s">
        <v>3921</v>
      </c>
    </row>
    <row r="103" spans="1:27" x14ac:dyDescent="0.3">
      <c r="A103" s="380" t="s">
        <v>460</v>
      </c>
      <c r="B103" t="s">
        <v>461</v>
      </c>
      <c r="C103" s="380" t="s">
        <v>4133</v>
      </c>
      <c r="D103" s="380" t="str">
        <f t="shared" si="2"/>
        <v>NACE C - 10.4 Manufacture of vegetable and animal oils and fats</v>
      </c>
      <c r="E103" s="378" t="s">
        <v>462</v>
      </c>
      <c r="F103" t="s">
        <v>463</v>
      </c>
      <c r="G103" t="str">
        <f t="shared" si="3"/>
        <v>HT</v>
      </c>
      <c r="K103" t="s">
        <v>2860</v>
      </c>
      <c r="Z103" t="s">
        <v>3258</v>
      </c>
      <c r="AA103" t="s">
        <v>3922</v>
      </c>
    </row>
    <row r="104" spans="1:27" x14ac:dyDescent="0.3">
      <c r="A104" s="381" t="s">
        <v>464</v>
      </c>
      <c r="B104" t="s">
        <v>465</v>
      </c>
      <c r="C104" s="380" t="s">
        <v>4134</v>
      </c>
      <c r="D104" s="381" t="str">
        <f t="shared" si="2"/>
        <v>NACE C - 10.41 Manufacture of oils and fats</v>
      </c>
      <c r="E104" s="378" t="s">
        <v>466</v>
      </c>
      <c r="F104" t="s">
        <v>467</v>
      </c>
      <c r="G104" t="str">
        <f t="shared" si="3"/>
        <v>HU</v>
      </c>
      <c r="K104" t="s">
        <v>3189</v>
      </c>
      <c r="Z104" t="s">
        <v>3259</v>
      </c>
      <c r="AA104" t="s">
        <v>3923</v>
      </c>
    </row>
    <row r="105" spans="1:27" x14ac:dyDescent="0.3">
      <c r="A105" s="381" t="s">
        <v>468</v>
      </c>
      <c r="B105" t="s">
        <v>469</v>
      </c>
      <c r="C105" s="380" t="s">
        <v>4135</v>
      </c>
      <c r="D105" s="381" t="str">
        <f t="shared" si="2"/>
        <v>NACE C - 10.42 Manufacture of margarine and similar edible fats</v>
      </c>
      <c r="E105" s="378" t="s">
        <v>470</v>
      </c>
      <c r="F105" t="s">
        <v>471</v>
      </c>
      <c r="G105" t="str">
        <f t="shared" si="3"/>
        <v>ID</v>
      </c>
      <c r="K105" t="s">
        <v>2861</v>
      </c>
      <c r="Z105" t="s">
        <v>3260</v>
      </c>
      <c r="AA105" t="s">
        <v>3924</v>
      </c>
    </row>
    <row r="106" spans="1:27" x14ac:dyDescent="0.3">
      <c r="A106" s="380" t="s">
        <v>472</v>
      </c>
      <c r="B106" t="s">
        <v>473</v>
      </c>
      <c r="C106" s="380" t="s">
        <v>4136</v>
      </c>
      <c r="D106" s="380" t="str">
        <f t="shared" si="2"/>
        <v>NACE C - 10.5 Manufacture of dairy products and edible ice</v>
      </c>
      <c r="E106" s="378" t="s">
        <v>474</v>
      </c>
      <c r="F106" t="s">
        <v>475</v>
      </c>
      <c r="G106" t="str">
        <f t="shared" si="3"/>
        <v>IE</v>
      </c>
      <c r="K106" t="s">
        <v>2862</v>
      </c>
      <c r="Z106" t="s">
        <v>3261</v>
      </c>
      <c r="AA106" t="s">
        <v>3925</v>
      </c>
    </row>
    <row r="107" spans="1:27" x14ac:dyDescent="0.3">
      <c r="A107" s="381" t="s">
        <v>476</v>
      </c>
      <c r="B107" t="s">
        <v>477</v>
      </c>
      <c r="C107" s="380" t="s">
        <v>4137</v>
      </c>
      <c r="D107" s="381" t="str">
        <f t="shared" si="2"/>
        <v>NACE C - 10.51 Manufacture of dairy products</v>
      </c>
      <c r="E107" s="378" t="s">
        <v>478</v>
      </c>
      <c r="F107" t="s">
        <v>479</v>
      </c>
      <c r="G107" t="str">
        <f t="shared" si="3"/>
        <v>IL</v>
      </c>
      <c r="K107" t="s">
        <v>2863</v>
      </c>
      <c r="Z107" t="s">
        <v>3262</v>
      </c>
      <c r="AA107" t="s">
        <v>3926</v>
      </c>
    </row>
    <row r="108" spans="1:27" x14ac:dyDescent="0.3">
      <c r="A108" s="381" t="s">
        <v>480</v>
      </c>
      <c r="B108" t="s">
        <v>481</v>
      </c>
      <c r="C108" s="380" t="s">
        <v>4138</v>
      </c>
      <c r="D108" s="381" t="str">
        <f t="shared" si="2"/>
        <v>NACE C - 10.52 Manufacture of ice cream and other edible ice</v>
      </c>
      <c r="E108" s="378" t="s">
        <v>482</v>
      </c>
      <c r="F108" t="s">
        <v>483</v>
      </c>
      <c r="G108" t="str">
        <f t="shared" si="3"/>
        <v>IM</v>
      </c>
      <c r="K108" t="s">
        <v>2864</v>
      </c>
      <c r="Z108" t="s">
        <v>2768</v>
      </c>
      <c r="AA108" t="s">
        <v>3927</v>
      </c>
    </row>
    <row r="109" spans="1:27" x14ac:dyDescent="0.3">
      <c r="A109" s="380" t="s">
        <v>484</v>
      </c>
      <c r="B109" t="s">
        <v>485</v>
      </c>
      <c r="C109" s="380" t="s">
        <v>4139</v>
      </c>
      <c r="D109" s="380" t="str">
        <f t="shared" si="2"/>
        <v>NACE C - 10.6 Manufacture of grain mill products, starches and starch products</v>
      </c>
      <c r="E109" s="378" t="s">
        <v>486</v>
      </c>
      <c r="F109" t="s">
        <v>487</v>
      </c>
      <c r="G109" t="str">
        <f t="shared" si="3"/>
        <v>IN</v>
      </c>
      <c r="K109" t="s">
        <v>2865</v>
      </c>
      <c r="Z109" t="s">
        <v>3263</v>
      </c>
      <c r="AA109" t="s">
        <v>3928</v>
      </c>
    </row>
    <row r="110" spans="1:27" x14ac:dyDescent="0.3">
      <c r="A110" s="381" t="s">
        <v>488</v>
      </c>
      <c r="B110" t="s">
        <v>489</v>
      </c>
      <c r="C110" s="377" t="s">
        <v>4140</v>
      </c>
      <c r="D110" s="381" t="str">
        <f t="shared" si="2"/>
        <v>NACE C - 10.61 Manufacture of grain mill products</v>
      </c>
      <c r="E110" s="378" t="s">
        <v>490</v>
      </c>
      <c r="F110" t="s">
        <v>491</v>
      </c>
      <c r="G110" t="str">
        <f t="shared" si="3"/>
        <v>IO</v>
      </c>
      <c r="K110" t="s">
        <v>2866</v>
      </c>
      <c r="Z110" t="s">
        <v>3264</v>
      </c>
      <c r="AA110" t="s">
        <v>3929</v>
      </c>
    </row>
    <row r="111" spans="1:27" x14ac:dyDescent="0.3">
      <c r="A111" s="381" t="s">
        <v>492</v>
      </c>
      <c r="B111" t="s">
        <v>493</v>
      </c>
      <c r="C111" s="380" t="s">
        <v>4141</v>
      </c>
      <c r="D111" s="381" t="str">
        <f t="shared" si="2"/>
        <v>NACE C - 10.62 Manufacture of starches and starch products</v>
      </c>
      <c r="E111" s="378" t="s">
        <v>494</v>
      </c>
      <c r="F111" t="s">
        <v>495</v>
      </c>
      <c r="G111" t="str">
        <f t="shared" si="3"/>
        <v>IQ</v>
      </c>
      <c r="K111" t="s">
        <v>2867</v>
      </c>
      <c r="Z111" t="s">
        <v>3265</v>
      </c>
      <c r="AA111" t="s">
        <v>3930</v>
      </c>
    </row>
    <row r="112" spans="1:27" x14ac:dyDescent="0.3">
      <c r="A112" s="380" t="s">
        <v>496</v>
      </c>
      <c r="B112" t="s">
        <v>497</v>
      </c>
      <c r="C112" s="380" t="s">
        <v>4142</v>
      </c>
      <c r="D112" s="380" t="str">
        <f t="shared" si="2"/>
        <v>NACE C - 10.7 Manufacture of bakery and farinaceous products</v>
      </c>
      <c r="E112" s="378" t="s">
        <v>498</v>
      </c>
      <c r="F112" t="s">
        <v>499</v>
      </c>
      <c r="G112" t="str">
        <f t="shared" si="3"/>
        <v>IR</v>
      </c>
      <c r="K112" t="s">
        <v>2868</v>
      </c>
      <c r="Z112" t="s">
        <v>3266</v>
      </c>
      <c r="AA112" t="s">
        <v>3931</v>
      </c>
    </row>
    <row r="113" spans="1:27" x14ac:dyDescent="0.3">
      <c r="A113" s="381" t="s">
        <v>500</v>
      </c>
      <c r="B113" t="s">
        <v>501</v>
      </c>
      <c r="C113" s="380" t="s">
        <v>4143</v>
      </c>
      <c r="D113" s="381" t="str">
        <f t="shared" si="2"/>
        <v>NACE C - 10.71 Manufacture of bread; manufacture of fresh pastry goods and cakes</v>
      </c>
      <c r="E113" s="378" t="s">
        <v>502</v>
      </c>
      <c r="F113" t="s">
        <v>503</v>
      </c>
      <c r="G113" t="str">
        <f t="shared" si="3"/>
        <v>IS</v>
      </c>
      <c r="K113" t="s">
        <v>2869</v>
      </c>
      <c r="Z113" t="s">
        <v>3267</v>
      </c>
      <c r="AA113" t="s">
        <v>3932</v>
      </c>
    </row>
    <row r="114" spans="1:27" x14ac:dyDescent="0.3">
      <c r="A114" s="381" t="s">
        <v>504</v>
      </c>
      <c r="B114" t="s">
        <v>505</v>
      </c>
      <c r="C114" s="380" t="s">
        <v>4144</v>
      </c>
      <c r="D114" s="381" t="str">
        <f t="shared" si="2"/>
        <v>NACE C - 10.72 Manufacture of rusks, biscuits, preserved pastries and cakes</v>
      </c>
      <c r="E114" s="378" t="s">
        <v>506</v>
      </c>
      <c r="F114" t="s">
        <v>507</v>
      </c>
      <c r="G114" t="str">
        <f t="shared" si="3"/>
        <v>IT</v>
      </c>
      <c r="K114" t="s">
        <v>2870</v>
      </c>
      <c r="Z114" t="s">
        <v>3268</v>
      </c>
      <c r="AA114" t="s">
        <v>3933</v>
      </c>
    </row>
    <row r="115" spans="1:27" x14ac:dyDescent="0.3">
      <c r="A115" s="381" t="s">
        <v>508</v>
      </c>
      <c r="B115" t="s">
        <v>509</v>
      </c>
      <c r="C115" s="380" t="s">
        <v>4145</v>
      </c>
      <c r="D115" s="381" t="str">
        <f t="shared" si="2"/>
        <v>NACE C - 10.73 Manufacture of farinaceous products</v>
      </c>
      <c r="E115" s="378" t="s">
        <v>510</v>
      </c>
      <c r="F115" t="s">
        <v>511</v>
      </c>
      <c r="G115" t="str">
        <f t="shared" si="3"/>
        <v>JE</v>
      </c>
      <c r="K115" t="s">
        <v>3329</v>
      </c>
      <c r="Z115" t="s">
        <v>3269</v>
      </c>
      <c r="AA115" t="s">
        <v>3934</v>
      </c>
    </row>
    <row r="116" spans="1:27" x14ac:dyDescent="0.3">
      <c r="A116" s="380" t="s">
        <v>512</v>
      </c>
      <c r="B116" t="s">
        <v>513</v>
      </c>
      <c r="C116" s="380" t="s">
        <v>4146</v>
      </c>
      <c r="D116" s="380" t="str">
        <f t="shared" si="2"/>
        <v>NACE C - 10.8 Manufacture of other food products</v>
      </c>
      <c r="E116" s="378" t="s">
        <v>514</v>
      </c>
      <c r="F116" t="s">
        <v>515</v>
      </c>
      <c r="G116" t="str">
        <f t="shared" si="3"/>
        <v>JM</v>
      </c>
      <c r="K116" t="s">
        <v>2871</v>
      </c>
      <c r="Z116" t="s">
        <v>2769</v>
      </c>
      <c r="AA116" t="s">
        <v>3935</v>
      </c>
    </row>
    <row r="117" spans="1:27" x14ac:dyDescent="0.3">
      <c r="A117" s="381" t="s">
        <v>516</v>
      </c>
      <c r="B117" t="s">
        <v>517</v>
      </c>
      <c r="C117" s="380" t="s">
        <v>4147</v>
      </c>
      <c r="D117" s="381" t="str">
        <f t="shared" si="2"/>
        <v>NACE C - 10.81 Manufacture of sugar</v>
      </c>
      <c r="E117" s="378" t="s">
        <v>518</v>
      </c>
      <c r="F117" t="s">
        <v>519</v>
      </c>
      <c r="G117" t="str">
        <f t="shared" si="3"/>
        <v>JO</v>
      </c>
      <c r="K117" t="s">
        <v>3330</v>
      </c>
      <c r="Z117" t="s">
        <v>3270</v>
      </c>
      <c r="AA117" t="s">
        <v>3936</v>
      </c>
    </row>
    <row r="118" spans="1:27" x14ac:dyDescent="0.3">
      <c r="A118" s="381" t="s">
        <v>520</v>
      </c>
      <c r="B118" t="s">
        <v>521</v>
      </c>
      <c r="C118" s="377" t="s">
        <v>4148</v>
      </c>
      <c r="D118" s="381" t="str">
        <f t="shared" si="2"/>
        <v>NACE C - 10.82 Manufacture of cocoa, chocolate and sugar confectionery</v>
      </c>
      <c r="E118" s="378" t="s">
        <v>522</v>
      </c>
      <c r="F118" t="s">
        <v>523</v>
      </c>
      <c r="G118" t="str">
        <f t="shared" si="3"/>
        <v>JP</v>
      </c>
      <c r="K118" t="s">
        <v>2872</v>
      </c>
      <c r="Z118" t="s">
        <v>3271</v>
      </c>
      <c r="AA118" t="s">
        <v>3937</v>
      </c>
    </row>
    <row r="119" spans="1:27" x14ac:dyDescent="0.3">
      <c r="A119" s="381" t="s">
        <v>524</v>
      </c>
      <c r="B119" t="s">
        <v>525</v>
      </c>
      <c r="C119" s="380" t="s">
        <v>4149</v>
      </c>
      <c r="D119" s="381" t="str">
        <f t="shared" si="2"/>
        <v>NACE C - 10.83 Processing of tea and coffee</v>
      </c>
      <c r="E119" s="378" t="s">
        <v>526</v>
      </c>
      <c r="F119" t="s">
        <v>527</v>
      </c>
      <c r="G119" t="str">
        <f t="shared" si="3"/>
        <v>KE</v>
      </c>
      <c r="K119" t="s">
        <v>3331</v>
      </c>
      <c r="Z119" t="s">
        <v>2770</v>
      </c>
      <c r="AA119" t="s">
        <v>3938</v>
      </c>
    </row>
    <row r="120" spans="1:27" x14ac:dyDescent="0.3">
      <c r="A120" s="381" t="s">
        <v>528</v>
      </c>
      <c r="B120" t="s">
        <v>529</v>
      </c>
      <c r="C120" s="380" t="s">
        <v>4150</v>
      </c>
      <c r="D120" s="381" t="str">
        <f t="shared" si="2"/>
        <v>NACE C - 10.84 Manufacture of condiments and seasonings</v>
      </c>
      <c r="E120" s="378" t="s">
        <v>530</v>
      </c>
      <c r="F120" t="s">
        <v>531</v>
      </c>
      <c r="G120" t="str">
        <f t="shared" si="3"/>
        <v>KG</v>
      </c>
      <c r="K120" t="s">
        <v>2873</v>
      </c>
      <c r="Z120" t="s">
        <v>3273</v>
      </c>
      <c r="AA120" t="s">
        <v>3939</v>
      </c>
    </row>
    <row r="121" spans="1:27" x14ac:dyDescent="0.3">
      <c r="A121" s="381" t="s">
        <v>532</v>
      </c>
      <c r="B121" t="s">
        <v>533</v>
      </c>
      <c r="C121" s="380" t="s">
        <v>4151</v>
      </c>
      <c r="D121" s="381" t="str">
        <f t="shared" si="2"/>
        <v>NACE C - 10.85 Manufacture of prepared meals and dishes</v>
      </c>
      <c r="E121" s="378" t="s">
        <v>534</v>
      </c>
      <c r="F121" t="s">
        <v>535</v>
      </c>
      <c r="G121" t="str">
        <f t="shared" si="3"/>
        <v>KH</v>
      </c>
      <c r="K121" t="s">
        <v>2874</v>
      </c>
      <c r="Z121" t="s">
        <v>3274</v>
      </c>
      <c r="AA121" t="s">
        <v>3940</v>
      </c>
    </row>
    <row r="122" spans="1:27" x14ac:dyDescent="0.3">
      <c r="A122" s="381" t="s">
        <v>536</v>
      </c>
      <c r="B122" t="s">
        <v>537</v>
      </c>
      <c r="C122" s="380" t="s">
        <v>4152</v>
      </c>
      <c r="D122" s="381" t="str">
        <f t="shared" si="2"/>
        <v>NACE C - 10.86 Manufacture of homogenised food preparations and dietetic food</v>
      </c>
      <c r="E122" s="378" t="s">
        <v>538</v>
      </c>
      <c r="F122" t="s">
        <v>539</v>
      </c>
      <c r="G122" t="str">
        <f t="shared" si="3"/>
        <v>KI</v>
      </c>
      <c r="K122" t="s">
        <v>2757</v>
      </c>
      <c r="Z122" t="s">
        <v>3275</v>
      </c>
      <c r="AA122" t="s">
        <v>3941</v>
      </c>
    </row>
    <row r="123" spans="1:27" x14ac:dyDescent="0.3">
      <c r="A123" s="381" t="s">
        <v>540</v>
      </c>
      <c r="B123" t="s">
        <v>541</v>
      </c>
      <c r="C123" s="380" t="s">
        <v>4153</v>
      </c>
      <c r="D123" s="381" t="str">
        <f t="shared" si="2"/>
        <v>NACE C - 10.89 Manufacture of other food products n.e.c.</v>
      </c>
      <c r="E123" s="378" t="s">
        <v>542</v>
      </c>
      <c r="F123" t="s">
        <v>543</v>
      </c>
      <c r="G123" t="str">
        <f t="shared" si="3"/>
        <v>KM</v>
      </c>
      <c r="K123" t="s">
        <v>3190</v>
      </c>
      <c r="Z123" t="s">
        <v>3276</v>
      </c>
      <c r="AA123" t="s">
        <v>3942</v>
      </c>
    </row>
    <row r="124" spans="1:27" x14ac:dyDescent="0.3">
      <c r="A124" s="380" t="s">
        <v>544</v>
      </c>
      <c r="B124" t="s">
        <v>545</v>
      </c>
      <c r="C124" s="380" t="s">
        <v>4154</v>
      </c>
      <c r="D124" s="380" t="str">
        <f t="shared" si="2"/>
        <v>NACE C - 10.9 Manufacture of prepared animal feeds</v>
      </c>
      <c r="E124" s="378" t="s">
        <v>546</v>
      </c>
      <c r="F124" t="s">
        <v>547</v>
      </c>
      <c r="G124" t="str">
        <f t="shared" si="3"/>
        <v>KN</v>
      </c>
      <c r="K124" t="s">
        <v>2875</v>
      </c>
      <c r="Z124" t="s">
        <v>3277</v>
      </c>
      <c r="AA124" t="s">
        <v>3943</v>
      </c>
    </row>
    <row r="125" spans="1:27" x14ac:dyDescent="0.3">
      <c r="A125" s="381" t="s">
        <v>548</v>
      </c>
      <c r="B125" t="s">
        <v>549</v>
      </c>
      <c r="C125" s="377" t="s">
        <v>4155</v>
      </c>
      <c r="D125" s="381" t="str">
        <f t="shared" si="2"/>
        <v>NACE C - 10.91 Manufacture of prepared feeds for farm animals</v>
      </c>
      <c r="E125" s="378" t="s">
        <v>550</v>
      </c>
      <c r="F125" t="s">
        <v>551</v>
      </c>
      <c r="G125" t="str">
        <f t="shared" si="3"/>
        <v>KP</v>
      </c>
      <c r="K125" t="s">
        <v>3332</v>
      </c>
      <c r="Z125" t="s">
        <v>3278</v>
      </c>
      <c r="AA125" t="s">
        <v>3944</v>
      </c>
    </row>
    <row r="126" spans="1:27" x14ac:dyDescent="0.3">
      <c r="A126" s="381" t="s">
        <v>552</v>
      </c>
      <c r="B126" t="s">
        <v>553</v>
      </c>
      <c r="C126" s="380" t="s">
        <v>4156</v>
      </c>
      <c r="D126" s="381" t="str">
        <f t="shared" si="2"/>
        <v>NACE C - 10.92 Manufacture of prepared pet foods</v>
      </c>
      <c r="E126" s="378" t="s">
        <v>554</v>
      </c>
      <c r="F126" t="s">
        <v>555</v>
      </c>
      <c r="G126" t="str">
        <f t="shared" si="3"/>
        <v>KR</v>
      </c>
      <c r="K126" t="s">
        <v>3333</v>
      </c>
      <c r="Z126" t="s">
        <v>3279</v>
      </c>
      <c r="AA126" t="s">
        <v>3945</v>
      </c>
    </row>
    <row r="127" spans="1:27" x14ac:dyDescent="0.3">
      <c r="A127" s="377" t="s">
        <v>556</v>
      </c>
      <c r="B127" t="s">
        <v>557</v>
      </c>
      <c r="C127" s="380" t="s">
        <v>4157</v>
      </c>
      <c r="D127" s="377" t="str">
        <f t="shared" si="2"/>
        <v>NACE C - 11 Manufacture of beverages</v>
      </c>
      <c r="E127" s="378" t="s">
        <v>558</v>
      </c>
      <c r="F127" t="s">
        <v>559</v>
      </c>
      <c r="G127" t="str">
        <f t="shared" si="3"/>
        <v>KW</v>
      </c>
      <c r="K127" t="s">
        <v>3334</v>
      </c>
      <c r="Z127" t="s">
        <v>3280</v>
      </c>
      <c r="AA127" t="s">
        <v>3946</v>
      </c>
    </row>
    <row r="128" spans="1:27" x14ac:dyDescent="0.3">
      <c r="A128" s="380" t="s">
        <v>560</v>
      </c>
      <c r="B128" t="s">
        <v>561</v>
      </c>
      <c r="C128" s="380" t="s">
        <v>4158</v>
      </c>
      <c r="D128" s="380" t="str">
        <f t="shared" si="2"/>
        <v>NACE C - 11.0 Manufacture of beverages</v>
      </c>
      <c r="E128" s="378" t="s">
        <v>562</v>
      </c>
      <c r="F128" t="s">
        <v>563</v>
      </c>
      <c r="G128" t="str">
        <f t="shared" si="3"/>
        <v>KY</v>
      </c>
      <c r="K128" t="s">
        <v>2876</v>
      </c>
      <c r="Z128" t="s">
        <v>3281</v>
      </c>
      <c r="AA128" t="s">
        <v>3947</v>
      </c>
    </row>
    <row r="129" spans="1:27" x14ac:dyDescent="0.3">
      <c r="A129" s="381" t="s">
        <v>564</v>
      </c>
      <c r="B129" t="s">
        <v>565</v>
      </c>
      <c r="C129" s="380" t="s">
        <v>4159</v>
      </c>
      <c r="D129" s="381" t="str">
        <f t="shared" si="2"/>
        <v>NACE C - 11.01 Distilling, rectifying and blending of spirits</v>
      </c>
      <c r="E129" s="378" t="s">
        <v>566</v>
      </c>
      <c r="F129" t="s">
        <v>567</v>
      </c>
      <c r="G129" t="str">
        <f t="shared" si="3"/>
        <v>KZ</v>
      </c>
      <c r="K129" t="s">
        <v>3335</v>
      </c>
      <c r="Z129" t="s">
        <v>3282</v>
      </c>
      <c r="AA129" t="s">
        <v>3948</v>
      </c>
    </row>
    <row r="130" spans="1:27" x14ac:dyDescent="0.3">
      <c r="A130" s="381" t="s">
        <v>568</v>
      </c>
      <c r="B130" t="s">
        <v>569</v>
      </c>
      <c r="C130" s="380" t="s">
        <v>4160</v>
      </c>
      <c r="D130" s="381" t="str">
        <f t="shared" ref="D130:D193" si="4">_xlfn.CONCAT("NACE ", A130)</f>
        <v>NACE C - 11.02 Manufacture of wine from grape</v>
      </c>
      <c r="E130" s="378" t="s">
        <v>570</v>
      </c>
      <c r="F130" t="s">
        <v>571</v>
      </c>
      <c r="G130" t="str">
        <f t="shared" si="3"/>
        <v>LA</v>
      </c>
      <c r="K130" t="s">
        <v>3336</v>
      </c>
      <c r="Z130" t="s">
        <v>2771</v>
      </c>
      <c r="AA130" t="s">
        <v>3949</v>
      </c>
    </row>
    <row r="131" spans="1:27" x14ac:dyDescent="0.3">
      <c r="A131" s="381" t="s">
        <v>572</v>
      </c>
      <c r="B131" t="s">
        <v>573</v>
      </c>
      <c r="C131" s="377" t="s">
        <v>4161</v>
      </c>
      <c r="D131" s="381" t="str">
        <f t="shared" si="4"/>
        <v>NACE C - 11.03 Manufacture of cider and other fermented fruit beverages</v>
      </c>
      <c r="E131" s="378" t="s">
        <v>574</v>
      </c>
      <c r="F131" t="s">
        <v>575</v>
      </c>
      <c r="G131" t="str">
        <f t="shared" ref="G131:G194" si="5">RIGHT(F131,2)</f>
        <v>LB</v>
      </c>
      <c r="K131" t="s">
        <v>3337</v>
      </c>
      <c r="Z131" t="s">
        <v>3283</v>
      </c>
      <c r="AA131" t="s">
        <v>3950</v>
      </c>
    </row>
    <row r="132" spans="1:27" x14ac:dyDescent="0.3">
      <c r="A132" s="381" t="s">
        <v>576</v>
      </c>
      <c r="B132" t="s">
        <v>577</v>
      </c>
      <c r="C132" s="380" t="s">
        <v>4162</v>
      </c>
      <c r="D132" s="381" t="str">
        <f t="shared" si="4"/>
        <v>NACE C - 11.04 Manufacture of other non-distilled fermented beverages</v>
      </c>
      <c r="E132" s="378" t="s">
        <v>578</v>
      </c>
      <c r="F132" t="s">
        <v>579</v>
      </c>
      <c r="G132" t="str">
        <f t="shared" si="5"/>
        <v>LC</v>
      </c>
      <c r="K132" t="s">
        <v>2877</v>
      </c>
      <c r="Z132" t="s">
        <v>3284</v>
      </c>
      <c r="AA132" t="s">
        <v>3951</v>
      </c>
    </row>
    <row r="133" spans="1:27" x14ac:dyDescent="0.3">
      <c r="A133" s="381" t="s">
        <v>580</v>
      </c>
      <c r="B133" t="s">
        <v>581</v>
      </c>
      <c r="C133" s="380" t="s">
        <v>4163</v>
      </c>
      <c r="D133" s="381" t="str">
        <f t="shared" si="4"/>
        <v>NACE C - 11.05 Manufacture of beer</v>
      </c>
      <c r="E133" s="378" t="s">
        <v>582</v>
      </c>
      <c r="F133" t="s">
        <v>583</v>
      </c>
      <c r="G133" t="str">
        <f t="shared" si="5"/>
        <v>LI</v>
      </c>
      <c r="K133" t="s">
        <v>2878</v>
      </c>
      <c r="Z133" t="s">
        <v>3285</v>
      </c>
      <c r="AA133" t="s">
        <v>3952</v>
      </c>
    </row>
    <row r="134" spans="1:27" x14ac:dyDescent="0.3">
      <c r="A134" s="381" t="s">
        <v>584</v>
      </c>
      <c r="B134" t="s">
        <v>585</v>
      </c>
      <c r="C134" s="380" t="s">
        <v>4164</v>
      </c>
      <c r="D134" s="381" t="str">
        <f t="shared" si="4"/>
        <v>NACE C - 11.06 Manufacture of malt</v>
      </c>
      <c r="E134" s="378" t="s">
        <v>586</v>
      </c>
      <c r="F134" t="s">
        <v>587</v>
      </c>
      <c r="G134" t="str">
        <f t="shared" si="5"/>
        <v>LK</v>
      </c>
      <c r="K134" t="s">
        <v>3191</v>
      </c>
      <c r="AA134" t="s">
        <v>3953</v>
      </c>
    </row>
    <row r="135" spans="1:27" x14ac:dyDescent="0.3">
      <c r="A135" s="381" t="s">
        <v>588</v>
      </c>
      <c r="B135" t="s">
        <v>589</v>
      </c>
      <c r="C135" s="377" t="s">
        <v>4165</v>
      </c>
      <c r="D135" s="381" t="str">
        <f t="shared" si="4"/>
        <v>NACE C - 11.07 Manufacture of soft drinks and bottled waters</v>
      </c>
      <c r="E135" s="378" t="s">
        <v>590</v>
      </c>
      <c r="F135" t="s">
        <v>591</v>
      </c>
      <c r="G135" t="str">
        <f t="shared" si="5"/>
        <v>LR</v>
      </c>
      <c r="K135" t="s">
        <v>2879</v>
      </c>
      <c r="AA135" t="s">
        <v>3954</v>
      </c>
    </row>
    <row r="136" spans="1:27" x14ac:dyDescent="0.3">
      <c r="A136" s="377" t="s">
        <v>592</v>
      </c>
      <c r="B136" t="s">
        <v>593</v>
      </c>
      <c r="C136" s="380" t="s">
        <v>4166</v>
      </c>
      <c r="D136" s="377" t="str">
        <f t="shared" si="4"/>
        <v>NACE C - 12 Manufacture of tobacco products</v>
      </c>
      <c r="E136" s="378" t="s">
        <v>594</v>
      </c>
      <c r="F136" t="s">
        <v>595</v>
      </c>
      <c r="G136" t="str">
        <f t="shared" si="5"/>
        <v>LS</v>
      </c>
      <c r="K136" t="s">
        <v>2880</v>
      </c>
      <c r="AA136" t="s">
        <v>3955</v>
      </c>
    </row>
    <row r="137" spans="1:27" x14ac:dyDescent="0.3">
      <c r="A137" s="380" t="s">
        <v>596</v>
      </c>
      <c r="B137" t="s">
        <v>597</v>
      </c>
      <c r="C137" s="380" t="s">
        <v>4167</v>
      </c>
      <c r="D137" s="380" t="str">
        <f t="shared" si="4"/>
        <v>NACE C - 12.0 Manufacture of tobacco products</v>
      </c>
      <c r="E137" s="378" t="s">
        <v>598</v>
      </c>
      <c r="F137" t="s">
        <v>599</v>
      </c>
      <c r="G137" t="str">
        <f t="shared" si="5"/>
        <v>LT</v>
      </c>
      <c r="K137" t="s">
        <v>2881</v>
      </c>
      <c r="AA137" t="s">
        <v>3956</v>
      </c>
    </row>
    <row r="138" spans="1:27" x14ac:dyDescent="0.3">
      <c r="A138" s="381" t="s">
        <v>600</v>
      </c>
      <c r="B138" t="s">
        <v>601</v>
      </c>
      <c r="C138" s="380" t="s">
        <v>4168</v>
      </c>
      <c r="D138" s="381" t="str">
        <f t="shared" si="4"/>
        <v>NACE C - 12.00 Manufacture of tobacco products</v>
      </c>
      <c r="E138" s="378" t="s">
        <v>602</v>
      </c>
      <c r="F138" t="s">
        <v>603</v>
      </c>
      <c r="G138" t="str">
        <f t="shared" si="5"/>
        <v>LU</v>
      </c>
      <c r="K138" t="s">
        <v>3192</v>
      </c>
      <c r="AA138" t="s">
        <v>3957</v>
      </c>
    </row>
    <row r="139" spans="1:27" x14ac:dyDescent="0.3">
      <c r="A139" s="377" t="s">
        <v>604</v>
      </c>
      <c r="B139" t="s">
        <v>605</v>
      </c>
      <c r="C139" s="380" t="s">
        <v>4169</v>
      </c>
      <c r="D139" s="377" t="str">
        <f t="shared" si="4"/>
        <v>NACE C - 13 Manufacture of textiles</v>
      </c>
      <c r="E139" s="378" t="s">
        <v>606</v>
      </c>
      <c r="F139" t="s">
        <v>607</v>
      </c>
      <c r="G139" t="str">
        <f t="shared" si="5"/>
        <v>LV</v>
      </c>
      <c r="K139" t="s">
        <v>3338</v>
      </c>
      <c r="AA139" t="s">
        <v>3958</v>
      </c>
    </row>
    <row r="140" spans="1:27" x14ac:dyDescent="0.3">
      <c r="A140" s="380" t="s">
        <v>608</v>
      </c>
      <c r="B140" t="s">
        <v>609</v>
      </c>
      <c r="C140" s="380" t="s">
        <v>4170</v>
      </c>
      <c r="D140" s="380" t="str">
        <f t="shared" si="4"/>
        <v>NACE C - 13.1 Preparation and spinning of textile fibres</v>
      </c>
      <c r="E140" s="378" t="s">
        <v>610</v>
      </c>
      <c r="F140" t="s">
        <v>611</v>
      </c>
      <c r="G140" t="str">
        <f t="shared" si="5"/>
        <v>LY</v>
      </c>
      <c r="K140" t="s">
        <v>3193</v>
      </c>
      <c r="AA140" t="s">
        <v>3959</v>
      </c>
    </row>
    <row r="141" spans="1:27" x14ac:dyDescent="0.3">
      <c r="A141" s="381" t="s">
        <v>612</v>
      </c>
      <c r="B141" t="s">
        <v>613</v>
      </c>
      <c r="C141" s="377" t="s">
        <v>4171</v>
      </c>
      <c r="D141" s="381" t="str">
        <f t="shared" si="4"/>
        <v>NACE C - 13.10 Preparation and spinning of textile fibres</v>
      </c>
      <c r="E141" s="378" t="s">
        <v>614</v>
      </c>
      <c r="F141" t="s">
        <v>615</v>
      </c>
      <c r="G141" t="str">
        <f t="shared" si="5"/>
        <v>MA</v>
      </c>
      <c r="K141" t="s">
        <v>2882</v>
      </c>
      <c r="AA141" t="s">
        <v>3960</v>
      </c>
    </row>
    <row r="142" spans="1:27" x14ac:dyDescent="0.3">
      <c r="A142" s="380" t="s">
        <v>616</v>
      </c>
      <c r="B142" t="s">
        <v>617</v>
      </c>
      <c r="C142" s="380" t="s">
        <v>4172</v>
      </c>
      <c r="D142" s="380" t="str">
        <f t="shared" si="4"/>
        <v>NACE C - 13.2 Weaving of textiles</v>
      </c>
      <c r="E142" s="378" t="s">
        <v>618</v>
      </c>
      <c r="F142" t="s">
        <v>619</v>
      </c>
      <c r="G142" t="str">
        <f t="shared" si="5"/>
        <v>MC</v>
      </c>
      <c r="K142" t="s">
        <v>2883</v>
      </c>
      <c r="AA142" t="s">
        <v>3961</v>
      </c>
    </row>
    <row r="143" spans="1:27" x14ac:dyDescent="0.3">
      <c r="A143" s="381" t="s">
        <v>620</v>
      </c>
      <c r="B143" t="s">
        <v>621</v>
      </c>
      <c r="C143" s="377" t="s">
        <v>4173</v>
      </c>
      <c r="D143" s="381" t="str">
        <f t="shared" si="4"/>
        <v>NACE C - 13.20 Weaving of textiles</v>
      </c>
      <c r="E143" s="378" t="s">
        <v>622</v>
      </c>
      <c r="F143" t="s">
        <v>623</v>
      </c>
      <c r="G143" t="str">
        <f t="shared" si="5"/>
        <v>MD</v>
      </c>
      <c r="K143" t="s">
        <v>3194</v>
      </c>
      <c r="AA143" t="s">
        <v>3962</v>
      </c>
    </row>
    <row r="144" spans="1:27" x14ac:dyDescent="0.3">
      <c r="A144" s="380" t="s">
        <v>624</v>
      </c>
      <c r="B144" t="s">
        <v>625</v>
      </c>
      <c r="C144" s="380" t="s">
        <v>4174</v>
      </c>
      <c r="D144" s="380" t="str">
        <f t="shared" si="4"/>
        <v>NACE C - 13.3 Finishing of textiles</v>
      </c>
      <c r="E144" s="378" t="s">
        <v>626</v>
      </c>
      <c r="F144" t="s">
        <v>627</v>
      </c>
      <c r="G144" t="str">
        <f t="shared" si="5"/>
        <v>ME</v>
      </c>
      <c r="K144" t="s">
        <v>3339</v>
      </c>
      <c r="AA144" t="s">
        <v>3963</v>
      </c>
    </row>
    <row r="145" spans="1:27" x14ac:dyDescent="0.3">
      <c r="A145" s="381" t="s">
        <v>628</v>
      </c>
      <c r="B145" t="s">
        <v>629</v>
      </c>
      <c r="C145" s="380" t="s">
        <v>4175</v>
      </c>
      <c r="D145" s="381" t="str">
        <f t="shared" si="4"/>
        <v>NACE C - 13.30 Finishing of textiles</v>
      </c>
      <c r="E145" s="378" t="s">
        <v>630</v>
      </c>
      <c r="F145" t="s">
        <v>631</v>
      </c>
      <c r="G145" t="str">
        <f t="shared" si="5"/>
        <v>MF</v>
      </c>
      <c r="K145" t="s">
        <v>2884</v>
      </c>
      <c r="AA145" t="s">
        <v>3964</v>
      </c>
    </row>
    <row r="146" spans="1:27" x14ac:dyDescent="0.3">
      <c r="A146" s="380" t="s">
        <v>632</v>
      </c>
      <c r="B146" t="s">
        <v>633</v>
      </c>
      <c r="C146" s="380" t="s">
        <v>4176</v>
      </c>
      <c r="D146" s="380" t="str">
        <f t="shared" si="4"/>
        <v>NACE C - 13.9 Manufacture of other textiles</v>
      </c>
      <c r="E146" s="378" t="s">
        <v>634</v>
      </c>
      <c r="F146" t="s">
        <v>635</v>
      </c>
      <c r="G146" t="str">
        <f t="shared" si="5"/>
        <v>MG</v>
      </c>
      <c r="K146" t="s">
        <v>3340</v>
      </c>
      <c r="AA146" t="s">
        <v>3965</v>
      </c>
    </row>
    <row r="147" spans="1:27" x14ac:dyDescent="0.3">
      <c r="A147" s="381" t="s">
        <v>636</v>
      </c>
      <c r="B147" t="s">
        <v>637</v>
      </c>
      <c r="C147" s="380" t="s">
        <v>4177</v>
      </c>
      <c r="D147" s="381" t="str">
        <f t="shared" si="4"/>
        <v>NACE C - 13.91 Manufacture of knitted and crocheted fabrics</v>
      </c>
      <c r="E147" s="378" t="s">
        <v>638</v>
      </c>
      <c r="F147" t="s">
        <v>639</v>
      </c>
      <c r="G147" t="str">
        <f t="shared" si="5"/>
        <v>MH</v>
      </c>
      <c r="K147" t="s">
        <v>2885</v>
      </c>
      <c r="AA147" t="s">
        <v>3966</v>
      </c>
    </row>
    <row r="148" spans="1:27" x14ac:dyDescent="0.3">
      <c r="A148" s="381" t="s">
        <v>640</v>
      </c>
      <c r="B148" t="s">
        <v>641</v>
      </c>
      <c r="C148" s="380" t="s">
        <v>4178</v>
      </c>
      <c r="D148" s="381" t="str">
        <f t="shared" si="4"/>
        <v>NACE C - 13.92 Manufacture of household textiles and made-up furnishing articles</v>
      </c>
      <c r="E148" s="378" t="s">
        <v>642</v>
      </c>
      <c r="F148" t="s">
        <v>643</v>
      </c>
      <c r="G148" t="str">
        <f t="shared" si="5"/>
        <v>MK</v>
      </c>
      <c r="K148" t="s">
        <v>2886</v>
      </c>
      <c r="AA148" t="s">
        <v>3967</v>
      </c>
    </row>
    <row r="149" spans="1:27" x14ac:dyDescent="0.3">
      <c r="A149" s="381" t="s">
        <v>644</v>
      </c>
      <c r="B149" t="s">
        <v>645</v>
      </c>
      <c r="C149" s="380" t="s">
        <v>4179</v>
      </c>
      <c r="D149" s="381" t="str">
        <f t="shared" si="4"/>
        <v>NACE C - 13.93 Manufacture of carpets and rugs</v>
      </c>
      <c r="E149" s="378" t="s">
        <v>646</v>
      </c>
      <c r="F149" t="s">
        <v>647</v>
      </c>
      <c r="G149" t="str">
        <f t="shared" si="5"/>
        <v>ML</v>
      </c>
      <c r="K149" t="s">
        <v>3195</v>
      </c>
      <c r="AA149" t="s">
        <v>3968</v>
      </c>
    </row>
    <row r="150" spans="1:27" x14ac:dyDescent="0.3">
      <c r="A150" s="381" t="s">
        <v>648</v>
      </c>
      <c r="B150" t="s">
        <v>649</v>
      </c>
      <c r="C150" s="377" t="s">
        <v>4180</v>
      </c>
      <c r="D150" s="381" t="str">
        <f t="shared" si="4"/>
        <v>NACE C - 13.94 Manufacture of cordage, rope, twine and netting</v>
      </c>
      <c r="E150" s="378" t="s">
        <v>650</v>
      </c>
      <c r="F150" t="s">
        <v>651</v>
      </c>
      <c r="G150" t="str">
        <f t="shared" si="5"/>
        <v>MM</v>
      </c>
      <c r="K150" t="s">
        <v>3341</v>
      </c>
      <c r="AA150" t="s">
        <v>3969</v>
      </c>
    </row>
    <row r="151" spans="1:27" x14ac:dyDescent="0.3">
      <c r="A151" s="381" t="s">
        <v>652</v>
      </c>
      <c r="B151" t="s">
        <v>653</v>
      </c>
      <c r="C151" s="380" t="s">
        <v>4181</v>
      </c>
      <c r="D151" s="381" t="str">
        <f t="shared" si="4"/>
        <v>NACE C - 13.95 Manufacture of non-wovens and non-woven articles</v>
      </c>
      <c r="E151" s="378" t="s">
        <v>654</v>
      </c>
      <c r="F151" t="s">
        <v>655</v>
      </c>
      <c r="G151" t="str">
        <f t="shared" si="5"/>
        <v>MN</v>
      </c>
      <c r="K151" t="s">
        <v>2887</v>
      </c>
      <c r="AA151" t="s">
        <v>3970</v>
      </c>
    </row>
    <row r="152" spans="1:27" x14ac:dyDescent="0.3">
      <c r="A152" s="381" t="s">
        <v>656</v>
      </c>
      <c r="B152" t="s">
        <v>657</v>
      </c>
      <c r="C152" s="380" t="s">
        <v>4182</v>
      </c>
      <c r="D152" s="381" t="str">
        <f t="shared" si="4"/>
        <v>NACE C - 13.96 Manufacture of other technical and industrial textiles</v>
      </c>
      <c r="E152" s="378" t="s">
        <v>658</v>
      </c>
      <c r="F152" t="s">
        <v>659</v>
      </c>
      <c r="G152" t="str">
        <f t="shared" si="5"/>
        <v>MO</v>
      </c>
      <c r="K152" t="s">
        <v>2888</v>
      </c>
      <c r="AA152" t="s">
        <v>3971</v>
      </c>
    </row>
    <row r="153" spans="1:27" x14ac:dyDescent="0.3">
      <c r="A153" s="381" t="s">
        <v>660</v>
      </c>
      <c r="B153" t="s">
        <v>661</v>
      </c>
      <c r="C153" s="378" t="s">
        <v>4065</v>
      </c>
      <c r="D153" s="381" t="str">
        <f t="shared" si="4"/>
        <v>NACE C - 13.99 Manufacture of other textiles n.e.c.</v>
      </c>
      <c r="E153" s="378" t="s">
        <v>662</v>
      </c>
      <c r="F153" t="s">
        <v>663</v>
      </c>
      <c r="G153" t="str">
        <f t="shared" si="5"/>
        <v>MP</v>
      </c>
      <c r="K153" t="s">
        <v>3196</v>
      </c>
      <c r="AA153" t="s">
        <v>3972</v>
      </c>
    </row>
    <row r="154" spans="1:27" x14ac:dyDescent="0.3">
      <c r="A154" s="377" t="s">
        <v>664</v>
      </c>
      <c r="B154" t="s">
        <v>665</v>
      </c>
      <c r="C154" s="377" t="s">
        <v>4184</v>
      </c>
      <c r="D154" s="377" t="str">
        <f t="shared" si="4"/>
        <v>NACE C - 14 Manufacture of wearing apparel</v>
      </c>
      <c r="E154" s="378" t="s">
        <v>666</v>
      </c>
      <c r="F154" t="s">
        <v>667</v>
      </c>
      <c r="G154" t="str">
        <f t="shared" si="5"/>
        <v>MQ</v>
      </c>
      <c r="K154" t="s">
        <v>3342</v>
      </c>
      <c r="AA154" t="s">
        <v>3973</v>
      </c>
    </row>
    <row r="155" spans="1:27" x14ac:dyDescent="0.3">
      <c r="A155" s="380" t="s">
        <v>668</v>
      </c>
      <c r="B155" t="s">
        <v>669</v>
      </c>
      <c r="C155" s="380" t="s">
        <v>4185</v>
      </c>
      <c r="D155" s="380" t="str">
        <f t="shared" si="4"/>
        <v>NACE C - 14.1 Manufacture of knitted and crocheted apparel</v>
      </c>
      <c r="E155" s="378" t="s">
        <v>670</v>
      </c>
      <c r="F155" t="s">
        <v>671</v>
      </c>
      <c r="G155" t="str">
        <f t="shared" si="5"/>
        <v>MR</v>
      </c>
      <c r="K155" t="s">
        <v>3343</v>
      </c>
      <c r="AA155" t="s">
        <v>3974</v>
      </c>
    </row>
    <row r="156" spans="1:27" x14ac:dyDescent="0.3">
      <c r="A156" s="381" t="s">
        <v>672</v>
      </c>
      <c r="B156" t="s">
        <v>673</v>
      </c>
      <c r="C156" s="380" t="s">
        <v>4186</v>
      </c>
      <c r="D156" s="381" t="str">
        <f t="shared" si="4"/>
        <v>NACE C - 14.10 Manufacture of knitted and crocheted apparel</v>
      </c>
      <c r="E156" s="378" t="s">
        <v>674</v>
      </c>
      <c r="F156" t="s">
        <v>675</v>
      </c>
      <c r="G156" t="str">
        <f t="shared" si="5"/>
        <v>MS</v>
      </c>
      <c r="K156" t="s">
        <v>3344</v>
      </c>
      <c r="AA156" t="s">
        <v>3975</v>
      </c>
    </row>
    <row r="157" spans="1:27" x14ac:dyDescent="0.3">
      <c r="A157" s="380" t="s">
        <v>676</v>
      </c>
      <c r="B157" t="s">
        <v>677</v>
      </c>
      <c r="C157" s="380" t="s">
        <v>4187</v>
      </c>
      <c r="D157" s="380" t="str">
        <f t="shared" si="4"/>
        <v>NACE C - 14.2 Manufacture of other wearing apparel and accessories</v>
      </c>
      <c r="E157" s="378" t="s">
        <v>678</v>
      </c>
      <c r="F157" t="s">
        <v>679</v>
      </c>
      <c r="G157" t="str">
        <f t="shared" si="5"/>
        <v>MT</v>
      </c>
      <c r="K157" t="s">
        <v>3345</v>
      </c>
      <c r="AA157" t="s">
        <v>3976</v>
      </c>
    </row>
    <row r="158" spans="1:27" x14ac:dyDescent="0.3">
      <c r="A158" s="381" t="s">
        <v>680</v>
      </c>
      <c r="B158" t="s">
        <v>681</v>
      </c>
      <c r="C158" s="380" t="s">
        <v>4188</v>
      </c>
      <c r="D158" s="381" t="str">
        <f t="shared" si="4"/>
        <v>NACE C - 14.21 Manufacture of outerwear</v>
      </c>
      <c r="E158" s="378" t="s">
        <v>682</v>
      </c>
      <c r="F158" t="s">
        <v>683</v>
      </c>
      <c r="G158" t="str">
        <f t="shared" si="5"/>
        <v>MU</v>
      </c>
      <c r="K158" t="s">
        <v>3346</v>
      </c>
      <c r="AA158" t="s">
        <v>3977</v>
      </c>
    </row>
    <row r="159" spans="1:27" x14ac:dyDescent="0.3">
      <c r="A159" s="381" t="s">
        <v>684</v>
      </c>
      <c r="B159" t="s">
        <v>685</v>
      </c>
      <c r="C159" s="378" t="s">
        <v>4183</v>
      </c>
      <c r="D159" s="381" t="str">
        <f t="shared" si="4"/>
        <v>NACE C - 14.22 Manufacture of underwear</v>
      </c>
      <c r="E159" s="378" t="s">
        <v>686</v>
      </c>
      <c r="F159" t="s">
        <v>687</v>
      </c>
      <c r="G159" t="str">
        <f t="shared" si="5"/>
        <v>MV</v>
      </c>
      <c r="K159" t="s">
        <v>2758</v>
      </c>
      <c r="AA159" t="s">
        <v>3978</v>
      </c>
    </row>
    <row r="160" spans="1:27" x14ac:dyDescent="0.3">
      <c r="A160" s="381" t="s">
        <v>688</v>
      </c>
      <c r="B160" t="s">
        <v>689</v>
      </c>
      <c r="C160" s="377" t="s">
        <v>4190</v>
      </c>
      <c r="D160" s="381" t="str">
        <f t="shared" si="4"/>
        <v>NACE C - 14.23 Manufacture of workwear</v>
      </c>
      <c r="E160" s="378" t="s">
        <v>690</v>
      </c>
      <c r="F160" t="s">
        <v>691</v>
      </c>
      <c r="G160" t="str">
        <f t="shared" si="5"/>
        <v>MW</v>
      </c>
      <c r="K160" t="s">
        <v>3197</v>
      </c>
      <c r="AA160" t="s">
        <v>3979</v>
      </c>
    </row>
    <row r="161" spans="1:27" x14ac:dyDescent="0.3">
      <c r="A161" s="381" t="s">
        <v>692</v>
      </c>
      <c r="B161" t="s">
        <v>693</v>
      </c>
      <c r="C161" s="380" t="s">
        <v>4191</v>
      </c>
      <c r="D161" s="381" t="str">
        <f t="shared" si="4"/>
        <v>NACE C - 14.24 Manufacture of leather clothes and fur apparel</v>
      </c>
      <c r="E161" s="378" t="s">
        <v>694</v>
      </c>
      <c r="F161" t="s">
        <v>695</v>
      </c>
      <c r="G161" t="str">
        <f t="shared" si="5"/>
        <v>MX</v>
      </c>
      <c r="K161" t="s">
        <v>3347</v>
      </c>
      <c r="AA161" t="s">
        <v>3980</v>
      </c>
    </row>
    <row r="162" spans="1:27" x14ac:dyDescent="0.3">
      <c r="A162" s="381" t="s">
        <v>696</v>
      </c>
      <c r="B162" t="s">
        <v>697</v>
      </c>
      <c r="C162" s="377" t="s">
        <v>4192</v>
      </c>
      <c r="D162" s="381" t="str">
        <f t="shared" si="4"/>
        <v>NACE C - 14.29 Manufacture of other wearing apparel and accessories n.e.c.</v>
      </c>
      <c r="E162" s="378" t="s">
        <v>698</v>
      </c>
      <c r="F162" t="s">
        <v>699</v>
      </c>
      <c r="G162" t="str">
        <f t="shared" si="5"/>
        <v>MY</v>
      </c>
      <c r="K162" t="s">
        <v>3348</v>
      </c>
      <c r="AA162" t="s">
        <v>3981</v>
      </c>
    </row>
    <row r="163" spans="1:27" x14ac:dyDescent="0.3">
      <c r="A163" s="377" t="s">
        <v>700</v>
      </c>
      <c r="B163" t="s">
        <v>701</v>
      </c>
      <c r="C163" s="380" t="s">
        <v>4193</v>
      </c>
      <c r="D163" s="377" t="str">
        <f t="shared" si="4"/>
        <v>NACE C - 15 Manufacture of leather and related products of other materials</v>
      </c>
      <c r="E163" s="378" t="s">
        <v>702</v>
      </c>
      <c r="F163" t="s">
        <v>703</v>
      </c>
      <c r="G163" t="str">
        <f t="shared" si="5"/>
        <v>MZ</v>
      </c>
      <c r="K163" t="s">
        <v>3349</v>
      </c>
      <c r="AA163" t="s">
        <v>3982</v>
      </c>
    </row>
    <row r="164" spans="1:27" x14ac:dyDescent="0.3">
      <c r="A164" s="380" t="s">
        <v>704</v>
      </c>
      <c r="B164" t="s">
        <v>705</v>
      </c>
      <c r="C164" s="377" t="s">
        <v>4194</v>
      </c>
      <c r="D164" s="380" t="str">
        <f t="shared" si="4"/>
        <v>NACE C - 15.1 Tanning, dyeing, dressing of leather and fur; manufacture of luggage, handbags, saddlery and harness</v>
      </c>
      <c r="E164" s="378" t="s">
        <v>706</v>
      </c>
      <c r="F164" t="s">
        <v>707</v>
      </c>
      <c r="G164" t="str">
        <f t="shared" si="5"/>
        <v>NA</v>
      </c>
      <c r="K164" t="s">
        <v>3350</v>
      </c>
      <c r="AA164" t="s">
        <v>3983</v>
      </c>
    </row>
    <row r="165" spans="1:27" x14ac:dyDescent="0.3">
      <c r="A165" s="381" t="s">
        <v>708</v>
      </c>
      <c r="B165" t="s">
        <v>709</v>
      </c>
      <c r="C165" s="380" t="s">
        <v>4195</v>
      </c>
      <c r="D165" s="381" t="str">
        <f t="shared" si="4"/>
        <v>NACE C - 15.11 Tanning, dressing, dyeing of leather and fur</v>
      </c>
      <c r="E165" s="378" t="s">
        <v>710</v>
      </c>
      <c r="F165" t="s">
        <v>711</v>
      </c>
      <c r="G165" t="str">
        <f t="shared" si="5"/>
        <v>NC</v>
      </c>
      <c r="K165" t="s">
        <v>3351</v>
      </c>
      <c r="AA165" t="s">
        <v>3984</v>
      </c>
    </row>
    <row r="166" spans="1:27" x14ac:dyDescent="0.3">
      <c r="A166" s="381" t="s">
        <v>712</v>
      </c>
      <c r="B166" t="s">
        <v>713</v>
      </c>
      <c r="C166" s="380" t="s">
        <v>4196</v>
      </c>
      <c r="D166" s="381" t="str">
        <f t="shared" si="4"/>
        <v>NACE C - 15.12 Manufacture of luggage, handbags, saddlery and harness of any material</v>
      </c>
      <c r="E166" s="378" t="s">
        <v>714</v>
      </c>
      <c r="F166" t="s">
        <v>715</v>
      </c>
      <c r="G166" t="str">
        <f t="shared" si="5"/>
        <v>NE</v>
      </c>
      <c r="K166" t="s">
        <v>3352</v>
      </c>
      <c r="AA166" t="s">
        <v>3985</v>
      </c>
    </row>
    <row r="167" spans="1:27" x14ac:dyDescent="0.3">
      <c r="A167" s="380" t="s">
        <v>716</v>
      </c>
      <c r="B167" t="s">
        <v>717</v>
      </c>
      <c r="C167" s="380" t="s">
        <v>4197</v>
      </c>
      <c r="D167" s="380" t="str">
        <f t="shared" si="4"/>
        <v>NACE C - 15.2 Manufacture of footwear</v>
      </c>
      <c r="E167" s="378" t="s">
        <v>718</v>
      </c>
      <c r="F167" t="s">
        <v>719</v>
      </c>
      <c r="G167" t="str">
        <f t="shared" si="5"/>
        <v>NF</v>
      </c>
      <c r="K167" t="s">
        <v>3198</v>
      </c>
      <c r="AA167" t="s">
        <v>3986</v>
      </c>
    </row>
    <row r="168" spans="1:27" x14ac:dyDescent="0.3">
      <c r="A168" s="381" t="s">
        <v>720</v>
      </c>
      <c r="B168" t="s">
        <v>721</v>
      </c>
      <c r="C168" s="377" t="s">
        <v>4198</v>
      </c>
      <c r="D168" s="381" t="str">
        <f t="shared" si="4"/>
        <v>NACE C - 15.20 Manufacture of footwear</v>
      </c>
      <c r="E168" s="378" t="s">
        <v>722</v>
      </c>
      <c r="F168" t="s">
        <v>723</v>
      </c>
      <c r="G168" t="str">
        <f t="shared" si="5"/>
        <v>NG</v>
      </c>
      <c r="K168" t="s">
        <v>3353</v>
      </c>
      <c r="AA168" t="s">
        <v>3987</v>
      </c>
    </row>
    <row r="169" spans="1:27" x14ac:dyDescent="0.3">
      <c r="A169" s="377" t="s">
        <v>724</v>
      </c>
      <c r="B169" t="s">
        <v>725</v>
      </c>
      <c r="C169" s="380" t="s">
        <v>4199</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3988</v>
      </c>
    </row>
    <row r="170" spans="1:27" x14ac:dyDescent="0.3">
      <c r="A170" s="380" t="s">
        <v>728</v>
      </c>
      <c r="B170" t="s">
        <v>729</v>
      </c>
      <c r="C170" s="378" t="s">
        <v>4189</v>
      </c>
      <c r="D170" s="380" t="str">
        <f t="shared" si="4"/>
        <v>NACE C - 16.1 Sawmilling and planing of wood; processing and finishing of wood</v>
      </c>
      <c r="E170" s="378" t="s">
        <v>730</v>
      </c>
      <c r="F170" t="s">
        <v>731</v>
      </c>
      <c r="G170" t="str">
        <f t="shared" si="5"/>
        <v>NL</v>
      </c>
      <c r="K170" t="s">
        <v>3355</v>
      </c>
      <c r="AA170" t="s">
        <v>3989</v>
      </c>
    </row>
    <row r="171" spans="1:27" x14ac:dyDescent="0.3">
      <c r="A171" s="381" t="s">
        <v>732</v>
      </c>
      <c r="B171" t="s">
        <v>733</v>
      </c>
      <c r="C171" s="377" t="s">
        <v>4201</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4202</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4203</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4204</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4205</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4206</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4207</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4208</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4209</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4210</v>
      </c>
      <c r="D180" s="381" t="str">
        <f t="shared" si="4"/>
        <v>NACE C - 16.27 Finishing of wooden products</v>
      </c>
      <c r="E180" s="378" t="s">
        <v>770</v>
      </c>
      <c r="F180" t="s">
        <v>771</v>
      </c>
      <c r="G180" t="str">
        <f t="shared" si="5"/>
        <v>PF</v>
      </c>
      <c r="K180" t="s">
        <v>2896</v>
      </c>
    </row>
    <row r="181" spans="1:11" x14ac:dyDescent="0.3">
      <c r="A181" s="381" t="s">
        <v>772</v>
      </c>
      <c r="B181" t="s">
        <v>773</v>
      </c>
      <c r="C181" s="380" t="s">
        <v>4211</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4212</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4213</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4214</v>
      </c>
      <c r="D184" s="381" t="str">
        <f t="shared" si="4"/>
        <v>NACE C - 17.11 Manufacture of pulp</v>
      </c>
      <c r="E184" s="378" t="s">
        <v>786</v>
      </c>
      <c r="F184" t="s">
        <v>787</v>
      </c>
      <c r="G184" t="str">
        <f t="shared" si="5"/>
        <v>PL</v>
      </c>
      <c r="K184" t="s">
        <v>2899</v>
      </c>
    </row>
    <row r="185" spans="1:11" x14ac:dyDescent="0.3">
      <c r="A185" s="381" t="s">
        <v>788</v>
      </c>
      <c r="B185" t="s">
        <v>789</v>
      </c>
      <c r="C185" s="378" t="s">
        <v>4200</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4216</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4217</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4218</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4219</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4220</v>
      </c>
      <c r="D190" s="381" t="str">
        <f t="shared" si="4"/>
        <v>NACE C - 17.24 Manufacture of wallpaper</v>
      </c>
      <c r="E190" s="378" t="s">
        <v>810</v>
      </c>
      <c r="F190" t="s">
        <v>811</v>
      </c>
      <c r="G190" t="str">
        <f t="shared" si="5"/>
        <v>PW</v>
      </c>
      <c r="K190" t="s">
        <v>3360</v>
      </c>
    </row>
    <row r="191" spans="1:11" x14ac:dyDescent="0.3">
      <c r="A191" s="381" t="s">
        <v>812</v>
      </c>
      <c r="B191" t="s">
        <v>813</v>
      </c>
      <c r="C191" s="380" t="s">
        <v>4221</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4222</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4223</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4224</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4225</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4226</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4227</v>
      </c>
      <c r="D197" s="381" t="str">
        <f t="shared" si="6"/>
        <v>NACE C - 18.14 Binding and related services</v>
      </c>
      <c r="E197" s="378" t="s">
        <v>838</v>
      </c>
      <c r="F197" t="s">
        <v>839</v>
      </c>
      <c r="G197" t="str">
        <f t="shared" si="7"/>
        <v>RW</v>
      </c>
      <c r="K197" t="s">
        <v>2904</v>
      </c>
    </row>
    <row r="198" spans="1:11" x14ac:dyDescent="0.3">
      <c r="A198" s="380" t="s">
        <v>840</v>
      </c>
      <c r="B198" t="s">
        <v>841</v>
      </c>
      <c r="C198" s="380" t="s">
        <v>4228</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4229</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4230</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4231</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4232</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4233</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4234</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4235</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4215</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4237</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4238</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4239</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4240</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4241</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4242</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4243</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4244</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4245</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4246</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4247</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4248</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4249</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4250</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4251</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4252</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4253</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4254</v>
      </c>
      <c r="D224" s="380" t="str">
        <f t="shared" si="6"/>
        <v>NACE C - 20.6 Manufacture of man-made fibres</v>
      </c>
      <c r="E224" s="378" t="s">
        <v>946</v>
      </c>
      <c r="F224" t="s">
        <v>947</v>
      </c>
      <c r="G224" t="str">
        <f t="shared" si="7"/>
        <v>TJ</v>
      </c>
      <c r="K224" t="s">
        <v>3380</v>
      </c>
    </row>
    <row r="225" spans="1:11" x14ac:dyDescent="0.3">
      <c r="A225" s="381" t="s">
        <v>948</v>
      </c>
      <c r="B225" t="s">
        <v>949</v>
      </c>
      <c r="C225" s="377" t="s">
        <v>4255</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4256</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4257</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4258</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4236</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4260</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4261</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4262</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4263</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4264</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4265</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4266</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4267</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4268</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4269</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4270</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4271</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4259</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4273</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4274</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4275</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4276</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4277</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4278</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4279</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4280</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4281</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4282</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4272</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4284</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4285</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4286</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4287</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4288</v>
      </c>
      <c r="D258" s="381" t="str">
        <f t="shared" ref="D258:D321" si="8">_xlfn.CONCAT("NACE ", A258)</f>
        <v>NACE C - 23.44 Manufacture of other technical ceramic products</v>
      </c>
      <c r="K258" t="s">
        <v>3404</v>
      </c>
    </row>
    <row r="259" spans="1:11" x14ac:dyDescent="0.3">
      <c r="A259" s="381" t="s">
        <v>1082</v>
      </c>
      <c r="B259" t="s">
        <v>1083</v>
      </c>
      <c r="C259" s="380" t="s">
        <v>4289</v>
      </c>
      <c r="D259" s="381" t="str">
        <f t="shared" si="8"/>
        <v>NACE C - 23.45 Manufacture of other ceramic products</v>
      </c>
      <c r="K259" t="s">
        <v>3405</v>
      </c>
    </row>
    <row r="260" spans="1:11" x14ac:dyDescent="0.3">
      <c r="A260" s="380" t="s">
        <v>1084</v>
      </c>
      <c r="B260" t="s">
        <v>1085</v>
      </c>
      <c r="C260" s="380" t="s">
        <v>4290</v>
      </c>
      <c r="D260" s="380" t="str">
        <f t="shared" si="8"/>
        <v>NACE C - 23.5 Manufacture of cement, lime and plaster</v>
      </c>
      <c r="K260" t="s">
        <v>3406</v>
      </c>
    </row>
    <row r="261" spans="1:11" x14ac:dyDescent="0.3">
      <c r="A261" s="381" t="s">
        <v>1086</v>
      </c>
      <c r="B261" t="s">
        <v>1087</v>
      </c>
      <c r="C261" s="380" t="s">
        <v>4291</v>
      </c>
      <c r="D261" s="381" t="str">
        <f t="shared" si="8"/>
        <v>NACE C - 23.51 Manufacture of cement</v>
      </c>
      <c r="K261" t="s">
        <v>3407</v>
      </c>
    </row>
    <row r="262" spans="1:11" x14ac:dyDescent="0.3">
      <c r="A262" s="381" t="s">
        <v>1088</v>
      </c>
      <c r="B262" t="s">
        <v>1089</v>
      </c>
      <c r="C262" s="377" t="s">
        <v>4292</v>
      </c>
      <c r="D262" s="381" t="str">
        <f t="shared" si="8"/>
        <v>NACE C - 23.52 Manufacture of lime and plaster</v>
      </c>
      <c r="K262" t="s">
        <v>3408</v>
      </c>
    </row>
    <row r="263" spans="1:11" x14ac:dyDescent="0.3">
      <c r="A263" s="380" t="s">
        <v>1090</v>
      </c>
      <c r="B263" t="s">
        <v>1091</v>
      </c>
      <c r="C263" s="380" t="s">
        <v>4293</v>
      </c>
      <c r="D263" s="380" t="str">
        <f t="shared" si="8"/>
        <v>NACE C - 23.6 Manufacture of articles of concrete, cement and plaster</v>
      </c>
      <c r="K263" t="s">
        <v>3409</v>
      </c>
    </row>
    <row r="264" spans="1:11" x14ac:dyDescent="0.3">
      <c r="A264" s="381" t="s">
        <v>1092</v>
      </c>
      <c r="B264" t="s">
        <v>1093</v>
      </c>
      <c r="C264" s="380" t="s">
        <v>4294</v>
      </c>
      <c r="D264" s="381" t="str">
        <f t="shared" si="8"/>
        <v>NACE C - 23.61 Manufacture of concrete products for construction purposes</v>
      </c>
      <c r="K264" t="s">
        <v>2923</v>
      </c>
    </row>
    <row r="265" spans="1:11" x14ac:dyDescent="0.3">
      <c r="A265" s="381" t="s">
        <v>1094</v>
      </c>
      <c r="B265" t="s">
        <v>1095</v>
      </c>
      <c r="C265" s="378" t="s">
        <v>4283</v>
      </c>
      <c r="D265" s="381" t="str">
        <f t="shared" si="8"/>
        <v>NACE C - 23.62 Manufacture of plaster products for construction purposes</v>
      </c>
      <c r="K265" t="s">
        <v>2924</v>
      </c>
    </row>
    <row r="266" spans="1:11" x14ac:dyDescent="0.3">
      <c r="A266" s="381" t="s">
        <v>1096</v>
      </c>
      <c r="B266" t="s">
        <v>1097</v>
      </c>
      <c r="C266" s="377" t="s">
        <v>4296</v>
      </c>
      <c r="D266" s="381" t="str">
        <f t="shared" si="8"/>
        <v>NACE C - 23.63 Manufacture of ready-mixed concrete</v>
      </c>
      <c r="K266" t="s">
        <v>3213</v>
      </c>
    </row>
    <row r="267" spans="1:11" x14ac:dyDescent="0.3">
      <c r="A267" s="381" t="s">
        <v>1098</v>
      </c>
      <c r="B267" t="s">
        <v>1099</v>
      </c>
      <c r="C267" s="380" t="s">
        <v>4297</v>
      </c>
      <c r="D267" s="381" t="str">
        <f t="shared" si="8"/>
        <v>NACE C - 23.64 Manufacture of mortars</v>
      </c>
      <c r="K267" t="s">
        <v>3410</v>
      </c>
    </row>
    <row r="268" spans="1:11" x14ac:dyDescent="0.3">
      <c r="A268" s="381" t="s">
        <v>1100</v>
      </c>
      <c r="B268" t="s">
        <v>1101</v>
      </c>
      <c r="C268" s="380" t="s">
        <v>4298</v>
      </c>
      <c r="D268" s="381" t="str">
        <f t="shared" si="8"/>
        <v>NACE C - 23.65 Manufacture of fibre cement</v>
      </c>
      <c r="K268" t="s">
        <v>3411</v>
      </c>
    </row>
    <row r="269" spans="1:11" x14ac:dyDescent="0.3">
      <c r="A269" s="381" t="s">
        <v>1102</v>
      </c>
      <c r="B269" t="s">
        <v>1103</v>
      </c>
      <c r="C269" s="380" t="s">
        <v>4299</v>
      </c>
      <c r="D269" s="381" t="str">
        <f t="shared" si="8"/>
        <v>NACE C - 23.66 Manufacture of other articles of concrete, cement and plaster</v>
      </c>
      <c r="K269" t="s">
        <v>3412</v>
      </c>
    </row>
    <row r="270" spans="1:11" x14ac:dyDescent="0.3">
      <c r="A270" s="380" t="s">
        <v>1104</v>
      </c>
      <c r="B270" t="s">
        <v>1105</v>
      </c>
      <c r="C270" s="380" t="s">
        <v>4300</v>
      </c>
      <c r="D270" s="380" t="str">
        <f t="shared" si="8"/>
        <v>NACE C - 23.7 Cutting, shaping and finishing of stone</v>
      </c>
      <c r="K270" t="s">
        <v>3413</v>
      </c>
    </row>
    <row r="271" spans="1:11" x14ac:dyDescent="0.3">
      <c r="A271" s="381" t="s">
        <v>1106</v>
      </c>
      <c r="B271" t="s">
        <v>1107</v>
      </c>
      <c r="C271" s="377" t="s">
        <v>4301</v>
      </c>
      <c r="D271" s="381" t="str">
        <f t="shared" si="8"/>
        <v>NACE C - 23.70 Cutting, shaping and finishing of stone</v>
      </c>
      <c r="K271" t="s">
        <v>3414</v>
      </c>
    </row>
    <row r="272" spans="1:11" x14ac:dyDescent="0.3">
      <c r="A272" s="380" t="s">
        <v>1108</v>
      </c>
      <c r="B272" t="s">
        <v>1109</v>
      </c>
      <c r="C272" s="380" t="s">
        <v>4302</v>
      </c>
      <c r="D272" s="380" t="str">
        <f t="shared" si="8"/>
        <v>NACE C - 23.9 Manufacture of abrasive products and non-metallic mineral products n.e.c.</v>
      </c>
      <c r="K272" t="s">
        <v>3415</v>
      </c>
    </row>
    <row r="273" spans="1:11" x14ac:dyDescent="0.3">
      <c r="A273" s="381" t="s">
        <v>1110</v>
      </c>
      <c r="B273" t="s">
        <v>1111</v>
      </c>
      <c r="C273" s="380" t="s">
        <v>4303</v>
      </c>
      <c r="D273" s="381" t="str">
        <f t="shared" si="8"/>
        <v>NACE C - 23.91 Manufacture of abrasive products</v>
      </c>
      <c r="K273" t="s">
        <v>3416</v>
      </c>
    </row>
    <row r="274" spans="1:11" x14ac:dyDescent="0.3">
      <c r="A274" s="381" t="s">
        <v>1112</v>
      </c>
      <c r="B274" t="s">
        <v>1113</v>
      </c>
      <c r="C274" s="380" t="s">
        <v>4304</v>
      </c>
      <c r="D274" s="381" t="str">
        <f t="shared" si="8"/>
        <v>NACE C - 23.99 Manufacture of other non-metallic mineral products n.e.c.</v>
      </c>
      <c r="K274" t="s">
        <v>3417</v>
      </c>
    </row>
    <row r="275" spans="1:11" x14ac:dyDescent="0.3">
      <c r="A275" s="377" t="s">
        <v>1114</v>
      </c>
      <c r="B275" t="s">
        <v>1115</v>
      </c>
      <c r="C275" s="377" t="s">
        <v>4305</v>
      </c>
      <c r="D275" s="377" t="str">
        <f t="shared" si="8"/>
        <v>NACE C - 24 Manufacture of basic metals</v>
      </c>
      <c r="K275" t="s">
        <v>2925</v>
      </c>
    </row>
    <row r="276" spans="1:11" x14ac:dyDescent="0.3">
      <c r="A276" s="380" t="s">
        <v>1116</v>
      </c>
      <c r="B276" t="s">
        <v>1117</v>
      </c>
      <c r="C276" s="380" t="s">
        <v>4306</v>
      </c>
      <c r="D276" s="380" t="str">
        <f t="shared" si="8"/>
        <v>NACE C - 24.1 Manufacture of basic iron and steel and of ferro-alloys</v>
      </c>
      <c r="K276" t="s">
        <v>2926</v>
      </c>
    </row>
    <row r="277" spans="1:11" x14ac:dyDescent="0.3">
      <c r="A277" s="381" t="s">
        <v>1118</v>
      </c>
      <c r="B277" t="s">
        <v>1119</v>
      </c>
      <c r="C277" s="380" t="s">
        <v>4307</v>
      </c>
      <c r="D277" s="381" t="str">
        <f t="shared" si="8"/>
        <v>NACE C - 24.10 Manufacture of basic iron and steel and of ferro-alloys</v>
      </c>
      <c r="K277" t="s">
        <v>3214</v>
      </c>
    </row>
    <row r="278" spans="1:11" x14ac:dyDescent="0.3">
      <c r="A278" s="380" t="s">
        <v>1120</v>
      </c>
      <c r="B278" t="s">
        <v>1121</v>
      </c>
      <c r="C278" s="380" t="s">
        <v>4308</v>
      </c>
      <c r="D278" s="380" t="str">
        <f t="shared" si="8"/>
        <v>NACE C - 24.2 Manufacture of tubes, pipes, hollow profiles and related fittings, of steel</v>
      </c>
      <c r="K278" t="s">
        <v>3418</v>
      </c>
    </row>
    <row r="279" spans="1:11" x14ac:dyDescent="0.3">
      <c r="A279" s="381" t="s">
        <v>1122</v>
      </c>
      <c r="B279" t="s">
        <v>1123</v>
      </c>
      <c r="C279" s="378" t="s">
        <v>4295</v>
      </c>
      <c r="D279" s="381" t="str">
        <f t="shared" si="8"/>
        <v>NACE C - 24.20 Manufacture of tubes, pipes, hollow profiles and related fittings, of steel</v>
      </c>
      <c r="K279" t="s">
        <v>3419</v>
      </c>
    </row>
    <row r="280" spans="1:11" x14ac:dyDescent="0.3">
      <c r="A280" s="380" t="s">
        <v>1124</v>
      </c>
      <c r="B280" t="s">
        <v>1125</v>
      </c>
      <c r="C280" s="377" t="s">
        <v>4310</v>
      </c>
      <c r="D280" s="380" t="str">
        <f t="shared" si="8"/>
        <v>NACE C - 24.3 Manufacture of other products of first processing of steel</v>
      </c>
      <c r="K280" t="s">
        <v>3420</v>
      </c>
    </row>
    <row r="281" spans="1:11" x14ac:dyDescent="0.3">
      <c r="A281" s="381" t="s">
        <v>1126</v>
      </c>
      <c r="B281" t="s">
        <v>1127</v>
      </c>
      <c r="C281" s="380" t="s">
        <v>4311</v>
      </c>
      <c r="D281" s="381" t="str">
        <f t="shared" si="8"/>
        <v>NACE C - 24.31 Cold drawing of bars</v>
      </c>
      <c r="K281" t="s">
        <v>3421</v>
      </c>
    </row>
    <row r="282" spans="1:11" x14ac:dyDescent="0.3">
      <c r="A282" s="381" t="s">
        <v>1128</v>
      </c>
      <c r="B282" t="s">
        <v>1129</v>
      </c>
      <c r="C282" s="380" t="s">
        <v>4312</v>
      </c>
      <c r="D282" s="381" t="str">
        <f t="shared" si="8"/>
        <v>NACE C - 24.32 Cold rolling of narrow strip</v>
      </c>
      <c r="K282" t="s">
        <v>3422</v>
      </c>
    </row>
    <row r="283" spans="1:11" x14ac:dyDescent="0.3">
      <c r="A283" s="381" t="s">
        <v>1130</v>
      </c>
      <c r="B283" t="s">
        <v>1131</v>
      </c>
      <c r="C283" s="380" t="s">
        <v>4313</v>
      </c>
      <c r="D283" s="381" t="str">
        <f t="shared" si="8"/>
        <v>NACE C - 24.33 Cold forming or folding</v>
      </c>
      <c r="K283" t="s">
        <v>3423</v>
      </c>
    </row>
    <row r="284" spans="1:11" x14ac:dyDescent="0.3">
      <c r="A284" s="381" t="s">
        <v>1132</v>
      </c>
      <c r="B284" t="s">
        <v>1133</v>
      </c>
      <c r="C284" s="378" t="s">
        <v>4309</v>
      </c>
      <c r="D284" s="381" t="str">
        <f t="shared" si="8"/>
        <v>NACE C - 24.34 Cold drawing of wire</v>
      </c>
      <c r="K284" t="s">
        <v>3424</v>
      </c>
    </row>
    <row r="285" spans="1:11" x14ac:dyDescent="0.3">
      <c r="A285" s="380" t="s">
        <v>1134</v>
      </c>
      <c r="B285" t="s">
        <v>1135</v>
      </c>
      <c r="C285" s="377" t="s">
        <v>4315</v>
      </c>
      <c r="D285" s="380" t="str">
        <f t="shared" si="8"/>
        <v>NACE C - 24.4 Manufacture of basic precious and other non-ferrous metals</v>
      </c>
      <c r="K285" t="s">
        <v>3425</v>
      </c>
    </row>
    <row r="286" spans="1:11" x14ac:dyDescent="0.3">
      <c r="A286" s="381" t="s">
        <v>1136</v>
      </c>
      <c r="B286" t="s">
        <v>1137</v>
      </c>
      <c r="C286" s="380" t="s">
        <v>4316</v>
      </c>
      <c r="D286" s="381" t="str">
        <f t="shared" si="8"/>
        <v>NACE C - 24.41 Precious metals production</v>
      </c>
      <c r="K286" t="s">
        <v>2927</v>
      </c>
    </row>
    <row r="287" spans="1:11" x14ac:dyDescent="0.3">
      <c r="A287" s="381" t="s">
        <v>1138</v>
      </c>
      <c r="B287" t="s">
        <v>1139</v>
      </c>
      <c r="C287" s="380" t="s">
        <v>4317</v>
      </c>
      <c r="D287" s="381" t="str">
        <f t="shared" si="8"/>
        <v>NACE C - 24.42 Aluminium production</v>
      </c>
      <c r="K287" t="s">
        <v>2928</v>
      </c>
    </row>
    <row r="288" spans="1:11" x14ac:dyDescent="0.3">
      <c r="A288" s="381" t="s">
        <v>1140</v>
      </c>
      <c r="B288" t="s">
        <v>1141</v>
      </c>
      <c r="C288" s="377" t="s">
        <v>4318</v>
      </c>
      <c r="D288" s="381" t="str">
        <f t="shared" si="8"/>
        <v>NACE C - 24.43 Lead, zinc and tin production</v>
      </c>
      <c r="K288" t="s">
        <v>3215</v>
      </c>
    </row>
    <row r="289" spans="1:11" x14ac:dyDescent="0.3">
      <c r="A289" s="381" t="s">
        <v>1142</v>
      </c>
      <c r="B289" t="s">
        <v>1143</v>
      </c>
      <c r="C289" s="380" t="s">
        <v>4319</v>
      </c>
      <c r="D289" s="381" t="str">
        <f t="shared" si="8"/>
        <v>NACE C - 24.44 Copper production</v>
      </c>
      <c r="K289" t="s">
        <v>3426</v>
      </c>
    </row>
    <row r="290" spans="1:11" x14ac:dyDescent="0.3">
      <c r="A290" s="381" t="s">
        <v>1144</v>
      </c>
      <c r="B290" t="s">
        <v>1145</v>
      </c>
      <c r="C290" s="380" t="s">
        <v>4320</v>
      </c>
      <c r="D290" s="381" t="str">
        <f t="shared" si="8"/>
        <v>NACE C - 24.45 Other non-ferrous metal production</v>
      </c>
      <c r="K290" t="s">
        <v>3427</v>
      </c>
    </row>
    <row r="291" spans="1:11" x14ac:dyDescent="0.3">
      <c r="A291" s="381" t="s">
        <v>1146</v>
      </c>
      <c r="B291" t="s">
        <v>1147</v>
      </c>
      <c r="C291" s="377" t="s">
        <v>4321</v>
      </c>
      <c r="D291" s="381" t="str">
        <f t="shared" si="8"/>
        <v>NACE C - 24.46 Processing of nuclear fuel</v>
      </c>
      <c r="K291" t="s">
        <v>3428</v>
      </c>
    </row>
    <row r="292" spans="1:11" x14ac:dyDescent="0.3">
      <c r="A292" s="380" t="s">
        <v>1148</v>
      </c>
      <c r="B292" t="s">
        <v>1149</v>
      </c>
      <c r="C292" s="380" t="s">
        <v>4322</v>
      </c>
      <c r="D292" s="380" t="str">
        <f t="shared" si="8"/>
        <v>NACE C - 24.5 Casting of metals</v>
      </c>
      <c r="K292" t="s">
        <v>3429</v>
      </c>
    </row>
    <row r="293" spans="1:11" x14ac:dyDescent="0.3">
      <c r="A293" s="381" t="s">
        <v>1150</v>
      </c>
      <c r="B293" t="s">
        <v>1151</v>
      </c>
      <c r="C293" s="380" t="s">
        <v>4323</v>
      </c>
      <c r="D293" s="381" t="str">
        <f t="shared" si="8"/>
        <v>NACE C - 24.51 Casting of iron</v>
      </c>
      <c r="K293" t="s">
        <v>3430</v>
      </c>
    </row>
    <row r="294" spans="1:11" x14ac:dyDescent="0.3">
      <c r="A294" s="381" t="s">
        <v>1152</v>
      </c>
      <c r="B294" t="s">
        <v>1153</v>
      </c>
      <c r="C294" s="377" t="s">
        <v>4324</v>
      </c>
      <c r="D294" s="381" t="str">
        <f t="shared" si="8"/>
        <v>NACE C - 24.52 Casting of steel</v>
      </c>
      <c r="K294" t="s">
        <v>3431</v>
      </c>
    </row>
    <row r="295" spans="1:11" x14ac:dyDescent="0.3">
      <c r="A295" s="381" t="s">
        <v>1154</v>
      </c>
      <c r="B295" t="s">
        <v>1155</v>
      </c>
      <c r="C295" s="380" t="s">
        <v>4325</v>
      </c>
      <c r="D295" s="381" t="str">
        <f t="shared" si="8"/>
        <v>NACE C - 24.53 Casting of light metals</v>
      </c>
      <c r="K295" t="s">
        <v>3432</v>
      </c>
    </row>
    <row r="296" spans="1:11" x14ac:dyDescent="0.3">
      <c r="A296" s="381" t="s">
        <v>1156</v>
      </c>
      <c r="B296" t="s">
        <v>1157</v>
      </c>
      <c r="C296" s="380" t="s">
        <v>4326</v>
      </c>
      <c r="D296" s="381" t="str">
        <f t="shared" si="8"/>
        <v>NACE C - 24.54 Casting of other non-ferrous metals</v>
      </c>
      <c r="K296" t="s">
        <v>3433</v>
      </c>
    </row>
    <row r="297" spans="1:11" x14ac:dyDescent="0.3">
      <c r="A297" s="377" t="s">
        <v>1158</v>
      </c>
      <c r="B297" t="s">
        <v>1159</v>
      </c>
      <c r="C297" s="377" t="s">
        <v>4327</v>
      </c>
      <c r="D297" s="377" t="str">
        <f t="shared" si="8"/>
        <v>NACE C - 25 Manufacture of fabricated metal products, except machinery and equipment</v>
      </c>
      <c r="K297" t="s">
        <v>2929</v>
      </c>
    </row>
    <row r="298" spans="1:11" x14ac:dyDescent="0.3">
      <c r="A298" s="380" t="s">
        <v>1160</v>
      </c>
      <c r="B298" t="s">
        <v>1161</v>
      </c>
      <c r="C298" s="380" t="s">
        <v>4328</v>
      </c>
      <c r="D298" s="380" t="str">
        <f t="shared" si="8"/>
        <v>NACE C - 25.1 Manufacture of structural metal products</v>
      </c>
      <c r="K298" t="s">
        <v>2930</v>
      </c>
    </row>
    <row r="299" spans="1:11" x14ac:dyDescent="0.3">
      <c r="A299" s="381" t="s">
        <v>1162</v>
      </c>
      <c r="B299" t="s">
        <v>1163</v>
      </c>
      <c r="C299" s="380" t="s">
        <v>4329</v>
      </c>
      <c r="D299" s="381" t="str">
        <f t="shared" si="8"/>
        <v>NACE C - 25.11 Manufacture of metal structures and parts of structures</v>
      </c>
      <c r="K299" t="s">
        <v>2760</v>
      </c>
    </row>
    <row r="300" spans="1:11" x14ac:dyDescent="0.3">
      <c r="A300" s="381" t="s">
        <v>1164</v>
      </c>
      <c r="B300" t="s">
        <v>1165</v>
      </c>
      <c r="C300" s="380" t="s">
        <v>4330</v>
      </c>
      <c r="D300" s="381" t="str">
        <f t="shared" si="8"/>
        <v>NACE C - 25.12 Manufacture of doors and windows of metal</v>
      </c>
      <c r="K300" t="s">
        <v>3216</v>
      </c>
    </row>
    <row r="301" spans="1:11" x14ac:dyDescent="0.3">
      <c r="A301" s="380" t="s">
        <v>1166</v>
      </c>
      <c r="B301" t="s">
        <v>1167</v>
      </c>
      <c r="C301" s="377" t="s">
        <v>4331</v>
      </c>
      <c r="D301" s="380" t="str">
        <f t="shared" si="8"/>
        <v>NACE C - 25.2 Manufacture of tanks, reservoirs and containers of metal</v>
      </c>
      <c r="K301" t="s">
        <v>3434</v>
      </c>
    </row>
    <row r="302" spans="1:11" x14ac:dyDescent="0.3">
      <c r="A302" s="381" t="s">
        <v>1168</v>
      </c>
      <c r="B302" t="s">
        <v>1169</v>
      </c>
      <c r="C302" s="380" t="s">
        <v>4332</v>
      </c>
      <c r="D302" s="381" t="str">
        <f t="shared" si="8"/>
        <v>NACE C - 25.21 Manufacture of central heating radiators, steam generators and boilers</v>
      </c>
      <c r="K302" t="s">
        <v>2931</v>
      </c>
    </row>
    <row r="303" spans="1:11" x14ac:dyDescent="0.3">
      <c r="A303" s="381" t="s">
        <v>1170</v>
      </c>
      <c r="B303" t="s">
        <v>1171</v>
      </c>
      <c r="C303" s="380" t="s">
        <v>4333</v>
      </c>
      <c r="D303" s="381" t="str">
        <f t="shared" si="8"/>
        <v>NACE C - 25.22 Manufacture of other tanks, reservoirs and containers of metal</v>
      </c>
      <c r="K303" t="s">
        <v>3435</v>
      </c>
    </row>
    <row r="304" spans="1:11" x14ac:dyDescent="0.3">
      <c r="A304" s="380" t="s">
        <v>1172</v>
      </c>
      <c r="B304" t="s">
        <v>1173</v>
      </c>
      <c r="C304" s="380" t="s">
        <v>4334</v>
      </c>
      <c r="D304" s="380" t="str">
        <f t="shared" si="8"/>
        <v>NACE C - 25.3 Manufacture of weapons and ammunition</v>
      </c>
      <c r="K304" t="s">
        <v>2932</v>
      </c>
    </row>
    <row r="305" spans="1:11" x14ac:dyDescent="0.3">
      <c r="A305" s="381" t="s">
        <v>1174</v>
      </c>
      <c r="B305" t="s">
        <v>1175</v>
      </c>
      <c r="C305" s="380" t="s">
        <v>4335</v>
      </c>
      <c r="D305" s="381" t="str">
        <f t="shared" si="8"/>
        <v>NACE C - 25.30 Manufacture of weapons and ammunition</v>
      </c>
      <c r="K305" t="s">
        <v>3436</v>
      </c>
    </row>
    <row r="306" spans="1:11" x14ac:dyDescent="0.3">
      <c r="A306" s="380" t="s">
        <v>1176</v>
      </c>
      <c r="B306" t="s">
        <v>1177</v>
      </c>
      <c r="C306" s="377" t="s">
        <v>4336</v>
      </c>
      <c r="D306" s="380" t="str">
        <f t="shared" si="8"/>
        <v>NACE C - 25.4 Forging and shaping metal and powder metallurgy</v>
      </c>
      <c r="K306" t="s">
        <v>2933</v>
      </c>
    </row>
    <row r="307" spans="1:11" x14ac:dyDescent="0.3">
      <c r="A307" s="381" t="s">
        <v>1178</v>
      </c>
      <c r="B307" t="s">
        <v>1179</v>
      </c>
      <c r="C307" s="380" t="s">
        <v>4337</v>
      </c>
      <c r="D307" s="381" t="str">
        <f t="shared" si="8"/>
        <v>NACE C - 25.40 Forging and shaping metal and powder metallurgy</v>
      </c>
      <c r="K307" t="s">
        <v>3437</v>
      </c>
    </row>
    <row r="308" spans="1:11" x14ac:dyDescent="0.3">
      <c r="A308" s="380" t="s">
        <v>1180</v>
      </c>
      <c r="B308" t="s">
        <v>1181</v>
      </c>
      <c r="C308" s="378" t="s">
        <v>4314</v>
      </c>
      <c r="D308" s="380" t="str">
        <f t="shared" si="8"/>
        <v>NACE C - 25.5 Treatment and coating of metals; machining</v>
      </c>
      <c r="K308" t="s">
        <v>2934</v>
      </c>
    </row>
    <row r="309" spans="1:11" x14ac:dyDescent="0.3">
      <c r="A309" s="381" t="s">
        <v>1182</v>
      </c>
      <c r="B309" t="s">
        <v>1183</v>
      </c>
      <c r="C309" s="377" t="s">
        <v>4339</v>
      </c>
      <c r="D309" s="381" t="str">
        <f t="shared" si="8"/>
        <v>NACE C - 25.51 Coating of metals</v>
      </c>
      <c r="K309" t="s">
        <v>3438</v>
      </c>
    </row>
    <row r="310" spans="1:11" x14ac:dyDescent="0.3">
      <c r="A310" s="381" t="s">
        <v>1184</v>
      </c>
      <c r="B310" t="s">
        <v>1185</v>
      </c>
      <c r="C310" s="380" t="s">
        <v>4340</v>
      </c>
      <c r="D310" s="381" t="str">
        <f t="shared" si="8"/>
        <v>NACE C - 25.52 Heat treatment of metals</v>
      </c>
      <c r="K310" t="s">
        <v>2935</v>
      </c>
    </row>
    <row r="311" spans="1:11" x14ac:dyDescent="0.3">
      <c r="A311" s="381" t="s">
        <v>1186</v>
      </c>
      <c r="B311" t="s">
        <v>1187</v>
      </c>
      <c r="C311" s="380" t="s">
        <v>4341</v>
      </c>
      <c r="D311" s="381" t="str">
        <f t="shared" si="8"/>
        <v>NACE C - 25.53 Machining of metals</v>
      </c>
      <c r="K311" t="s">
        <v>3439</v>
      </c>
    </row>
    <row r="312" spans="1:11" x14ac:dyDescent="0.3">
      <c r="A312" s="380" t="s">
        <v>1188</v>
      </c>
      <c r="B312" t="s">
        <v>1189</v>
      </c>
      <c r="C312" s="380" t="s">
        <v>4342</v>
      </c>
      <c r="D312" s="380" t="str">
        <f t="shared" si="8"/>
        <v>NACE C - 25.6 Manufacture of cutlery, tools and general hardware</v>
      </c>
      <c r="K312" t="s">
        <v>2936</v>
      </c>
    </row>
    <row r="313" spans="1:11" x14ac:dyDescent="0.3">
      <c r="A313" s="381" t="s">
        <v>1190</v>
      </c>
      <c r="B313" t="s">
        <v>1191</v>
      </c>
      <c r="C313" s="380" t="s">
        <v>4343</v>
      </c>
      <c r="D313" s="381" t="str">
        <f t="shared" si="8"/>
        <v>NACE C - 25.61 Manufacture of cutlery</v>
      </c>
      <c r="K313" t="s">
        <v>3217</v>
      </c>
    </row>
    <row r="314" spans="1:11" x14ac:dyDescent="0.3">
      <c r="A314" s="381" t="s">
        <v>1192</v>
      </c>
      <c r="B314" t="s">
        <v>1193</v>
      </c>
      <c r="C314" s="380" t="s">
        <v>4344</v>
      </c>
      <c r="D314" s="381" t="str">
        <f t="shared" si="8"/>
        <v>NACE C - 25.62 Manufacture of locks and hinges</v>
      </c>
      <c r="K314" t="s">
        <v>2937</v>
      </c>
    </row>
    <row r="315" spans="1:11" x14ac:dyDescent="0.3">
      <c r="A315" s="381" t="s">
        <v>1194</v>
      </c>
      <c r="B315" t="s">
        <v>1195</v>
      </c>
      <c r="C315" s="377" t="s">
        <v>4345</v>
      </c>
      <c r="D315" s="381" t="str">
        <f t="shared" si="8"/>
        <v>NACE C - 25.63 Manufacture of tools</v>
      </c>
      <c r="K315" t="s">
        <v>2938</v>
      </c>
    </row>
    <row r="316" spans="1:11" x14ac:dyDescent="0.3">
      <c r="A316" s="380" t="s">
        <v>1196</v>
      </c>
      <c r="B316" t="s">
        <v>1197</v>
      </c>
      <c r="C316" s="380" t="s">
        <v>4346</v>
      </c>
      <c r="D316" s="380" t="str">
        <f t="shared" si="8"/>
        <v>NACE C - 25.9 Manufacture of other fabricated metal products</v>
      </c>
      <c r="K316" t="s">
        <v>2939</v>
      </c>
    </row>
    <row r="317" spans="1:11" x14ac:dyDescent="0.3">
      <c r="A317" s="381" t="s">
        <v>1198</v>
      </c>
      <c r="B317" t="s">
        <v>1199</v>
      </c>
      <c r="C317" s="380" t="s">
        <v>4347</v>
      </c>
      <c r="D317" s="381" t="str">
        <f t="shared" si="8"/>
        <v>NACE C - 25.91 Manufacture of steel drums and similar containers</v>
      </c>
      <c r="K317" t="s">
        <v>2940</v>
      </c>
    </row>
    <row r="318" spans="1:11" x14ac:dyDescent="0.3">
      <c r="A318" s="381" t="s">
        <v>1200</v>
      </c>
      <c r="B318" t="s">
        <v>1201</v>
      </c>
      <c r="C318" s="377" t="s">
        <v>4348</v>
      </c>
      <c r="D318" s="381" t="str">
        <f t="shared" si="8"/>
        <v>NACE C - 25.92 Manufacture of light metal packaging</v>
      </c>
      <c r="K318" t="s">
        <v>3218</v>
      </c>
    </row>
    <row r="319" spans="1:11" x14ac:dyDescent="0.3">
      <c r="A319" s="381" t="s">
        <v>1202</v>
      </c>
      <c r="B319" t="s">
        <v>1203</v>
      </c>
      <c r="C319" s="380" t="s">
        <v>4349</v>
      </c>
      <c r="D319" s="381" t="str">
        <f t="shared" si="8"/>
        <v>NACE C - 25.93 Manufacture of wire products, chain and springs</v>
      </c>
      <c r="K319" t="s">
        <v>3440</v>
      </c>
    </row>
    <row r="320" spans="1:11" x14ac:dyDescent="0.3">
      <c r="A320" s="381" t="s">
        <v>1204</v>
      </c>
      <c r="B320" t="s">
        <v>1205</v>
      </c>
      <c r="C320" s="380" t="s">
        <v>4350</v>
      </c>
      <c r="D320" s="381" t="str">
        <f t="shared" si="8"/>
        <v>NACE C - 25.94 Manufacture of fasteners and screw machine products</v>
      </c>
      <c r="K320" t="s">
        <v>3441</v>
      </c>
    </row>
    <row r="321" spans="1:11" x14ac:dyDescent="0.3">
      <c r="A321" s="381" t="s">
        <v>1206</v>
      </c>
      <c r="B321" t="s">
        <v>1207</v>
      </c>
      <c r="C321" s="377" t="s">
        <v>4351</v>
      </c>
      <c r="D321" s="381" t="str">
        <f t="shared" si="8"/>
        <v>NACE C - 25.99 Manufacture of other fabricated metal products n.e.c.</v>
      </c>
      <c r="K321" t="s">
        <v>2941</v>
      </c>
    </row>
    <row r="322" spans="1:11" x14ac:dyDescent="0.3">
      <c r="A322" s="377" t="s">
        <v>1208</v>
      </c>
      <c r="B322" t="s">
        <v>1209</v>
      </c>
      <c r="C322" s="380" t="s">
        <v>4352</v>
      </c>
      <c r="D322" s="377" t="str">
        <f t="shared" ref="D322:D385" si="9">_xlfn.CONCAT("NACE ", A322)</f>
        <v>NACE C - 26 Manufacture of computer, electronic and optical products</v>
      </c>
      <c r="K322" t="s">
        <v>2942</v>
      </c>
    </row>
    <row r="323" spans="1:11" x14ac:dyDescent="0.3">
      <c r="A323" s="380" t="s">
        <v>1210</v>
      </c>
      <c r="B323" t="s">
        <v>1211</v>
      </c>
      <c r="C323" s="377" t="s">
        <v>4353</v>
      </c>
      <c r="D323" s="380" t="str">
        <f t="shared" si="9"/>
        <v>NACE C - 26.1 Manufacture of electronic components and boards</v>
      </c>
      <c r="K323" t="s">
        <v>3442</v>
      </c>
    </row>
    <row r="324" spans="1:11" x14ac:dyDescent="0.3">
      <c r="A324" s="381" t="s">
        <v>1212</v>
      </c>
      <c r="B324" t="s">
        <v>1213</v>
      </c>
      <c r="C324" s="380" t="s">
        <v>4354</v>
      </c>
      <c r="D324" s="381" t="str">
        <f t="shared" si="9"/>
        <v>NACE C - 26.11 Manufacture of electronic components</v>
      </c>
      <c r="K324" t="s">
        <v>3443</v>
      </c>
    </row>
    <row r="325" spans="1:11" x14ac:dyDescent="0.3">
      <c r="A325" s="381" t="s">
        <v>1214</v>
      </c>
      <c r="B325" t="s">
        <v>1215</v>
      </c>
      <c r="C325" s="380" t="s">
        <v>4355</v>
      </c>
      <c r="D325" s="381" t="str">
        <f t="shared" si="9"/>
        <v>NACE C - 26.12 Manufacture of loaded electronic boards</v>
      </c>
      <c r="K325" t="s">
        <v>2943</v>
      </c>
    </row>
    <row r="326" spans="1:11" x14ac:dyDescent="0.3">
      <c r="A326" s="380" t="s">
        <v>1216</v>
      </c>
      <c r="B326" t="s">
        <v>1217</v>
      </c>
      <c r="C326" s="380" t="s">
        <v>4356</v>
      </c>
      <c r="D326" s="380" t="str">
        <f t="shared" si="9"/>
        <v>NACE C - 26.2 Manufacture of computers and peripheral equipment</v>
      </c>
      <c r="K326" t="s">
        <v>2944</v>
      </c>
    </row>
    <row r="327" spans="1:11" x14ac:dyDescent="0.3">
      <c r="A327" s="381" t="s">
        <v>1218</v>
      </c>
      <c r="B327" t="s">
        <v>1219</v>
      </c>
      <c r="C327" s="377" t="s">
        <v>4357</v>
      </c>
      <c r="D327" s="381" t="str">
        <f t="shared" si="9"/>
        <v>NACE C - 26.20 Manufacture of computers and peripheral equipment</v>
      </c>
      <c r="K327" t="s">
        <v>2945</v>
      </c>
    </row>
    <row r="328" spans="1:11" x14ac:dyDescent="0.3">
      <c r="A328" s="380" t="s">
        <v>1220</v>
      </c>
      <c r="B328" t="s">
        <v>1221</v>
      </c>
      <c r="C328" s="380" t="s">
        <v>4358</v>
      </c>
      <c r="D328" s="380" t="str">
        <f t="shared" si="9"/>
        <v>NACE C - 26.3 Manufacture of communication equipment</v>
      </c>
      <c r="K328" t="s">
        <v>3444</v>
      </c>
    </row>
    <row r="329" spans="1:11" x14ac:dyDescent="0.3">
      <c r="A329" s="381" t="s">
        <v>1222</v>
      </c>
      <c r="B329" t="s">
        <v>1223</v>
      </c>
      <c r="C329" s="380" t="s">
        <v>4359</v>
      </c>
      <c r="D329" s="381" t="str">
        <f t="shared" si="9"/>
        <v>NACE C - 26.30 Manufacture of communication equipment</v>
      </c>
      <c r="K329" t="s">
        <v>3445</v>
      </c>
    </row>
    <row r="330" spans="1:11" x14ac:dyDescent="0.3">
      <c r="A330" s="380" t="s">
        <v>1224</v>
      </c>
      <c r="B330" t="s">
        <v>1225</v>
      </c>
      <c r="C330" s="380" t="s">
        <v>4360</v>
      </c>
      <c r="D330" s="380" t="str">
        <f t="shared" si="9"/>
        <v>NACE C - 26.4 Manufacture of consumer electronics</v>
      </c>
      <c r="K330" t="s">
        <v>2946</v>
      </c>
    </row>
    <row r="331" spans="1:11" x14ac:dyDescent="0.3">
      <c r="A331" s="381" t="s">
        <v>1226</v>
      </c>
      <c r="B331" t="s">
        <v>1227</v>
      </c>
      <c r="C331" s="380" t="s">
        <v>4361</v>
      </c>
      <c r="D331" s="381" t="str">
        <f t="shared" si="9"/>
        <v>NACE C - 26.40 Manufacture of consumer electronics</v>
      </c>
      <c r="K331" t="s">
        <v>3219</v>
      </c>
    </row>
    <row r="332" spans="1:11" x14ac:dyDescent="0.3">
      <c r="A332" s="380" t="s">
        <v>1228</v>
      </c>
      <c r="B332" t="s">
        <v>1229</v>
      </c>
      <c r="C332" s="380" t="s">
        <v>4362</v>
      </c>
      <c r="D332" s="380" t="str">
        <f t="shared" si="9"/>
        <v>NACE C - 26.5 Manufacture of measuring testing instruments, clocks and watches</v>
      </c>
      <c r="K332" t="s">
        <v>3446</v>
      </c>
    </row>
    <row r="333" spans="1:11" x14ac:dyDescent="0.3">
      <c r="A333" s="381" t="s">
        <v>1230</v>
      </c>
      <c r="B333" t="s">
        <v>1231</v>
      </c>
      <c r="C333" s="378" t="s">
        <v>4338</v>
      </c>
      <c r="D333" s="381" t="str">
        <f t="shared" si="9"/>
        <v>NACE C - 26.51 Manufacture of instruments and appliances for measuring, testing and navigation</v>
      </c>
      <c r="K333" t="s">
        <v>2947</v>
      </c>
    </row>
    <row r="334" spans="1:11" x14ac:dyDescent="0.3">
      <c r="A334" s="381" t="s">
        <v>1232</v>
      </c>
      <c r="B334" t="s">
        <v>1233</v>
      </c>
      <c r="C334" s="377" t="s">
        <v>4364</v>
      </c>
      <c r="D334" s="381" t="str">
        <f t="shared" si="9"/>
        <v>NACE C - 26.52 Manufacture of watches and clocks</v>
      </c>
      <c r="K334" t="s">
        <v>3447</v>
      </c>
    </row>
    <row r="335" spans="1:11" x14ac:dyDescent="0.3">
      <c r="A335" s="380" t="s">
        <v>1234</v>
      </c>
      <c r="B335" t="s">
        <v>1235</v>
      </c>
      <c r="C335" s="380" t="s">
        <v>4365</v>
      </c>
      <c r="D335" s="380" t="str">
        <f t="shared" si="9"/>
        <v>NACE C - 26.6 Manufacture of irradiation, electromedical and electrotherapeutic equipment</v>
      </c>
      <c r="K335" t="s">
        <v>2948</v>
      </c>
    </row>
    <row r="336" spans="1:11" x14ac:dyDescent="0.3">
      <c r="A336" s="381" t="s">
        <v>1236</v>
      </c>
      <c r="B336" t="s">
        <v>1237</v>
      </c>
      <c r="C336" s="380" t="s">
        <v>4366</v>
      </c>
      <c r="D336" s="381" t="str">
        <f t="shared" si="9"/>
        <v>NACE C - 26.60 Manufacture of irradiation, electromedical and electrotherapeutic equipment</v>
      </c>
      <c r="K336" t="s">
        <v>3448</v>
      </c>
    </row>
    <row r="337" spans="1:11" x14ac:dyDescent="0.3">
      <c r="A337" s="380" t="s">
        <v>1238</v>
      </c>
      <c r="B337" t="s">
        <v>1239</v>
      </c>
      <c r="C337" s="380" t="s">
        <v>4367</v>
      </c>
      <c r="D337" s="380" t="str">
        <f t="shared" si="9"/>
        <v>NACE C - 26.7 Manufacture of optical instruments, magnetic and optical media and photographic equipment</v>
      </c>
      <c r="K337" t="s">
        <v>2949</v>
      </c>
    </row>
    <row r="338" spans="1:11" x14ac:dyDescent="0.3">
      <c r="A338" s="381" t="s">
        <v>1240</v>
      </c>
      <c r="B338" t="s">
        <v>1241</v>
      </c>
      <c r="C338" s="378" t="s">
        <v>4363</v>
      </c>
      <c r="D338" s="381" t="str">
        <f t="shared" si="9"/>
        <v>NACE C - 26.70 Manufacture of optical instruments, magnetic and optical media and photographic equipment</v>
      </c>
      <c r="K338" t="s">
        <v>3449</v>
      </c>
    </row>
    <row r="339" spans="1:11" x14ac:dyDescent="0.3">
      <c r="A339" s="377" t="s">
        <v>1242</v>
      </c>
      <c r="B339" t="s">
        <v>1243</v>
      </c>
      <c r="C339" s="377" t="s">
        <v>4369</v>
      </c>
      <c r="D339" s="377" t="str">
        <f t="shared" si="9"/>
        <v>NACE C - 27 Manufacture of electrical equipment</v>
      </c>
      <c r="K339" t="s">
        <v>2950</v>
      </c>
    </row>
    <row r="340" spans="1:11" x14ac:dyDescent="0.3">
      <c r="A340" s="380" t="s">
        <v>1244</v>
      </c>
      <c r="B340" t="s">
        <v>1245</v>
      </c>
      <c r="C340" s="380" t="s">
        <v>4370</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4371</v>
      </c>
      <c r="D341" s="381" t="str">
        <f t="shared" si="9"/>
        <v>NACE C - 27.11 Manufacture of electric motors, generators and transformers</v>
      </c>
      <c r="K341" t="s">
        <v>3220</v>
      </c>
    </row>
    <row r="342" spans="1:11" x14ac:dyDescent="0.3">
      <c r="A342" s="381" t="s">
        <v>1248</v>
      </c>
      <c r="B342" t="s">
        <v>1249</v>
      </c>
      <c r="C342" s="380" t="s">
        <v>4372</v>
      </c>
      <c r="D342" s="381" t="str">
        <f t="shared" si="9"/>
        <v>NACE C - 27.12 Manufacture of electricity distribution and control apparatus</v>
      </c>
      <c r="K342" t="s">
        <v>3450</v>
      </c>
    </row>
    <row r="343" spans="1:11" x14ac:dyDescent="0.3">
      <c r="A343" s="380" t="s">
        <v>1250</v>
      </c>
      <c r="B343" t="s">
        <v>1251</v>
      </c>
      <c r="C343" s="380" t="s">
        <v>4373</v>
      </c>
      <c r="D343" s="380" t="str">
        <f t="shared" si="9"/>
        <v>NACE C - 27.2 Manufacture of batteries and accumulators</v>
      </c>
      <c r="K343" t="s">
        <v>2761</v>
      </c>
    </row>
    <row r="344" spans="1:11" x14ac:dyDescent="0.3">
      <c r="A344" s="381" t="s">
        <v>1252</v>
      </c>
      <c r="B344" t="s">
        <v>1253</v>
      </c>
      <c r="C344" s="380" t="s">
        <v>4374</v>
      </c>
      <c r="D344" s="381" t="str">
        <f t="shared" si="9"/>
        <v>NACE C - 27.20 Manufacture of batteries and accumulators</v>
      </c>
      <c r="K344" t="s">
        <v>3221</v>
      </c>
    </row>
    <row r="345" spans="1:11" x14ac:dyDescent="0.3">
      <c r="A345" s="380" t="s">
        <v>1254</v>
      </c>
      <c r="B345" t="s">
        <v>1255</v>
      </c>
      <c r="C345" s="380" t="s">
        <v>4375</v>
      </c>
      <c r="D345" s="380" t="str">
        <f t="shared" si="9"/>
        <v>NACE C - 27.3 Manufacture of wiring and wiring devices</v>
      </c>
      <c r="K345" t="s">
        <v>3451</v>
      </c>
    </row>
    <row r="346" spans="1:11" x14ac:dyDescent="0.3">
      <c r="A346" s="381" t="s">
        <v>1256</v>
      </c>
      <c r="B346" t="s">
        <v>1257</v>
      </c>
      <c r="C346" s="378" t="s">
        <v>4368</v>
      </c>
      <c r="D346" s="381" t="str">
        <f t="shared" si="9"/>
        <v>NACE C - 27.31 Manufacture of fibre optic cables</v>
      </c>
      <c r="K346" t="s">
        <v>3452</v>
      </c>
    </row>
    <row r="347" spans="1:11" x14ac:dyDescent="0.3">
      <c r="A347" s="381" t="s">
        <v>1258</v>
      </c>
      <c r="B347" t="s">
        <v>1259</v>
      </c>
      <c r="C347" s="377" t="s">
        <v>4377</v>
      </c>
      <c r="D347" s="381" t="str">
        <f t="shared" si="9"/>
        <v>NACE C - 27.32 Manufacture of other electronic and electric wires and cables</v>
      </c>
      <c r="K347" t="s">
        <v>3453</v>
      </c>
    </row>
    <row r="348" spans="1:11" x14ac:dyDescent="0.3">
      <c r="A348" s="381" t="s">
        <v>1260</v>
      </c>
      <c r="B348" t="s">
        <v>1261</v>
      </c>
      <c r="C348" s="380" t="s">
        <v>4378</v>
      </c>
      <c r="D348" s="381" t="str">
        <f t="shared" si="9"/>
        <v>NACE C - 27.33 Manufacture of wiring devices</v>
      </c>
      <c r="K348" t="s">
        <v>3454</v>
      </c>
    </row>
    <row r="349" spans="1:11" x14ac:dyDescent="0.3">
      <c r="A349" s="380" t="s">
        <v>1262</v>
      </c>
      <c r="B349" t="s">
        <v>1263</v>
      </c>
      <c r="C349" s="380" t="s">
        <v>4379</v>
      </c>
      <c r="D349" s="380" t="str">
        <f t="shared" si="9"/>
        <v>NACE C - 27.4 Manufacture of lighting equipment</v>
      </c>
      <c r="K349" t="s">
        <v>3455</v>
      </c>
    </row>
    <row r="350" spans="1:11" x14ac:dyDescent="0.3">
      <c r="A350" s="381" t="s">
        <v>1264</v>
      </c>
      <c r="B350" t="s">
        <v>1265</v>
      </c>
      <c r="C350" s="380" t="s">
        <v>4380</v>
      </c>
      <c r="D350" s="381" t="str">
        <f t="shared" si="9"/>
        <v>NACE C - 27.40 Manufacture of lighting equipment</v>
      </c>
      <c r="K350" t="s">
        <v>3456</v>
      </c>
    </row>
    <row r="351" spans="1:11" x14ac:dyDescent="0.3">
      <c r="A351" s="380" t="s">
        <v>1266</v>
      </c>
      <c r="B351" t="s">
        <v>1267</v>
      </c>
      <c r="C351" s="377" t="s">
        <v>4381</v>
      </c>
      <c r="D351" s="380" t="str">
        <f t="shared" si="9"/>
        <v>NACE C - 27.5 Manufacture of domestic appliances</v>
      </c>
      <c r="K351" t="s">
        <v>2952</v>
      </c>
    </row>
    <row r="352" spans="1:11" x14ac:dyDescent="0.3">
      <c r="A352" s="381" t="s">
        <v>1268</v>
      </c>
      <c r="B352" t="s">
        <v>1269</v>
      </c>
      <c r="C352" s="380" t="s">
        <v>4382</v>
      </c>
      <c r="D352" s="381" t="str">
        <f t="shared" si="9"/>
        <v>NACE C - 27.51 Manufacture of electric domestic appliances</v>
      </c>
      <c r="K352" t="s">
        <v>2953</v>
      </c>
    </row>
    <row r="353" spans="1:11" x14ac:dyDescent="0.3">
      <c r="A353" s="381" t="s">
        <v>1270</v>
      </c>
      <c r="B353" t="s">
        <v>1271</v>
      </c>
      <c r="C353" s="380" t="s">
        <v>4383</v>
      </c>
      <c r="D353" s="381" t="str">
        <f t="shared" si="9"/>
        <v>NACE C - 27.52 Manufacture of non-electric domestic appliances</v>
      </c>
      <c r="K353" t="s">
        <v>2954</v>
      </c>
    </row>
    <row r="354" spans="1:11" x14ac:dyDescent="0.3">
      <c r="A354" s="380" t="s">
        <v>1272</v>
      </c>
      <c r="B354" t="s">
        <v>1273</v>
      </c>
      <c r="C354" s="380" t="s">
        <v>4384</v>
      </c>
      <c r="D354" s="380" t="str">
        <f t="shared" si="9"/>
        <v>NACE C - 27.9 Manufacture of other electrical equipment</v>
      </c>
      <c r="K354" t="s">
        <v>3457</v>
      </c>
    </row>
    <row r="355" spans="1:11" x14ac:dyDescent="0.3">
      <c r="A355" s="381" t="s">
        <v>1274</v>
      </c>
      <c r="B355" t="s">
        <v>1275</v>
      </c>
      <c r="C355" s="380" t="s">
        <v>4385</v>
      </c>
      <c r="D355" s="381" t="str">
        <f t="shared" si="9"/>
        <v>NACE C - 27.90 Manufacture of other electrical equipment</v>
      </c>
      <c r="K355" t="s">
        <v>2955</v>
      </c>
    </row>
    <row r="356" spans="1:11" x14ac:dyDescent="0.3">
      <c r="A356" s="377" t="s">
        <v>1276</v>
      </c>
      <c r="B356" t="s">
        <v>1277</v>
      </c>
      <c r="C356" s="377" t="s">
        <v>4386</v>
      </c>
      <c r="D356" s="377" t="str">
        <f t="shared" si="9"/>
        <v>NACE C - 28 Manufacture of machinery and equipment n.e.c.</v>
      </c>
      <c r="K356" t="s">
        <v>2956</v>
      </c>
    </row>
    <row r="357" spans="1:11" x14ac:dyDescent="0.3">
      <c r="A357" s="380" t="s">
        <v>1278</v>
      </c>
      <c r="B357" t="s">
        <v>1279</v>
      </c>
      <c r="C357" s="380" t="s">
        <v>4387</v>
      </c>
      <c r="D357" s="380" t="str">
        <f t="shared" si="9"/>
        <v>NACE C - 28.1 Manufacture of general-purpose machinery</v>
      </c>
      <c r="K357" t="s">
        <v>2762</v>
      </c>
    </row>
    <row r="358" spans="1:11" x14ac:dyDescent="0.3">
      <c r="A358" s="381" t="s">
        <v>1280</v>
      </c>
      <c r="B358" t="s">
        <v>1281</v>
      </c>
      <c r="C358" s="380" t="s">
        <v>4388</v>
      </c>
      <c r="D358" s="381" t="str">
        <f t="shared" si="9"/>
        <v>NACE C - 28.11 Manufacture of engines and turbines, except aircraft, vehicle and cycle engines</v>
      </c>
      <c r="K358" t="s">
        <v>3222</v>
      </c>
    </row>
    <row r="359" spans="1:11" x14ac:dyDescent="0.3">
      <c r="A359" s="381" t="s">
        <v>1282</v>
      </c>
      <c r="B359" t="s">
        <v>1283</v>
      </c>
      <c r="C359" s="378" t="s">
        <v>4376</v>
      </c>
      <c r="D359" s="381" t="str">
        <f t="shared" si="9"/>
        <v>NACE C - 28.12 Manufacture of fluid power equipment</v>
      </c>
      <c r="K359" t="s">
        <v>2957</v>
      </c>
    </row>
    <row r="360" spans="1:11" x14ac:dyDescent="0.3">
      <c r="A360" s="381" t="s">
        <v>1284</v>
      </c>
      <c r="B360" t="s">
        <v>1285</v>
      </c>
      <c r="C360" s="377" t="s">
        <v>4390</v>
      </c>
      <c r="D360" s="381" t="str">
        <f t="shared" si="9"/>
        <v>NACE C - 28.13 Manufacture of other pumps and compressors</v>
      </c>
      <c r="K360" t="s">
        <v>2958</v>
      </c>
    </row>
    <row r="361" spans="1:11" x14ac:dyDescent="0.3">
      <c r="A361" s="381" t="s">
        <v>1286</v>
      </c>
      <c r="B361" t="s">
        <v>1287</v>
      </c>
      <c r="C361" s="380" t="s">
        <v>4391</v>
      </c>
      <c r="D361" s="381" t="str">
        <f t="shared" si="9"/>
        <v>NACE C - 28.14 Manufacture of other taps and valves</v>
      </c>
      <c r="K361" t="s">
        <v>2959</v>
      </c>
    </row>
    <row r="362" spans="1:11" x14ac:dyDescent="0.3">
      <c r="A362" s="381" t="s">
        <v>1288</v>
      </c>
      <c r="B362" t="s">
        <v>1289</v>
      </c>
      <c r="C362" s="380" t="s">
        <v>4392</v>
      </c>
      <c r="D362" s="381" t="str">
        <f t="shared" si="9"/>
        <v>NACE C - 28.15 Manufacture of bearings, gears, gearing and driving elements</v>
      </c>
      <c r="K362" t="s">
        <v>3458</v>
      </c>
    </row>
    <row r="363" spans="1:11" x14ac:dyDescent="0.3">
      <c r="A363" s="380" t="s">
        <v>1290</v>
      </c>
      <c r="B363" t="s">
        <v>1291</v>
      </c>
      <c r="C363" s="380" t="s">
        <v>4393</v>
      </c>
      <c r="D363" s="380" t="str">
        <f t="shared" si="9"/>
        <v>NACE C - 28.2 Manufacture of other general-purpose machinery</v>
      </c>
      <c r="K363" t="s">
        <v>2960</v>
      </c>
    </row>
    <row r="364" spans="1:11" x14ac:dyDescent="0.3">
      <c r="A364" s="381" t="s">
        <v>1292</v>
      </c>
      <c r="B364" t="s">
        <v>1293</v>
      </c>
      <c r="C364" s="377" t="s">
        <v>4394</v>
      </c>
      <c r="D364" s="381" t="str">
        <f t="shared" si="9"/>
        <v>NACE C - 28.21 Manufacture of ovens, furnaces and permanent household heating equipment</v>
      </c>
      <c r="K364" t="s">
        <v>2961</v>
      </c>
    </row>
    <row r="365" spans="1:11" x14ac:dyDescent="0.3">
      <c r="A365" s="381" t="s">
        <v>1294</v>
      </c>
      <c r="B365" t="s">
        <v>1295</v>
      </c>
      <c r="C365" s="380" t="s">
        <v>4395</v>
      </c>
      <c r="D365" s="381" t="str">
        <f t="shared" si="9"/>
        <v>NACE C - 28.22 Manufacture of lifting and handling equipment</v>
      </c>
      <c r="K365" t="s">
        <v>2962</v>
      </c>
    </row>
    <row r="366" spans="1:11" x14ac:dyDescent="0.3">
      <c r="A366" s="381" t="s">
        <v>1296</v>
      </c>
      <c r="B366" t="s">
        <v>1297</v>
      </c>
      <c r="C366" s="380" t="s">
        <v>4396</v>
      </c>
      <c r="D366" s="381" t="str">
        <f t="shared" si="9"/>
        <v>NACE C - 28.23 Manufacture of office machinery and equipment, except computers and peripheral equipment</v>
      </c>
      <c r="K366" t="s">
        <v>2963</v>
      </c>
    </row>
    <row r="367" spans="1:11" x14ac:dyDescent="0.3">
      <c r="A367" s="381" t="s">
        <v>1298</v>
      </c>
      <c r="B367" t="s">
        <v>1299</v>
      </c>
      <c r="C367" s="380" t="s">
        <v>4397</v>
      </c>
      <c r="D367" s="381" t="str">
        <f t="shared" si="9"/>
        <v>NACE C - 28.24 Manufacture of power-driven hand tools</v>
      </c>
      <c r="K367" t="s">
        <v>3459</v>
      </c>
    </row>
    <row r="368" spans="1:11" x14ac:dyDescent="0.3">
      <c r="A368" s="381" t="s">
        <v>1300</v>
      </c>
      <c r="B368" t="s">
        <v>1301</v>
      </c>
      <c r="C368" s="380" t="s">
        <v>4398</v>
      </c>
      <c r="D368" s="381" t="str">
        <f t="shared" si="9"/>
        <v>NACE C - 28.25 Manufacture of non-domestic air conditioning equipment</v>
      </c>
      <c r="K368" t="s">
        <v>2964</v>
      </c>
    </row>
    <row r="369" spans="1:11" x14ac:dyDescent="0.3">
      <c r="A369" s="381" t="s">
        <v>1302</v>
      </c>
      <c r="B369" t="s">
        <v>1303</v>
      </c>
      <c r="C369" s="377" t="s">
        <v>4399</v>
      </c>
      <c r="D369" s="381" t="str">
        <f t="shared" si="9"/>
        <v>NACE C - 28.29 Manufacture of other general-purpose machinery n.e.c.</v>
      </c>
      <c r="K369" t="s">
        <v>2965</v>
      </c>
    </row>
    <row r="370" spans="1:11" x14ac:dyDescent="0.3">
      <c r="A370" s="380" t="s">
        <v>1304</v>
      </c>
      <c r="B370" t="s">
        <v>1305</v>
      </c>
      <c r="C370" s="380" t="s">
        <v>4400</v>
      </c>
      <c r="D370" s="380" t="str">
        <f t="shared" si="9"/>
        <v>NACE C - 28.3 Manufacture of agricultural and forestry machinery</v>
      </c>
      <c r="K370" t="s">
        <v>3460</v>
      </c>
    </row>
    <row r="371" spans="1:11" x14ac:dyDescent="0.3">
      <c r="A371" s="381" t="s">
        <v>1306</v>
      </c>
      <c r="B371" t="s">
        <v>1307</v>
      </c>
      <c r="C371" s="377" t="s">
        <v>4401</v>
      </c>
      <c r="D371" s="381" t="str">
        <f t="shared" si="9"/>
        <v>NACE C - 28.30 Manufacture of agricultural and forestry machinery</v>
      </c>
      <c r="K371" t="s">
        <v>2966</v>
      </c>
    </row>
    <row r="372" spans="1:11" x14ac:dyDescent="0.3">
      <c r="A372" s="380" t="s">
        <v>1308</v>
      </c>
      <c r="B372" t="s">
        <v>1309</v>
      </c>
      <c r="C372" s="380" t="s">
        <v>4402</v>
      </c>
      <c r="D372" s="380" t="str">
        <f t="shared" si="9"/>
        <v>NACE C - 28.4 Manufacture of metal forming machinery and machine tools</v>
      </c>
      <c r="K372" t="s">
        <v>3223</v>
      </c>
    </row>
    <row r="373" spans="1:11" x14ac:dyDescent="0.3">
      <c r="A373" s="381" t="s">
        <v>1310</v>
      </c>
      <c r="B373" t="s">
        <v>1311</v>
      </c>
      <c r="C373" s="380" t="s">
        <v>4403</v>
      </c>
      <c r="D373" s="381" t="str">
        <f t="shared" si="9"/>
        <v>NACE C - 28.41 Manufacture of metal forming machinery and machine tools for metal work</v>
      </c>
      <c r="K373" t="s">
        <v>2967</v>
      </c>
    </row>
    <row r="374" spans="1:11" x14ac:dyDescent="0.3">
      <c r="A374" s="381" t="s">
        <v>1312</v>
      </c>
      <c r="B374" t="s">
        <v>1313</v>
      </c>
      <c r="C374" s="378" t="s">
        <v>4389</v>
      </c>
      <c r="D374" s="381" t="str">
        <f t="shared" si="9"/>
        <v>NACE C - 28.42 Manufacture of other machine tools</v>
      </c>
      <c r="K374" t="s">
        <v>2968</v>
      </c>
    </row>
    <row r="375" spans="1:11" x14ac:dyDescent="0.3">
      <c r="A375" s="380" t="s">
        <v>1314</v>
      </c>
      <c r="B375" t="s">
        <v>1315</v>
      </c>
      <c r="C375" s="377" t="s">
        <v>4405</v>
      </c>
      <c r="D375" s="380" t="str">
        <f t="shared" si="9"/>
        <v>NACE C - 28.9 Manufacture of other special-purpose machinery</v>
      </c>
      <c r="K375" t="s">
        <v>2969</v>
      </c>
    </row>
    <row r="376" spans="1:11" x14ac:dyDescent="0.3">
      <c r="A376" s="381" t="s">
        <v>1316</v>
      </c>
      <c r="B376" t="s">
        <v>1317</v>
      </c>
      <c r="C376" s="380" t="s">
        <v>4406</v>
      </c>
      <c r="D376" s="381" t="str">
        <f t="shared" si="9"/>
        <v>NACE C - 28.91 Manufacture of machinery for metallurgy</v>
      </c>
      <c r="K376" t="s">
        <v>2970</v>
      </c>
    </row>
    <row r="377" spans="1:11" x14ac:dyDescent="0.3">
      <c r="A377" s="381" t="s">
        <v>1318</v>
      </c>
      <c r="B377" t="s">
        <v>1319</v>
      </c>
      <c r="C377" s="380" t="s">
        <v>4407</v>
      </c>
      <c r="D377" s="381" t="str">
        <f t="shared" si="9"/>
        <v>NACE C - 28.92 Manufacture of machinery for mining, quarrying and construction</v>
      </c>
      <c r="K377" t="s">
        <v>3461</v>
      </c>
    </row>
    <row r="378" spans="1:11" x14ac:dyDescent="0.3">
      <c r="A378" s="381" t="s">
        <v>1320</v>
      </c>
      <c r="B378" t="s">
        <v>1321</v>
      </c>
      <c r="C378" s="380" t="s">
        <v>4408</v>
      </c>
      <c r="D378" s="381" t="str">
        <f t="shared" si="9"/>
        <v>NACE C - 28.93 Manufacture of machinery for food, beverage and tobacco processing</v>
      </c>
      <c r="K378" t="s">
        <v>2971</v>
      </c>
    </row>
    <row r="379" spans="1:11" x14ac:dyDescent="0.3">
      <c r="A379" s="381" t="s">
        <v>1322</v>
      </c>
      <c r="B379" t="s">
        <v>1323</v>
      </c>
      <c r="C379" s="377" t="s">
        <v>4409</v>
      </c>
      <c r="D379" s="381" t="str">
        <f t="shared" si="9"/>
        <v>NACE C - 28.94 Manufacture of machinery for textile, apparel and leather production</v>
      </c>
      <c r="K379" t="s">
        <v>2972</v>
      </c>
    </row>
    <row r="380" spans="1:11" x14ac:dyDescent="0.3">
      <c r="A380" s="381" t="s">
        <v>1324</v>
      </c>
      <c r="B380" t="s">
        <v>1325</v>
      </c>
      <c r="C380" s="380" t="s">
        <v>4410</v>
      </c>
      <c r="D380" s="381" t="str">
        <f t="shared" si="9"/>
        <v>NACE C - 28.95 Manufacture of machinery for paper and paperboard production</v>
      </c>
      <c r="K380" t="s">
        <v>2973</v>
      </c>
    </row>
    <row r="381" spans="1:11" x14ac:dyDescent="0.3">
      <c r="A381" s="381" t="s">
        <v>1326</v>
      </c>
      <c r="B381" t="s">
        <v>1327</v>
      </c>
      <c r="C381" s="380" t="s">
        <v>4411</v>
      </c>
      <c r="D381" s="381" t="str">
        <f t="shared" si="9"/>
        <v>NACE C - 28.96 Manufacture of plastics and rubber machinery</v>
      </c>
      <c r="K381" t="s">
        <v>3462</v>
      </c>
    </row>
    <row r="382" spans="1:11" x14ac:dyDescent="0.3">
      <c r="A382" s="381" t="s">
        <v>1328</v>
      </c>
      <c r="B382" t="s">
        <v>1329</v>
      </c>
      <c r="C382" s="380" t="s">
        <v>4412</v>
      </c>
      <c r="D382" s="381" t="str">
        <f t="shared" si="9"/>
        <v>NACE C - 28.97 Manufacture of additive manufacturing machinery</v>
      </c>
      <c r="K382" t="s">
        <v>2974</v>
      </c>
    </row>
    <row r="383" spans="1:11" x14ac:dyDescent="0.3">
      <c r="A383" s="381" t="s">
        <v>1330</v>
      </c>
      <c r="B383" t="s">
        <v>1331</v>
      </c>
      <c r="C383" s="380" t="s">
        <v>4413</v>
      </c>
      <c r="D383" s="381" t="str">
        <f t="shared" si="9"/>
        <v>NACE C - 28.99 Manufacture of other special-purpose machinery n.e.c.</v>
      </c>
      <c r="K383" t="s">
        <v>3463</v>
      </c>
    </row>
    <row r="384" spans="1:11" x14ac:dyDescent="0.3">
      <c r="A384" s="377" t="s">
        <v>1332</v>
      </c>
      <c r="B384" t="s">
        <v>1333</v>
      </c>
      <c r="C384" s="377" t="s">
        <v>4414</v>
      </c>
      <c r="D384" s="377" t="str">
        <f t="shared" si="9"/>
        <v>NACE C - 29 Manufacture of motor vehicles, trailers and semi-trailers</v>
      </c>
      <c r="K384" t="s">
        <v>2975</v>
      </c>
    </row>
    <row r="385" spans="1:11" x14ac:dyDescent="0.3">
      <c r="A385" s="380" t="s">
        <v>1334</v>
      </c>
      <c r="B385" t="s">
        <v>1335</v>
      </c>
      <c r="C385" s="380" t="s">
        <v>4415</v>
      </c>
      <c r="D385" s="380" t="str">
        <f t="shared" si="9"/>
        <v>NACE C - 29.1 Manufacture of motor vehicles</v>
      </c>
      <c r="K385" t="s">
        <v>2976</v>
      </c>
    </row>
    <row r="386" spans="1:11" x14ac:dyDescent="0.3">
      <c r="A386" s="381" t="s">
        <v>1336</v>
      </c>
      <c r="B386" t="s">
        <v>1337</v>
      </c>
      <c r="C386" s="380" t="s">
        <v>4416</v>
      </c>
      <c r="D386" s="381" t="str">
        <f t="shared" ref="D386:D449" si="10">_xlfn.CONCAT("NACE ", A386)</f>
        <v>NACE C - 29.10 Manufacture of motor vehicles</v>
      </c>
      <c r="K386" t="s">
        <v>3224</v>
      </c>
    </row>
    <row r="387" spans="1:11" x14ac:dyDescent="0.3">
      <c r="A387" s="380" t="s">
        <v>1338</v>
      </c>
      <c r="B387" t="s">
        <v>1339</v>
      </c>
      <c r="C387" s="380" t="s">
        <v>4417</v>
      </c>
      <c r="D387" s="380" t="str">
        <f t="shared" si="10"/>
        <v>NACE C - 29.2 Manufacture of bodies and coachwork for motor vehicles; manufacture of trailers and semi-trailers</v>
      </c>
      <c r="K387" t="s">
        <v>3464</v>
      </c>
    </row>
    <row r="388" spans="1:11" x14ac:dyDescent="0.3">
      <c r="A388" s="381" t="s">
        <v>1340</v>
      </c>
      <c r="B388" t="s">
        <v>1341</v>
      </c>
      <c r="C388" s="380" t="s">
        <v>4418</v>
      </c>
      <c r="D388" s="381" t="str">
        <f t="shared" si="10"/>
        <v>NACE C - 29.20 Manufacture of bodies and coachwork for motor vehicles; manufacture of trailers and semi-trailers</v>
      </c>
      <c r="K388" t="s">
        <v>2977</v>
      </c>
    </row>
    <row r="389" spans="1:11" x14ac:dyDescent="0.3">
      <c r="A389" s="380" t="s">
        <v>1342</v>
      </c>
      <c r="B389" t="s">
        <v>1343</v>
      </c>
      <c r="C389" s="380" t="s">
        <v>4419</v>
      </c>
      <c r="D389" s="380" t="str">
        <f t="shared" si="10"/>
        <v>NACE C - 29.3 Manufacture of motor vehicle parts and accessories</v>
      </c>
      <c r="K389" t="s">
        <v>3465</v>
      </c>
    </row>
    <row r="390" spans="1:11" x14ac:dyDescent="0.3">
      <c r="A390" s="381" t="s">
        <v>1344</v>
      </c>
      <c r="B390" t="s">
        <v>1345</v>
      </c>
      <c r="C390" s="378" t="s">
        <v>4404</v>
      </c>
      <c r="D390" s="381" t="str">
        <f t="shared" si="10"/>
        <v>NACE C - 29.31 Manufacture of electrical and electronic equipment for motor vehicles</v>
      </c>
      <c r="K390" t="s">
        <v>2978</v>
      </c>
    </row>
    <row r="391" spans="1:11" x14ac:dyDescent="0.3">
      <c r="A391" s="381" t="s">
        <v>1346</v>
      </c>
      <c r="B391" t="s">
        <v>1347</v>
      </c>
      <c r="C391" s="377" t="s">
        <v>4421</v>
      </c>
      <c r="D391" s="381" t="str">
        <f t="shared" si="10"/>
        <v>NACE C - 29.32 Manufacture of other parts and accessories for motor vehicles</v>
      </c>
      <c r="K391" t="s">
        <v>2979</v>
      </c>
    </row>
    <row r="392" spans="1:11" x14ac:dyDescent="0.3">
      <c r="A392" s="377" t="s">
        <v>1348</v>
      </c>
      <c r="B392" t="s">
        <v>1349</v>
      </c>
      <c r="C392" s="380" t="s">
        <v>4422</v>
      </c>
      <c r="D392" s="377" t="str">
        <f t="shared" si="10"/>
        <v>NACE C - 30 Manufacture of other transport equipment</v>
      </c>
      <c r="K392" t="s">
        <v>3466</v>
      </c>
    </row>
    <row r="393" spans="1:11" x14ac:dyDescent="0.3">
      <c r="A393" s="380" t="s">
        <v>1350</v>
      </c>
      <c r="B393" t="s">
        <v>1351</v>
      </c>
      <c r="C393" s="377" t="s">
        <v>4423</v>
      </c>
      <c r="D393" s="380" t="str">
        <f t="shared" si="10"/>
        <v>NACE C - 30.1 Building of ships and boats</v>
      </c>
      <c r="K393" t="s">
        <v>3467</v>
      </c>
    </row>
    <row r="394" spans="1:11" x14ac:dyDescent="0.3">
      <c r="A394" s="381" t="s">
        <v>1352</v>
      </c>
      <c r="B394" t="s">
        <v>1353</v>
      </c>
      <c r="C394" s="380" t="s">
        <v>4424</v>
      </c>
      <c r="D394" s="381" t="str">
        <f t="shared" si="10"/>
        <v>NACE C - 30.11 Building of civilian ships and floating structures</v>
      </c>
      <c r="K394" t="s">
        <v>3468</v>
      </c>
    </row>
    <row r="395" spans="1:11" x14ac:dyDescent="0.3">
      <c r="A395" s="381" t="s">
        <v>1354</v>
      </c>
      <c r="B395" t="s">
        <v>1355</v>
      </c>
      <c r="C395" s="380" t="s">
        <v>4425</v>
      </c>
      <c r="D395" s="381" t="str">
        <f t="shared" si="10"/>
        <v>NACE C - 30.12 Building of pleasure and sporting boats</v>
      </c>
      <c r="K395" t="s">
        <v>3469</v>
      </c>
    </row>
    <row r="396" spans="1:11" x14ac:dyDescent="0.3">
      <c r="A396" s="381" t="s">
        <v>1356</v>
      </c>
      <c r="B396" t="s">
        <v>1357</v>
      </c>
      <c r="C396" s="378" t="s">
        <v>4420</v>
      </c>
      <c r="D396" s="381" t="str">
        <f t="shared" si="10"/>
        <v>NACE C - 30.13 Building of military ships and vessels</v>
      </c>
      <c r="K396" t="s">
        <v>2980</v>
      </c>
    </row>
    <row r="397" spans="1:11" x14ac:dyDescent="0.3">
      <c r="A397" s="380" t="s">
        <v>1358</v>
      </c>
      <c r="B397" t="s">
        <v>1359</v>
      </c>
      <c r="C397" s="377" t="s">
        <v>4427</v>
      </c>
      <c r="D397" s="380" t="str">
        <f t="shared" si="10"/>
        <v>NACE C - 30.2 Manufacture of railway locomotives and rolling stock</v>
      </c>
      <c r="K397" t="s">
        <v>2981</v>
      </c>
    </row>
    <row r="398" spans="1:11" x14ac:dyDescent="0.3">
      <c r="A398" s="381" t="s">
        <v>1360</v>
      </c>
      <c r="B398" t="s">
        <v>1361</v>
      </c>
      <c r="C398" s="380" t="s">
        <v>4428</v>
      </c>
      <c r="D398" s="381" t="str">
        <f t="shared" si="10"/>
        <v>NACE C - 30.20 Manufacture of railway locomotives and rolling stock</v>
      </c>
      <c r="K398" t="s">
        <v>2982</v>
      </c>
    </row>
    <row r="399" spans="1:11" x14ac:dyDescent="0.3">
      <c r="A399" s="380" t="s">
        <v>1362</v>
      </c>
      <c r="B399" t="s">
        <v>1363</v>
      </c>
      <c r="C399" s="378" t="s">
        <v>4426</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IsDKvWo22HJ4NhiAePhpr6EPSDcv61SEWl7evQdPjYwsCM/o3PJUzD+Ih7eE6Odsbt34VDdJ220ChAFasOW33w==" saltValue="x593+E8VR5wJ0EFxMB+EM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 to -</v>
      </c>
      <c r="D1" t="s">
        <v>4507</v>
      </c>
      <c r="E1" t="s">
        <v>4508</v>
      </c>
      <c r="F1" t="s">
        <v>4509</v>
      </c>
      <c r="G1" t="s">
        <v>4510</v>
      </c>
    </row>
    <row r="2" spans="1:7" ht="13.8" customHeight="1" x14ac:dyDescent="0.3">
      <c r="A2" t="s">
        <v>3792</v>
      </c>
      <c r="B2" t="str">
        <f xml:space="preserve"> "at "  &amp; template_reporting_period_enddate</f>
        <v>at -</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
      </c>
      <c r="E2" s="369" t="e">
        <f t="shared" ref="E2:E26" si="0">MID(D2,SEARCH("""lat"":""",D2)+7,SEARCH("""lon"":""",D2)-SEARCH("""lat"":""",D2)-9)</f>
        <v>#VALUE!</v>
      </c>
      <c r="F2" s="369" t="e">
        <f t="shared" ref="F2:F26" si="1">MID(D2, SEARCH("""lon"":""", D2) + 7, SEARCH("""class""", D2) - SEARCH("""lon"":""", D2) - 9)</f>
        <v>#VALUE!</v>
      </c>
      <c r="G2" t="e">
        <f t="shared" ref="G2:G26" si="2">E2 &amp; "," &amp; F2</f>
        <v>#VALUE!</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300</vt:i4>
      </vt:variant>
    </vt:vector>
  </HeadingPairs>
  <TitlesOfParts>
    <vt:vector size="312"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2025-06-13T07:43:51Z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