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4111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1111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6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6111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8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21111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411111.xml" ContentType="application/vnd.openxmlformats-officedocument.spreadsheetml.revisionLog+xml"/>
  <Override PartName="/xl/revisions/revisionLog161111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811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\Documents\"/>
    </mc:Choice>
  </mc:AlternateContent>
  <bookViews>
    <workbookView xWindow="0" yWindow="0" windowWidth="25740" windowHeight="8085" xr2:uid="{00000000-000D-0000-FFFF-FFFF00000000}"/>
  </bookViews>
  <sheets>
    <sheet name="Contra Costa" sheetId="1" r:id="rId1"/>
    <sheet name="Sheet3" sheetId="2" state="hidden" r:id="rId2"/>
  </sheets>
  <calcPr calcId="171027" concurrentCalc="0"/>
  <customWorkbookViews>
    <customWorkbookView name="Marc - Personal View" guid="{DB2D0033-F361-44AB-9A99-1275719A68F3}" mergeInterval="0" personalView="1" xWindow="153" yWindow="153" windowWidth="1718" windowHeight="767" activeSheetId="1"/>
    <customWorkbookView name="Admin - Personal View" guid="{FAAF9AC7-76E7-4EFB-BDF2-C070ED37ADBE}" mergeInterval="0" personalView="1" maximized="1" xWindow="1" yWindow="1" windowWidth="1366" windowHeight="538" activeSheetId="1"/>
    <customWorkbookView name="Ram - Personal View" guid="{FD9231E0-2025-4169-82D7-1DD02EF43945}" mergeInterval="0" personalView="1" maximized="1" xWindow="-11" yWindow="-11" windowWidth="1942" windowHeight="1042" activeSheetId="1"/>
  </customWorkbookViews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4" i="1"/>
  <c r="Z15" i="1"/>
  <c r="K3" i="1"/>
  <c r="L3" i="1"/>
  <c r="K13" i="1"/>
  <c r="H13" i="1"/>
  <c r="G13" i="1"/>
  <c r="F12" i="1"/>
  <c r="F11" i="1"/>
  <c r="F10" i="1"/>
  <c r="F9" i="1"/>
  <c r="F8" i="1"/>
  <c r="H14" i="1"/>
  <c r="H15" i="1"/>
  <c r="G5" i="1"/>
  <c r="K5" i="1"/>
  <c r="X2" i="1"/>
  <c r="AB13" i="1"/>
  <c r="T13" i="1"/>
  <c r="V13" i="1"/>
  <c r="U13" i="1"/>
  <c r="C13" i="1"/>
  <c r="H12" i="1"/>
  <c r="L12" i="1"/>
  <c r="AP12" i="1"/>
  <c r="AL12" i="1"/>
  <c r="AA12" i="1"/>
  <c r="G12" i="1"/>
  <c r="M12" i="1"/>
  <c r="P12" i="1"/>
  <c r="C12" i="1"/>
  <c r="AP11" i="1"/>
  <c r="AL11" i="1"/>
  <c r="AA11" i="1"/>
  <c r="K11" i="1"/>
  <c r="H11" i="1"/>
  <c r="G11" i="1"/>
  <c r="K10" i="1"/>
  <c r="H10" i="1"/>
  <c r="AP10" i="1"/>
  <c r="AL10" i="1"/>
  <c r="AA10" i="1"/>
  <c r="G10" i="1"/>
  <c r="K9" i="1"/>
  <c r="H9" i="1"/>
  <c r="AP9" i="1"/>
  <c r="AL9" i="1"/>
  <c r="AA9" i="1"/>
  <c r="G9" i="1"/>
  <c r="C9" i="1"/>
  <c r="G14" i="1"/>
  <c r="G15" i="1"/>
  <c r="K8" i="1"/>
  <c r="H8" i="1"/>
  <c r="AP8" i="1"/>
  <c r="AL8" i="1"/>
  <c r="AA8" i="1"/>
  <c r="G8" i="1"/>
  <c r="C8" i="1"/>
  <c r="L7" i="1"/>
  <c r="AP7" i="1"/>
  <c r="AL7" i="1"/>
  <c r="AA7" i="1"/>
  <c r="G7" i="1"/>
  <c r="M7" i="1"/>
  <c r="P7" i="1"/>
  <c r="C7" i="1"/>
  <c r="Z2" i="1"/>
  <c r="AA2" i="1"/>
  <c r="R12" i="1"/>
  <c r="L10" i="1"/>
  <c r="M10" i="1"/>
  <c r="P10" i="1"/>
  <c r="R10" i="1"/>
  <c r="L9" i="1"/>
  <c r="M9" i="1"/>
  <c r="P9" i="1"/>
  <c r="R9" i="1"/>
  <c r="L11" i="1"/>
  <c r="M11" i="1"/>
  <c r="P11" i="1"/>
  <c r="R11" i="1"/>
  <c r="L8" i="1"/>
  <c r="M8" i="1"/>
  <c r="P8" i="1"/>
  <c r="R8" i="1"/>
  <c r="L13" i="1"/>
  <c r="M13" i="1"/>
  <c r="P13" i="1"/>
  <c r="F2" i="1"/>
  <c r="G3" i="1"/>
  <c r="M3" i="1"/>
  <c r="P3" i="1"/>
  <c r="G2" i="1"/>
  <c r="C2" i="1"/>
  <c r="AP13" i="1"/>
  <c r="AI13" i="1"/>
  <c r="AL13" i="1"/>
  <c r="W13" i="1"/>
  <c r="F7" i="1"/>
  <c r="F6" i="1"/>
  <c r="F4" i="1"/>
  <c r="F3" i="1"/>
  <c r="L6" i="1"/>
  <c r="AP6" i="1"/>
  <c r="AL6" i="1"/>
  <c r="AA6" i="1"/>
  <c r="L4" i="1"/>
  <c r="AP4" i="1"/>
  <c r="AL4" i="1"/>
  <c r="AA4" i="1"/>
  <c r="AP3" i="1"/>
  <c r="AL3" i="1"/>
  <c r="AA3" i="1"/>
  <c r="L2" i="1"/>
  <c r="AP2" i="1"/>
  <c r="AL2" i="1"/>
  <c r="G6" i="1"/>
  <c r="G4" i="1"/>
  <c r="Z13" i="1"/>
  <c r="AA13" i="1"/>
  <c r="M4" i="1"/>
  <c r="P4" i="1"/>
  <c r="R4" i="1"/>
  <c r="M6" i="1"/>
  <c r="P6" i="1"/>
  <c r="R6" i="1"/>
  <c r="M2" i="1"/>
  <c r="P2" i="1"/>
  <c r="R2" i="1"/>
  <c r="R7" i="1"/>
  <c r="R3" i="1"/>
  <c r="F13" i="1"/>
  <c r="F14" i="1"/>
  <c r="F15" i="1"/>
  <c r="F5" i="1"/>
  <c r="K14" i="1"/>
  <c r="L14" i="1"/>
  <c r="M14" i="1"/>
  <c r="P14" i="1"/>
  <c r="AP14" i="1"/>
  <c r="AL14" i="1"/>
  <c r="AA14" i="1"/>
  <c r="K15" i="1"/>
  <c r="L15" i="1"/>
  <c r="M15" i="1"/>
  <c r="P15" i="1"/>
  <c r="AP15" i="1"/>
  <c r="AL15" i="1"/>
  <c r="AA15" i="1"/>
  <c r="I5" i="1"/>
  <c r="H5" i="1"/>
  <c r="AP5" i="1"/>
  <c r="AL5" i="1"/>
  <c r="AA5" i="1"/>
  <c r="C14" i="1"/>
  <c r="C5" i="1"/>
  <c r="R15" i="1"/>
  <c r="L5" i="1"/>
  <c r="M5" i="1"/>
  <c r="P5" i="1"/>
  <c r="R5" i="1"/>
  <c r="R13" i="1"/>
  <c r="R14" i="1"/>
</calcChain>
</file>

<file path=xl/sharedStrings.xml><?xml version="1.0" encoding="utf-8"?>
<sst xmlns="http://schemas.openxmlformats.org/spreadsheetml/2006/main" count="99" uniqueCount="72">
  <si>
    <t>current_assets</t>
  </si>
  <si>
    <t>current_liabilities</t>
  </si>
  <si>
    <t>total_assets</t>
  </si>
  <si>
    <t>total_net_position</t>
  </si>
  <si>
    <t>total_unrestricted_net_position</t>
  </si>
  <si>
    <t>general_revenues</t>
  </si>
  <si>
    <t>capital_grants_and_contributions</t>
  </si>
  <si>
    <t>charges_for_services</t>
  </si>
  <si>
    <t>operating_grants_and_contributions</t>
  </si>
  <si>
    <t>total_revenues</t>
  </si>
  <si>
    <t>total_expenditures</t>
  </si>
  <si>
    <t>change_in_net_assets</t>
  </si>
  <si>
    <t>general_fund_revenues</t>
  </si>
  <si>
    <t>general_fund_expenditures</t>
  </si>
  <si>
    <t>governmental_fund_revenues</t>
  </si>
  <si>
    <t>governmental_fund_expenditures</t>
  </si>
  <si>
    <t>unassigned_general_fund_balance</t>
  </si>
  <si>
    <t>assigned_general_fund_balance</t>
  </si>
  <si>
    <t>general_fund_balance (previously labeled excess_deficiency_general_fund)</t>
  </si>
  <si>
    <t>unassigned_governmental_fund_balance</t>
  </si>
  <si>
    <t>assigned_governmental_fund_balance</t>
  </si>
  <si>
    <t>governmental_fund_balance</t>
  </si>
  <si>
    <t>current_portion_of_long_term_debt</t>
  </si>
  <si>
    <t>net_pension_liability</t>
  </si>
  <si>
    <t>net_opeb_liability</t>
  </si>
  <si>
    <t>all_other_long_term_debt</t>
  </si>
  <si>
    <t>total_long_term_debt (sum of four fields above)</t>
  </si>
  <si>
    <t>Entitiy</t>
  </si>
  <si>
    <t>Revenues over/under expenditure</t>
  </si>
  <si>
    <t>Revenues over/(under) expenditure</t>
  </si>
  <si>
    <t>Net (change_in_net_assets)</t>
  </si>
  <si>
    <t>Net (Revenues over/(under) expenditure)</t>
  </si>
  <si>
    <t>Net (Revenues over/under expenditure)</t>
  </si>
  <si>
    <t>CA Concord 2017.pdf</t>
  </si>
  <si>
    <t>Walnut Creek</t>
  </si>
  <si>
    <t>CA Walnut Creek 2017.pdf</t>
  </si>
  <si>
    <t>San Ramon</t>
  </si>
  <si>
    <t>CA San Ramon 2017.pdf</t>
  </si>
  <si>
    <t>Deferred outflow</t>
  </si>
  <si>
    <t>Deferred inflows</t>
  </si>
  <si>
    <t>CA San Pablo 2017.pdf</t>
  </si>
  <si>
    <t>San Pablo</t>
  </si>
  <si>
    <t xml:space="preserve">Antioch </t>
  </si>
  <si>
    <t xml:space="preserve">Brentwood </t>
  </si>
  <si>
    <t>-</t>
  </si>
  <si>
    <t>Clayton</t>
  </si>
  <si>
    <t>Danville</t>
  </si>
  <si>
    <t>CA Antioch 2017.pdf</t>
  </si>
  <si>
    <t>CA Brentwood 2017.pdf</t>
  </si>
  <si>
    <t>CA Clayton 2017.pdf</t>
  </si>
  <si>
    <t>CA Danville 2017.pdf</t>
  </si>
  <si>
    <t>CA Hercules 2017.pdf</t>
  </si>
  <si>
    <t>CA Lafayette 2017.pdf</t>
  </si>
  <si>
    <t>CA Martinez 2017.pdf</t>
  </si>
  <si>
    <t>CA Moraga 2017.pdf</t>
  </si>
  <si>
    <t>CA Pittsburg 2017.pdf</t>
  </si>
  <si>
    <t>CA Pleasant Hill 2017.pdf</t>
  </si>
  <si>
    <t>Done</t>
  </si>
  <si>
    <t>Hercules</t>
  </si>
  <si>
    <t xml:space="preserve">Concord </t>
  </si>
  <si>
    <t>Lafayette</t>
  </si>
  <si>
    <t>Martinez</t>
  </si>
  <si>
    <t>Moraga</t>
  </si>
  <si>
    <t>Pittsburg</t>
  </si>
  <si>
    <t>Pleasant Hill</t>
  </si>
  <si>
    <t>Total assets+Deferred outflows</t>
  </si>
  <si>
    <t>Total Net position</t>
  </si>
  <si>
    <t>Input name</t>
  </si>
  <si>
    <t>Total Liabilities +deferred inflows</t>
  </si>
  <si>
    <t>Others</t>
  </si>
  <si>
    <t>Total Liabilities</t>
  </si>
  <si>
    <t>Total Liabilities (from Statement of Net Position)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</si>
</sst>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Fill="1"/>
    <xf numFmtId="0" fontId="0" fillId="0" borderId="0" xfId="0" applyFill="1"/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164" fontId="0" fillId="2" borderId="1" xfId="0" applyNumberFormat="1" applyFill="1" applyBorder="1"/>
    <xf numFmtId="164" fontId="0" fillId="0" borderId="1" xfId="0" applyNumberFormat="1" applyFill="1" applyBorder="1"/>
    <xf numFmtId="0" fontId="2" fillId="0" borderId="0" xfId="0" applyFont="1" applyFill="1"/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4.xml"/><Relationship Id="rId39" Type="http://schemas.openxmlformats.org/officeDocument/2006/relationships/revisionLog" Target="revisionLog15.xml"/><Relationship Id="rId3" Type="http://schemas.openxmlformats.org/officeDocument/2006/relationships/revisionLog" Target="revisionLog111.xml"/><Relationship Id="rId21" Type="http://schemas.openxmlformats.org/officeDocument/2006/relationships/revisionLog" Target="revisionLog141.xml"/><Relationship Id="rId34" Type="http://schemas.openxmlformats.org/officeDocument/2006/relationships/revisionLog" Target="revisionLog151.xml"/><Relationship Id="rId42" Type="http://schemas.openxmlformats.org/officeDocument/2006/relationships/revisionLog" Target="revisionLog3.xml"/><Relationship Id="rId47" Type="http://schemas.openxmlformats.org/officeDocument/2006/relationships/revisionLog" Target="revisionLog8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11.xml"/><Relationship Id="rId33" Type="http://schemas.openxmlformats.org/officeDocument/2006/relationships/revisionLog" Target="revisionLog16.xml"/><Relationship Id="rId38" Type="http://schemas.openxmlformats.org/officeDocument/2006/relationships/revisionLog" Target="revisionLog17.xml"/><Relationship Id="rId46" Type="http://schemas.openxmlformats.org/officeDocument/2006/relationships/revisionLog" Target="revisionLog7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11.xml"/><Relationship Id="rId20" Type="http://schemas.openxmlformats.org/officeDocument/2006/relationships/revisionLog" Target="revisionLog15111.xml"/><Relationship Id="rId29" Type="http://schemas.openxmlformats.org/officeDocument/2006/relationships/revisionLog" Target="revisionLog161.xml"/><Relationship Id="rId41" Type="http://schemas.openxmlformats.org/officeDocument/2006/relationships/revisionLog" Target="revisionLog2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11.xml"/><Relationship Id="rId32" Type="http://schemas.openxmlformats.org/officeDocument/2006/relationships/revisionLog" Target="revisionLog171.xml"/><Relationship Id="rId37" Type="http://schemas.openxmlformats.org/officeDocument/2006/relationships/revisionLog" Target="revisionLog18.xml"/><Relationship Id="rId40" Type="http://schemas.openxmlformats.org/officeDocument/2006/relationships/revisionLog" Target="revisionLog1.xml"/><Relationship Id="rId45" Type="http://schemas.openxmlformats.org/officeDocument/2006/relationships/revisionLog" Target="revisionLog6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1.xml"/><Relationship Id="rId28" Type="http://schemas.openxmlformats.org/officeDocument/2006/relationships/revisionLog" Target="revisionLog1711.xml"/><Relationship Id="rId36" Type="http://schemas.openxmlformats.org/officeDocument/2006/relationships/revisionLog" Target="revisionLog181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111.xml"/><Relationship Id="rId31" Type="http://schemas.openxmlformats.org/officeDocument/2006/relationships/revisionLog" Target="revisionLog1811.xml"/><Relationship Id="rId44" Type="http://schemas.openxmlformats.org/officeDocument/2006/relationships/revisionLog" Target="revisionLog5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11.xml"/><Relationship Id="rId27" Type="http://schemas.openxmlformats.org/officeDocument/2006/relationships/revisionLog" Target="revisionLog17111.xml"/><Relationship Id="rId30" Type="http://schemas.openxmlformats.org/officeDocument/2006/relationships/revisionLog" Target="revisionLog18111.xml"/><Relationship Id="rId35" Type="http://schemas.openxmlformats.org/officeDocument/2006/relationships/revisionLog" Target="revisionLog19.xml"/><Relationship Id="rId43" Type="http://schemas.openxmlformats.org/officeDocument/2006/relationships/revisionLog" Target="revisionLog4.xml"/><Relationship Id="rId48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2D5C0FC-A916-43C4-880C-CED4402874DF}" diskRevisions="1" revisionId="425" version="2">
  <header guid="{AFCEF1FF-185B-404E-876E-5DD4BC83653F}" dateTime="2018-03-02T09:47:50" maxSheetId="3" userName="Admin" r:id="rId1">
    <sheetIdMap count="2">
      <sheetId val="1"/>
      <sheetId val="2"/>
    </sheetIdMap>
  </header>
  <header guid="{BB3EF87F-A751-4632-97F5-1E201B6EF683}" dateTime="2018-03-02T09:56:11" maxSheetId="3" userName="Admin" r:id="rId2" minRId="1" maxRId="33">
    <sheetIdMap count="2">
      <sheetId val="1"/>
      <sheetId val="2"/>
    </sheetIdMap>
  </header>
  <header guid="{55384FEF-457F-45E6-9F71-B13FB28D7F14}" dateTime="2018-03-02T09:56:11" maxSheetId="3" userName="admin" r:id="rId3" minRId="34" maxRId="40">
    <sheetIdMap count="2">
      <sheetId val="1"/>
      <sheetId val="2"/>
    </sheetIdMap>
  </header>
  <header guid="{2B448A97-284D-4725-BF03-F909032C0F9E}" dateTime="2018-03-02T09:56:22" maxSheetId="3" userName="Admin" r:id="rId4">
    <sheetIdMap count="2">
      <sheetId val="1"/>
      <sheetId val="2"/>
    </sheetIdMap>
  </header>
  <header guid="{F9A91214-03CD-4959-9949-8DF4198AF56D}" dateTime="2018-03-02T09:57:47" maxSheetId="3" userName="Admin" r:id="rId5" minRId="41" maxRId="42">
    <sheetIdMap count="2">
      <sheetId val="1"/>
      <sheetId val="2"/>
    </sheetIdMap>
  </header>
  <header guid="{B1F6ADE8-C678-4275-B071-0B467EBAC5C8}" dateTime="2018-03-02T10:05:18" maxSheetId="3" userName="Admin" r:id="rId6" minRId="43" maxRId="76">
    <sheetIdMap count="2">
      <sheetId val="1"/>
      <sheetId val="2"/>
    </sheetIdMap>
  </header>
  <header guid="{EBF4017E-B641-40F4-9C94-4FFB8E4F66C7}" dateTime="2018-03-02T10:12:52" maxSheetId="3" userName="Admin" r:id="rId7" minRId="77" maxRId="114">
    <sheetIdMap count="2">
      <sheetId val="1"/>
      <sheetId val="2"/>
    </sheetIdMap>
  </header>
  <header guid="{C7AA6416-440D-4AFD-A552-4B75BF38DA2B}" dateTime="2018-03-02T10:22:41" maxSheetId="3" userName="Admin" r:id="rId8" minRId="115" maxRId="151">
    <sheetIdMap count="2">
      <sheetId val="1"/>
      <sheetId val="2"/>
    </sheetIdMap>
  </header>
  <header guid="{B56246AC-A0C7-4704-AED5-29A93BBD5D1F}" dateTime="2018-03-02T10:23:09" maxSheetId="3" userName="Admin" r:id="rId9" minRId="152" maxRId="154">
    <sheetIdMap count="2">
      <sheetId val="1"/>
      <sheetId val="2"/>
    </sheetIdMap>
  </header>
  <header guid="{7D1981D9-1AE7-45E7-948C-A5C939479A8A}" dateTime="2018-03-02T10:31:11" maxSheetId="3" userName="Admin" r:id="rId10" minRId="155" maxRId="188">
    <sheetIdMap count="2">
      <sheetId val="1"/>
      <sheetId val="2"/>
    </sheetIdMap>
  </header>
  <header guid="{80190D07-E342-4C08-AFED-54998BB62E2B}" dateTime="2018-03-02T10:31:10" maxSheetId="3" userName="admin" r:id="rId11" minRId="189" maxRId="218">
    <sheetIdMap count="2">
      <sheetId val="1"/>
      <sheetId val="2"/>
    </sheetIdMap>
  </header>
  <header guid="{A1CFFA91-B992-4ED1-8606-17391AFE8F23}" dateTime="2018-03-02T10:40:08" maxSheetId="3" userName="admin" r:id="rId12" minRId="220" maxRId="221">
    <sheetIdMap count="2">
      <sheetId val="1"/>
      <sheetId val="2"/>
    </sheetIdMap>
  </header>
  <header guid="{8C0FEC9A-DA4F-4DAF-A5FE-D751FE5F8B7F}" dateTime="2018-03-02T10:42:15" maxSheetId="3" userName="Admin" r:id="rId13" minRId="223" maxRId="234">
    <sheetIdMap count="2">
      <sheetId val="1"/>
      <sheetId val="2"/>
    </sheetIdMap>
  </header>
  <header guid="{CBBFEF44-E9E5-427C-8F61-8BDC073F2AAE}" dateTime="2018-03-02T10:43:48" maxSheetId="3" userName="Admin" r:id="rId14">
    <sheetIdMap count="2">
      <sheetId val="1"/>
      <sheetId val="2"/>
    </sheetIdMap>
  </header>
  <header guid="{172023CD-F4C2-4829-B6E3-8DDE65ED10FF}" dateTime="2018-03-02T10:44:04" maxSheetId="3" userName="Admin" r:id="rId15">
    <sheetIdMap count="2">
      <sheetId val="1"/>
      <sheetId val="2"/>
    </sheetIdMap>
  </header>
  <header guid="{027A0EB4-FB9D-4B55-95A1-F1BD919F6622}" dateTime="2018-03-02T10:44:02" maxSheetId="3" userName="admin" r:id="rId16" minRId="237" maxRId="258">
    <sheetIdMap count="2">
      <sheetId val="1"/>
      <sheetId val="2"/>
    </sheetIdMap>
  </header>
  <header guid="{81C935FC-6A7D-4C95-83AE-79587386122C}" dateTime="2018-03-02T10:44:07" maxSheetId="3" userName="Admin" r:id="rId17">
    <sheetIdMap count="2">
      <sheetId val="1"/>
      <sheetId val="2"/>
    </sheetIdMap>
  </header>
  <header guid="{95327C56-4D36-4B44-A774-A00DA1DE8A98}" dateTime="2018-03-02T10:44:49" maxSheetId="3" userName="Admin" r:id="rId18">
    <sheetIdMap count="2">
      <sheetId val="1"/>
      <sheetId val="2"/>
    </sheetIdMap>
  </header>
  <header guid="{5E0E0A3B-B8B1-4D5D-BBB9-5B784E113FD5}" dateTime="2018-03-02T10:44:51" maxSheetId="3" userName="Admin" r:id="rId19">
    <sheetIdMap count="2">
      <sheetId val="1"/>
      <sheetId val="2"/>
    </sheetIdMap>
  </header>
  <header guid="{6557870F-CF46-45B3-B361-ACB6E0E4856C}" dateTime="2018-03-02T10:44:52" maxSheetId="3" userName="admin" r:id="rId20" minRId="261" maxRId="265">
    <sheetIdMap count="2">
      <sheetId val="1"/>
      <sheetId val="2"/>
    </sheetIdMap>
  </header>
  <header guid="{B630D1A4-75BC-4F82-96C4-6FA5FB860DCA}" dateTime="2018-03-02T10:44:59" maxSheetId="3" userName="Admin" r:id="rId21">
    <sheetIdMap count="2">
      <sheetId val="1"/>
      <sheetId val="2"/>
    </sheetIdMap>
  </header>
  <header guid="{0BD243EA-9787-4052-ABE2-7A9405DD28DC}" dateTime="2018-03-02T10:45:22" maxSheetId="3" userName="Admin" r:id="rId22">
    <sheetIdMap count="2">
      <sheetId val="1"/>
      <sheetId val="2"/>
    </sheetIdMap>
  </header>
  <header guid="{5FB4AC34-E710-4EDC-AB2F-87476D791651}" dateTime="2018-03-02T10:52:14" maxSheetId="3" userName="admin" r:id="rId23" minRId="268" maxRId="275">
    <sheetIdMap count="2">
      <sheetId val="1"/>
      <sheetId val="2"/>
    </sheetIdMap>
  </header>
  <header guid="{F957FA09-AF80-460F-B6C2-33D4CFB8AD87}" dateTime="2018-03-02T10:56:25" maxSheetId="3" userName="admin" r:id="rId24" minRId="277" maxRId="279">
    <sheetIdMap count="2">
      <sheetId val="1"/>
      <sheetId val="2"/>
    </sheetIdMap>
  </header>
  <header guid="{D8E2F776-2753-4559-B4B9-6EC1E62F28CC}" dateTime="2018-03-02T10:56:38" maxSheetId="3" userName="admin" r:id="rId25">
    <sheetIdMap count="2">
      <sheetId val="1"/>
      <sheetId val="2"/>
    </sheetIdMap>
  </header>
  <header guid="{E275E3CF-0C49-47F0-B093-4B58F763D34A}" dateTime="2018-03-02T10:56:47" maxSheetId="3" userName="Admin" r:id="rId26">
    <sheetIdMap count="2">
      <sheetId val="1"/>
      <sheetId val="2"/>
    </sheetIdMap>
  </header>
  <header guid="{2B32CA0E-F803-4118-ABB3-EA852B51B5EC}" dateTime="2018-03-02T10:57:18" maxSheetId="3" userName="Admin" r:id="rId27" minRId="282" maxRId="294">
    <sheetIdMap count="2">
      <sheetId val="1"/>
      <sheetId val="2"/>
    </sheetIdMap>
  </header>
  <header guid="{B839413C-7BE5-4E8B-A42D-5AE59C862C24}" dateTime="2018-03-02T10:59:54" maxSheetId="3" userName="Admin" r:id="rId28" minRId="296" maxRId="300">
    <sheetIdMap count="2">
      <sheetId val="1"/>
      <sheetId val="2"/>
    </sheetIdMap>
  </header>
  <header guid="{1AA136F0-4D83-4439-AC59-AE20F1A0EAA2}" dateTime="2018-03-02T10:59:59" maxSheetId="3" userName="Admin" r:id="rId29">
    <sheetIdMap count="2">
      <sheetId val="1"/>
      <sheetId val="2"/>
    </sheetIdMap>
  </header>
  <header guid="{47A94D56-874B-4859-8D44-F6CD97E7B4A7}" dateTime="2018-03-02T11:00:29" maxSheetId="3" userName="Admin" r:id="rId30" minRId="301" maxRId="306">
    <sheetIdMap count="2">
      <sheetId val="1"/>
      <sheetId val="2"/>
    </sheetIdMap>
  </header>
  <header guid="{B71D06C4-5AF2-49B1-B93C-75D9DC0AD845}" dateTime="2018-03-02T11:01:22" maxSheetId="3" userName="Admin" r:id="rId31">
    <sheetIdMap count="2">
      <sheetId val="1"/>
      <sheetId val="2"/>
    </sheetIdMap>
  </header>
  <header guid="{8589DC5D-B282-4FB0-949A-FB5AC7DC2FA3}" dateTime="2018-03-02T11:01:50" maxSheetId="3" userName="Admin" r:id="rId32" minRId="307">
    <sheetIdMap count="2">
      <sheetId val="1"/>
      <sheetId val="2"/>
    </sheetIdMap>
  </header>
  <header guid="{C980BCB4-4739-4638-9DB0-B0A12FC92D73}" dateTime="2018-03-02T11:02:19" maxSheetId="3" userName="Admin" r:id="rId33">
    <sheetIdMap count="2">
      <sheetId val="1"/>
      <sheetId val="2"/>
    </sheetIdMap>
  </header>
  <header guid="{51883992-E351-491D-93E5-757130FCEB8A}" dateTime="2018-03-02T11:02:21" maxSheetId="3" userName="Admin" r:id="rId34">
    <sheetIdMap count="2">
      <sheetId val="1"/>
      <sheetId val="2"/>
    </sheetIdMap>
  </header>
  <header guid="{F6FF0A86-E047-4DC4-B83F-293E593810E4}" dateTime="2018-03-02T11:03:17" maxSheetId="3" userName="Admin" r:id="rId35" minRId="308">
    <sheetIdMap count="2">
      <sheetId val="1"/>
      <sheetId val="2"/>
    </sheetIdMap>
  </header>
  <header guid="{47259026-CAC8-40F7-91E5-3D7A227D5DF5}" dateTime="2018-03-02T11:11:15" maxSheetId="3" userName="Admin" r:id="rId36">
    <sheetIdMap count="2">
      <sheetId val="1"/>
      <sheetId val="2"/>
    </sheetIdMap>
  </header>
  <header guid="{4A76EBDB-36B4-43DE-8FF9-5601BB4FDDB2}" dateTime="2018-03-02T11:14:58" maxSheetId="3" userName="Admin" r:id="rId37">
    <sheetIdMap count="2">
      <sheetId val="1"/>
      <sheetId val="2"/>
    </sheetIdMap>
  </header>
  <header guid="{BB94AE43-D22D-40FE-9B85-86157DEA1ABB}" dateTime="2018-03-02T11:38:02" maxSheetId="3" userName="Admin" r:id="rId38" minRId="309" maxRId="332">
    <sheetIdMap count="2">
      <sheetId val="1"/>
      <sheetId val="2"/>
    </sheetIdMap>
  </header>
  <header guid="{CFCAB652-612D-42A7-AE4C-D2D55BB66383}" dateTime="2018-03-02T11:46:22" maxSheetId="3" userName="Admin" r:id="rId39" minRId="333" maxRId="340">
    <sheetIdMap count="2">
      <sheetId val="1"/>
      <sheetId val="2"/>
    </sheetIdMap>
  </header>
  <header guid="{A3D6FE32-1C85-42B0-80FB-14F16FE61A89}" dateTime="2018-03-02T11:46:31" maxSheetId="3" userName="Admin" r:id="rId40">
    <sheetIdMap count="2">
      <sheetId val="1"/>
      <sheetId val="2"/>
    </sheetIdMap>
  </header>
  <header guid="{4F0D6DE9-2B6E-4997-9CCE-416804B58899}" dateTime="2018-03-02T12:17:46" maxSheetId="3" userName="Ram" r:id="rId41" minRId="341" maxRId="375">
    <sheetIdMap count="2">
      <sheetId val="1"/>
      <sheetId val="2"/>
    </sheetIdMap>
  </header>
  <header guid="{111A580F-87ED-41DB-8E52-EFD368FB8CD4}" dateTime="2018-03-02T12:18:47" maxSheetId="3" userName="Ram" r:id="rId42" minRId="376">
    <sheetIdMap count="2">
      <sheetId val="1"/>
      <sheetId val="2"/>
    </sheetIdMap>
  </header>
  <header guid="{4866BC38-AF1B-4C9D-8B70-04C9709982F1}" dateTime="2018-03-02T12:19:07" maxSheetId="3" userName="Ram" r:id="rId43" minRId="377" maxRId="382">
    <sheetIdMap count="2">
      <sheetId val="1"/>
      <sheetId val="2"/>
    </sheetIdMap>
  </header>
  <header guid="{200782A3-6478-4C9C-8305-ABBC540C41EA}" dateTime="2018-03-02T13:01:07" maxSheetId="3" userName="Ram" r:id="rId44" minRId="383" maxRId="404">
    <sheetIdMap count="2">
      <sheetId val="1"/>
      <sheetId val="2"/>
    </sheetIdMap>
  </header>
  <header guid="{8C5E3AFE-DFD0-4F98-B19C-6E087D914420}" dateTime="2018-03-02T13:19:53" maxSheetId="3" userName="Ram" r:id="rId45" minRId="405" maxRId="417">
    <sheetIdMap count="2">
      <sheetId val="1"/>
      <sheetId val="2"/>
    </sheetIdMap>
  </header>
  <header guid="{7C2BA141-4761-4BAA-9EE3-EE89CC061B96}" dateTime="2018-03-02T14:49:28" maxSheetId="3" userName="Ram" r:id="rId46" minRId="418" maxRId="425">
    <sheetIdMap count="2">
      <sheetId val="1"/>
      <sheetId val="2"/>
    </sheetIdMap>
  </header>
  <header guid="{80B4FB2E-824D-40BF-90AD-62213BC07D5C}" dateTime="2018-03-02T15:14:44" maxSheetId="3" userName="Ram" r:id="rId47">
    <sheetIdMap count="2">
      <sheetId val="1"/>
      <sheetId val="2"/>
    </sheetIdMap>
  </header>
  <header guid="{F2D5C0FC-A916-43C4-880C-CED4402874DF}" dateTime="2018-03-02T05:30:12" maxSheetId="3" userName="Marc" r:id="rId48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FAAF9AC7-76E7-4EFB-BDF2-C070ED37ADBE}" action="delete"/>
  <rcv guid="{FAAF9AC7-76E7-4EFB-BDF2-C070ED37ADBE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115" sId="2">
    <nc r="B9" t="inlineStr">
      <is>
        <t>Done</t>
      </is>
    </nc>
  </rcc>
  <rcc rId="116" sId="1">
    <nc r="B19" t="inlineStr">
      <is>
        <t>CA Pittsburg 2017.pdf</t>
      </is>
    </nc>
  </rcc>
  <rcc rId="117" sId="1">
    <nc r="A19" t="inlineStr">
      <is>
        <t>Pittsburg</t>
      </is>
    </nc>
  </rcc>
  <rfmt sheetId="1" sqref="A19">
    <dxf>
      <fill>
        <patternFill patternType="solid">
          <fgColor indexed="64"/>
          <bgColor theme="6" tint="0.39997558519241921"/>
        </patternFill>
      </fill>
    </dxf>
  </rfmt>
  <rfmt sheetId="1" sqref="C19" start="0" length="0">
    <dxf>
      <numFmt numFmtId="3" formatCode="#,##0"/>
    </dxf>
  </rfmt>
  <rcc rId="118" sId="1" xfDxf="1" dxf="1" numFmtId="4">
    <nc r="C19">
      <v>138690101</v>
    </nc>
    <ndxf>
      <numFmt numFmtId="3" formatCode="#,##0"/>
    </ndxf>
  </rcc>
  <rfmt sheetId="1" sqref="D19" start="0" length="0">
    <dxf>
      <numFmt numFmtId="3" formatCode="#,##0"/>
    </dxf>
  </rfmt>
  <rcc rId="119" sId="1" xfDxf="1" dxf="1" numFmtId="4">
    <nc r="D19">
      <v>15017348</v>
    </nc>
    <ndxf>
      <numFmt numFmtId="3" formatCode="#,##0"/>
    </ndxf>
  </rcc>
  <rfmt sheetId="1" sqref="G19" start="0" length="0">
    <dxf>
      <numFmt numFmtId="3" formatCode="#,##0"/>
    </dxf>
  </rfmt>
  <rcc rId="120" sId="1" xfDxf="1" dxf="1" numFmtId="4">
    <nc r="G19">
      <v>537931476</v>
    </nc>
    <ndxf>
      <numFmt numFmtId="3" formatCode="#,##0"/>
    </ndxf>
  </rcc>
  <rcc rId="121" sId="1">
    <nc r="E19">
      <f>19641535-4150987-2183420-257254</f>
    </nc>
  </rcc>
  <rfmt sheetId="1" sqref="F19" start="0" length="0">
    <dxf>
      <numFmt numFmtId="3" formatCode="#,##0"/>
    </dxf>
  </rfmt>
  <rcc rId="122" sId="1" xfDxf="1" dxf="1" numFmtId="4">
    <nc r="F19">
      <v>5609841</v>
    </nc>
    <ndxf>
      <numFmt numFmtId="3" formatCode="#,##0"/>
    </ndxf>
  </rcc>
  <rfmt sheetId="1" sqref="H19" start="0" length="0">
    <dxf>
      <numFmt numFmtId="3" formatCode="#,##0"/>
    </dxf>
  </rfmt>
  <rcc rId="123" sId="1" xfDxf="1" dxf="1" numFmtId="4">
    <nc r="H19">
      <v>375228411</v>
    </nc>
    <ndxf>
      <numFmt numFmtId="3" formatCode="#,##0"/>
    </ndxf>
  </rcc>
  <rcc rId="124" sId="1" odxf="1" dxf="1" numFmtId="4">
    <nc r="I19">
      <v>-32687950</v>
    </nc>
    <odxf>
      <numFmt numFmtId="0" formatCode="General"/>
    </odxf>
    <ndxf>
      <numFmt numFmtId="3" formatCode="#,##0"/>
    </ndxf>
  </rcc>
  <rcc rId="125" sId="1">
    <nc r="AF19">
      <f>257254+2183420+4150987</f>
    </nc>
  </rcc>
  <rfmt sheetId="1" sqref="AG19" start="0" length="0">
    <dxf>
      <numFmt numFmtId="3" formatCode="#,##0"/>
    </dxf>
  </rfmt>
  <rcc rId="126" sId="1" xfDxf="1" dxf="1" numFmtId="4">
    <nc r="AG19">
      <v>50402455</v>
    </nc>
    <ndxf>
      <numFmt numFmtId="3" formatCode="#,##0"/>
    </ndxf>
  </rcc>
  <rfmt sheetId="1" sqref="AH19" start="0" length="0">
    <dxf>
      <numFmt numFmtId="3" formatCode="#,##0"/>
    </dxf>
  </rfmt>
  <rcc rId="127" sId="1" xfDxf="1" dxf="1" numFmtId="4">
    <nc r="AH19">
      <v>27226475</v>
    </nc>
    <ndxf>
      <numFmt numFmtId="3" formatCode="#,##0"/>
    </ndxf>
  </rcc>
  <rcc rId="128" sId="1">
    <nc r="AI19">
      <f>727131+74112976</f>
    </nc>
  </rcc>
  <rcc rId="129" sId="1" odxf="1" dxf="1">
    <nc r="AJ19">
      <f>SUM(AF19:AI19)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J19" start="0" length="0">
    <dxf>
      <numFmt numFmtId="3" formatCode="#,##0"/>
    </dxf>
  </rfmt>
  <rcc rId="130" sId="1" xfDxf="1" dxf="1" numFmtId="4">
    <nc r="J19">
      <v>36767705</v>
    </nc>
    <ndxf>
      <numFmt numFmtId="3" formatCode="#,##0"/>
    </ndxf>
  </rcc>
  <rfmt sheetId="1" sqref="K19" start="0" length="0">
    <dxf>
      <numFmt numFmtId="3" formatCode="#,##0"/>
    </dxf>
  </rfmt>
  <rcc rId="131" sId="1" xfDxf="1" dxf="1" numFmtId="4">
    <nc r="K19">
      <v>9732027</v>
    </nc>
    <ndxf>
      <numFmt numFmtId="3" formatCode="#,##0"/>
    </ndxf>
  </rcc>
  <rfmt sheetId="1" sqref="L19" start="0" length="0">
    <dxf>
      <numFmt numFmtId="3" formatCode="#,##0"/>
    </dxf>
  </rfmt>
  <rcc rId="132" sId="1" xfDxf="1" dxf="1" numFmtId="4">
    <nc r="L19">
      <v>52775020</v>
    </nc>
    <ndxf>
      <numFmt numFmtId="3" formatCode="#,##0"/>
    </ndxf>
  </rcc>
  <rfmt sheetId="1" sqref="M19" start="0" length="0">
    <dxf>
      <numFmt numFmtId="3" formatCode="#,##0"/>
    </dxf>
  </rfmt>
  <rcc rId="133" sId="1" xfDxf="1" dxf="1" numFmtId="4">
    <nc r="M19">
      <v>18355088</v>
    </nc>
    <ndxf>
      <numFmt numFmtId="3" formatCode="#,##0"/>
    </ndxf>
  </rcc>
  <rcc rId="134" sId="1" odxf="1" dxf="1">
    <nc r="N19">
      <f>SUM(J19:M19)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O19" start="0" length="0">
    <dxf>
      <numFmt numFmtId="3" formatCode="#,##0"/>
    </dxf>
  </rfmt>
  <rcc rId="135" sId="1" xfDxf="1" dxf="1" numFmtId="4">
    <nc r="O19">
      <v>117021580</v>
    </nc>
    <ndxf>
      <numFmt numFmtId="3" formatCode="#,##0"/>
    </ndxf>
  </rcc>
  <rcc rId="136" sId="1" odxf="1" dxf="1">
    <nc r="P19">
      <f>N19-O19</f>
    </nc>
    <ndxf>
      <numFmt numFmtId="3" formatCode="#,##0"/>
      <fill>
        <patternFill patternType="solid">
          <bgColor theme="6" tint="0.39997558519241921"/>
        </patternFill>
      </fill>
    </ndxf>
  </rcc>
  <rfmt sheetId="1" sqref="Q19" start="0" length="0">
    <dxf>
      <numFmt numFmtId="3" formatCode="#,##0"/>
    </dxf>
  </rfmt>
  <rcc rId="137" sId="1" xfDxf="1" dxf="1" numFmtId="4">
    <nc r="Q19">
      <v>608260</v>
    </nc>
    <ndxf>
      <numFmt numFmtId="3" formatCode="#,##0"/>
    </ndxf>
  </rcc>
  <rfmt sheetId="1" sqref="Z19" start="0" length="0">
    <dxf>
      <numFmt numFmtId="3" formatCode="#,##0"/>
    </dxf>
  </rfmt>
  <rcc rId="138" sId="1" xfDxf="1" dxf="1" numFmtId="4">
    <nc r="Z19">
      <v>17037283</v>
    </nc>
    <ndxf>
      <numFmt numFmtId="3" formatCode="#,##0"/>
    </ndxf>
  </rcc>
  <rfmt sheetId="1" sqref="AA19" start="0" length="0">
    <dxf>
      <numFmt numFmtId="3" formatCode="#,##0"/>
    </dxf>
  </rfmt>
  <rcc rId="139" sId="1" xfDxf="1" dxf="1" numFmtId="4">
    <nc r="AA19">
      <v>434778</v>
    </nc>
    <ndxf>
      <numFmt numFmtId="3" formatCode="#,##0"/>
    </ndxf>
  </rcc>
  <rfmt sheetId="1" xfDxf="1" sqref="AB19" start="0" length="0"/>
  <rcc rId="140" sId="1" odxf="1" dxf="1" numFmtId="4">
    <nc r="AB19">
      <v>19882757</v>
    </nc>
    <ndxf>
      <numFmt numFmtId="3" formatCode="#,##0"/>
    </ndxf>
  </rcc>
  <rfmt sheetId="1" sqref="AC19" start="0" length="0">
    <dxf>
      <numFmt numFmtId="3" formatCode="#,##0"/>
    </dxf>
  </rfmt>
  <rcc rId="141" sId="1" xfDxf="1" dxf="1" numFmtId="4">
    <nc r="AC19">
      <v>13292151</v>
    </nc>
    <ndxf>
      <numFmt numFmtId="3" formatCode="#,##0"/>
    </ndxf>
  </rcc>
  <rfmt sheetId="1" sqref="AD19" start="0" length="0">
    <dxf>
      <numFmt numFmtId="3" formatCode="#,##0"/>
    </dxf>
  </rfmt>
  <rcc rId="142" sId="1" xfDxf="1" dxf="1" numFmtId="4">
    <nc r="AD19">
      <v>464127</v>
    </nc>
    <ndxf>
      <numFmt numFmtId="3" formatCode="#,##0"/>
    </ndxf>
  </rcc>
  <rfmt sheetId="1" sqref="AE19" start="0" length="0">
    <dxf>
      <numFmt numFmtId="3" formatCode="#,##0"/>
    </dxf>
  </rfmt>
  <rcc rId="143" sId="1" xfDxf="1" dxf="1" numFmtId="4">
    <nc r="AE19">
      <v>40512125</v>
    </nc>
    <ndxf>
      <numFmt numFmtId="3" formatCode="#,##0"/>
    </ndxf>
  </rcc>
  <rfmt sheetId="1" sqref="R19" start="0" length="0">
    <dxf>
      <numFmt numFmtId="3" formatCode="#,##0"/>
    </dxf>
  </rfmt>
  <rcc rId="144" sId="1" xfDxf="1" dxf="1" numFmtId="4">
    <nc r="R19">
      <v>37980136</v>
    </nc>
    <ndxf>
      <numFmt numFmtId="3" formatCode="#,##0"/>
    </ndxf>
  </rcc>
  <rfmt sheetId="1" xfDxf="1" sqref="S19" start="0" length="0"/>
  <rcc rId="145" sId="1" odxf="1" dxf="1" numFmtId="4">
    <nc r="S19">
      <v>40511877</v>
    </nc>
    <ndxf>
      <numFmt numFmtId="3" formatCode="#,##0"/>
    </ndxf>
  </rcc>
  <rcc rId="146" sId="1" odxf="1" dxf="1">
    <nc r="U19">
      <f>R19-S19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cc rId="147" sId="1" odxf="1" dxf="1" numFmtId="4">
    <nc r="T19">
      <v>-2531741</v>
    </nc>
    <odxf>
      <numFmt numFmtId="0" formatCode="General"/>
    </odxf>
    <ndxf>
      <numFmt numFmtId="3" formatCode="#,##0"/>
    </ndxf>
  </rcc>
  <rfmt sheetId="1" sqref="V19" start="0" length="0">
    <dxf>
      <numFmt numFmtId="3" formatCode="#,##0"/>
    </dxf>
  </rfmt>
  <rcc rId="148" sId="1" xfDxf="1" dxf="1" numFmtId="4">
    <nc r="V19">
      <v>73742153</v>
    </nc>
    <ndxf>
      <numFmt numFmtId="3" formatCode="#,##0"/>
    </ndxf>
  </rcc>
  <rfmt sheetId="1" sqref="W19" start="0" length="0">
    <dxf>
      <numFmt numFmtId="3" formatCode="#,##0"/>
    </dxf>
  </rfmt>
  <rcc rId="149" sId="1" xfDxf="1" dxf="1" numFmtId="4">
    <nc r="W19">
      <v>78481648</v>
    </nc>
    <ndxf>
      <numFmt numFmtId="3" formatCode="#,##0"/>
    </ndxf>
  </rcc>
  <rcc rId="150" sId="1" odxf="1" dxf="1" numFmtId="4">
    <nc r="X19">
      <v>-4739495</v>
    </nc>
    <odxf>
      <numFmt numFmtId="0" formatCode="General"/>
    </odxf>
    <ndxf>
      <numFmt numFmtId="3" formatCode="#,##0"/>
    </ndxf>
  </rcc>
  <rcc rId="151" sId="1" odxf="1" dxf="1">
    <nc r="Y19">
      <f>V19-W19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cv guid="{FAAF9AC7-76E7-4EFB-BDF2-C070ED37ADBE}" action="delete"/>
  <rcv guid="{FAAF9AC7-76E7-4EFB-BDF2-C070ED37ADBE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34" sId="1">
    <oc r="E7">
      <f>24990579+4525835+453060+4756038+3407738+28779126+148428020+3041290+2855381+4827304</f>
    </oc>
    <nc r="E7">
      <f>24990579+4525835+453060+4756038+3407738+28779126+148428020</f>
    </nc>
  </rcc>
  <rcc rId="35" sId="1" numFmtId="4">
    <oc r="E8">
      <v>17929525</v>
    </oc>
    <nc r="E8">
      <f>4810529+964715+1585751+7937952</f>
    </nc>
  </rcc>
  <rcc rId="36" sId="1">
    <nc r="AL8">
      <f>AK8+F8=G8+D8</f>
    </nc>
  </rcc>
  <rcc rId="37" sId="1">
    <nc r="AL9">
      <f>AK9+F9=G9+D9</f>
    </nc>
  </rcc>
  <rcc rId="38" sId="1">
    <nc r="AL10">
      <f>AK10+F10=G10+D10</f>
    </nc>
  </rcc>
  <rcc rId="39" sId="1">
    <oc r="E9">
      <f>8048203+117238+910884+1050947+47187+481544+2188753</f>
    </oc>
    <nc r="E9">
      <f>8048203+117238+910884+1050947+47187</f>
    </nc>
  </rcc>
  <rcc rId="40" sId="1">
    <oc r="E10">
      <f>4926873+701992+35653+1532742+897297+480988+104107</f>
    </oc>
    <nc r="E10">
      <f>4926873+701992+35653+1532742+104107</f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>
  <rcc rId="1" sId="1">
    <nc r="D16">
      <v>0</v>
    </nc>
  </rcc>
  <rfmt sheetId="1" sqref="D16">
    <dxf>
      <numFmt numFmtId="3" formatCode="#,##0"/>
      <fill>
        <patternFill patternType="solid">
          <fgColor indexed="64"/>
          <bgColor theme="6" tint="0.39997558519241921"/>
        </patternFill>
      </fill>
    </dxf>
  </rfmt>
  <rcc rId="2" sId="1">
    <nc r="E16">
      <f>2421685+36314+787726+514810+448401</f>
    </nc>
  </rcc>
  <rcc rId="3" sId="1">
    <nc r="F16">
      <v>0</v>
    </nc>
  </rcc>
  <rfmt sheetId="1" sqref="F16">
    <dxf>
      <numFmt numFmtId="3" formatCode="#,##0"/>
      <fill>
        <patternFill patternType="solid">
          <fgColor indexed="64"/>
          <bgColor theme="6" tint="0.39997558519241921"/>
        </patternFill>
      </fill>
    </dxf>
  </rfmt>
  <rfmt sheetId="1" sqref="G16" start="0" length="0">
    <dxf>
      <numFmt numFmtId="3" formatCode="#,##0"/>
    </dxf>
  </rfmt>
  <rcc rId="4" sId="1" xfDxf="1" dxf="1" numFmtId="4">
    <nc r="G16">
      <v>144683070</v>
    </nc>
    <ndxf>
      <numFmt numFmtId="3" formatCode="#,##0"/>
    </ndxf>
  </rcc>
  <rfmt sheetId="1" sqref="H16" start="0" length="0">
    <dxf>
      <numFmt numFmtId="3" formatCode="#,##0"/>
    </dxf>
  </rfmt>
  <rcc rId="5" sId="1" xfDxf="1" dxf="1" numFmtId="4">
    <nc r="H16">
      <v>134951826</v>
    </nc>
    <ndxf>
      <numFmt numFmtId="3" formatCode="#,##0"/>
    </ndxf>
  </rcc>
  <rfmt sheetId="1" sqref="I16" start="0" length="0">
    <dxf>
      <numFmt numFmtId="3" formatCode="#,##0"/>
    </dxf>
  </rfmt>
  <rcc rId="6" sId="1" xfDxf="1" dxf="1" numFmtId="4">
    <nc r="I16">
      <v>26860110</v>
    </nc>
    <ndxf>
      <numFmt numFmtId="3" formatCode="#,##0"/>
    </ndxf>
  </rcc>
  <rfmt sheetId="1" sqref="J16" start="0" length="0">
    <dxf>
      <numFmt numFmtId="3" formatCode="#,##0"/>
    </dxf>
  </rfmt>
  <rcc rId="7" sId="1" xfDxf="1" dxf="1" numFmtId="4">
    <nc r="J16">
      <v>17594624</v>
    </nc>
    <ndxf>
      <numFmt numFmtId="3" formatCode="#,##0"/>
    </ndxf>
  </rcc>
  <rfmt sheetId="1" sqref="K16" start="0" length="0">
    <dxf>
      <numFmt numFmtId="3" formatCode="#,##0"/>
    </dxf>
  </rfmt>
  <rcc rId="8" sId="1" xfDxf="1" dxf="1" numFmtId="4">
    <nc r="K16">
      <v>2217522</v>
    </nc>
    <ndxf>
      <numFmt numFmtId="3" formatCode="#,##0"/>
    </ndxf>
  </rcc>
  <rfmt sheetId="1" sqref="L16" start="0" length="0">
    <dxf>
      <numFmt numFmtId="3" formatCode="#,##0"/>
    </dxf>
  </rfmt>
  <rcc rId="9" sId="1" xfDxf="1" dxf="1" numFmtId="4">
    <nc r="L16">
      <v>4294281</v>
    </nc>
    <ndxf>
      <numFmt numFmtId="3" formatCode="#,##0"/>
    </ndxf>
  </rcc>
  <rfmt sheetId="1" sqref="M16" start="0" length="0">
    <dxf>
      <numFmt numFmtId="3" formatCode="#,##0"/>
    </dxf>
  </rfmt>
  <rcc rId="10" sId="1" xfDxf="1" dxf="1" numFmtId="4">
    <nc r="M16">
      <v>992416</v>
    </nc>
    <ndxf>
      <numFmt numFmtId="3" formatCode="#,##0"/>
    </ndxf>
  </rcc>
  <rcc rId="11" sId="1" odxf="1" dxf="1">
    <nc r="N16">
      <f>SUM(J16:M16)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O16" start="0" length="0">
    <dxf>
      <numFmt numFmtId="3" formatCode="#,##0"/>
    </dxf>
  </rfmt>
  <rcc rId="12" sId="1" xfDxf="1" dxf="1" numFmtId="4">
    <nc r="O16">
      <v>22449556</v>
    </nc>
    <ndxf>
      <numFmt numFmtId="3" formatCode="#,##0"/>
    </ndxf>
  </rcc>
  <rcc rId="13" sId="1" odxf="1" dxf="1">
    <nc r="P16">
      <f>N16-O16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Q16" start="0" length="0">
    <dxf>
      <numFmt numFmtId="3" formatCode="#,##0"/>
    </dxf>
  </rfmt>
  <rcc rId="14" sId="1" xfDxf="1" dxf="1" numFmtId="4">
    <nc r="Q16">
      <v>2649287</v>
    </nc>
    <ndxf>
      <numFmt numFmtId="3" formatCode="#,##0"/>
    </ndxf>
  </rcc>
  <rfmt sheetId="1" sqref="Z16" start="0" length="0">
    <dxf>
      <numFmt numFmtId="3" formatCode="#,##0"/>
    </dxf>
  </rfmt>
  <rcc rId="15" sId="1" xfDxf="1" dxf="1" numFmtId="4">
    <nc r="Z16">
      <v>9522319</v>
    </nc>
    <ndxf>
      <numFmt numFmtId="3" formatCode="#,##0"/>
    </ndxf>
  </rcc>
  <rcc rId="16" sId="1">
    <nc r="AA16">
      <v>0</v>
    </nc>
  </rcc>
  <rfmt sheetId="1" sqref="AA16">
    <dxf>
      <numFmt numFmtId="3" formatCode="#,##0"/>
      <fill>
        <patternFill patternType="solid">
          <fgColor indexed="64"/>
          <bgColor theme="6" tint="0.39997558519241921"/>
        </patternFill>
      </fill>
    </dxf>
  </rfmt>
  <rfmt sheetId="1" sqref="AB16" start="0" length="0">
    <dxf>
      <numFmt numFmtId="3" formatCode="#,##0"/>
    </dxf>
  </rfmt>
  <rcc rId="17" sId="1" xfDxf="1" dxf="1" numFmtId="4">
    <nc r="AB16">
      <v>21308584</v>
    </nc>
    <ndxf>
      <numFmt numFmtId="3" formatCode="#,##0"/>
    </ndxf>
  </rcc>
  <rfmt sheetId="1" sqref="AC16" start="0" length="0">
    <dxf>
      <numFmt numFmtId="3" formatCode="#,##0"/>
    </dxf>
  </rfmt>
  <rcc rId="18" sId="1" xfDxf="1" dxf="1" numFmtId="4">
    <nc r="AC16">
      <v>9120009</v>
    </nc>
    <ndxf>
      <numFmt numFmtId="3" formatCode="#,##0"/>
    </ndxf>
  </rcc>
  <rcc rId="19" sId="1">
    <nc r="AD16">
      <v>0</v>
    </nc>
  </rcc>
  <rfmt sheetId="1" sqref="AD16">
    <dxf>
      <numFmt numFmtId="3" formatCode="#,##0"/>
      <fill>
        <patternFill patternType="solid">
          <fgColor indexed="64"/>
          <bgColor theme="6" tint="0.39997558519241921"/>
        </patternFill>
      </fill>
    </dxf>
  </rfmt>
  <rfmt sheetId="1" sqref="AE16" start="0" length="0">
    <dxf>
      <numFmt numFmtId="3" formatCode="#,##0"/>
    </dxf>
  </rfmt>
  <rcc rId="20" sId="1" xfDxf="1" dxf="1" numFmtId="4">
    <nc r="AE16">
      <v>31221598</v>
    </nc>
    <ndxf>
      <numFmt numFmtId="3" formatCode="#,##0"/>
    </ndxf>
  </rcc>
  <rfmt sheetId="1" sqref="R16" start="0" length="0">
    <dxf>
      <numFmt numFmtId="3" formatCode="#,##0"/>
    </dxf>
  </rfmt>
  <rcc rId="21" sId="1" xfDxf="1" dxf="1" numFmtId="4">
    <nc r="R16">
      <v>16972334</v>
    </nc>
    <ndxf>
      <numFmt numFmtId="3" formatCode="#,##0"/>
    </ndxf>
  </rcc>
  <rfmt sheetId="1" sqref="S16" start="0" length="0">
    <dxf>
      <numFmt numFmtId="3" formatCode="#,##0"/>
    </dxf>
  </rfmt>
  <rcc rId="22" sId="1" xfDxf="1" dxf="1" numFmtId="4">
    <nc r="S16">
      <v>12818761</v>
    </nc>
    <ndxf>
      <numFmt numFmtId="3" formatCode="#,##0"/>
    </ndxf>
  </rcc>
  <rcc rId="23" sId="1" odxf="1" dxf="1">
    <nc r="U16">
      <f>R16-S16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T16" start="0" length="0">
    <dxf>
      <numFmt numFmtId="3" formatCode="#,##0"/>
    </dxf>
  </rfmt>
  <rcc rId="24" sId="1" xfDxf="1" dxf="1" numFmtId="4">
    <nc r="T16">
      <v>4153573</v>
    </nc>
    <ndxf>
      <numFmt numFmtId="3" formatCode="#,##0"/>
    </ndxf>
  </rcc>
  <rfmt sheetId="1" sqref="V16" start="0" length="0">
    <dxf>
      <numFmt numFmtId="3" formatCode="#,##0"/>
    </dxf>
  </rfmt>
  <rcc rId="25" sId="1" xfDxf="1" dxf="1" numFmtId="4">
    <nc r="V16">
      <v>23841621</v>
    </nc>
    <ndxf>
      <numFmt numFmtId="3" formatCode="#,##0"/>
    </ndxf>
  </rcc>
  <rfmt sheetId="1" sqref="W16" start="0" length="0">
    <dxf>
      <numFmt numFmtId="3" formatCode="#,##0"/>
    </dxf>
  </rfmt>
  <rcc rId="26" sId="1" xfDxf="1" dxf="1" numFmtId="4">
    <nc r="W16">
      <v>28229095</v>
    </nc>
    <ndxf>
      <numFmt numFmtId="3" formatCode="#,##0"/>
    </ndxf>
  </rcc>
  <rcc rId="27" sId="1" odxf="1" dxf="1">
    <nc r="Y16">
      <f>V16-W16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cc rId="28" sId="1" odxf="1" dxf="1" numFmtId="4">
    <nc r="X16">
      <v>-4387474</v>
    </nc>
    <odxf>
      <numFmt numFmtId="0" formatCode="General"/>
    </odxf>
    <ndxf>
      <numFmt numFmtId="3" formatCode="#,##0"/>
    </ndxf>
  </rcc>
  <rcc rId="29" sId="1">
    <nc r="AF16">
      <f>137461+480000</f>
    </nc>
  </rcc>
  <rcc rId="30" sId="1">
    <nc r="AG16">
      <v>0</v>
    </nc>
  </rcc>
  <rfmt sheetId="1" sqref="AG16">
    <dxf>
      <numFmt numFmtId="3" formatCode="#,##0"/>
      <fill>
        <patternFill patternType="solid">
          <fgColor indexed="64"/>
          <bgColor theme="6" tint="0.39997558519241921"/>
        </patternFill>
      </fill>
    </dxf>
  </rfmt>
  <rcc rId="31" sId="1">
    <nc r="AH16">
      <v>0</v>
    </nc>
  </rcc>
  <rfmt sheetId="1" sqref="AH16">
    <dxf>
      <numFmt numFmtId="3" formatCode="#,##0"/>
      <fill>
        <patternFill patternType="solid">
          <fgColor indexed="64"/>
          <bgColor theme="6" tint="0.39997558519241921"/>
        </patternFill>
      </fill>
    </dxf>
  </rfmt>
  <rcc rId="32" sId="1">
    <nc r="AI16">
      <f>549847+4355000</f>
    </nc>
  </rcc>
  <rcc rId="33" sId="1" odxf="1" dxf="1">
    <nc r="AJ16">
      <f>SUM(AF16:AI16)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A16:XFD16">
    <dxf>
      <fill>
        <patternFill>
          <bgColor theme="6" tint="0.39997558519241921"/>
        </patternFill>
      </fill>
    </dxf>
  </rfmt>
  <rcv guid="{FAAF9AC7-76E7-4EFB-BDF2-C070ED37ADBE}" action="delete"/>
  <rcv guid="{FAAF9AC7-76E7-4EFB-BDF2-C070ED37ADBE}" action="add"/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fmt sheetId="1" sqref="C22" start="0" length="0">
    <dxf>
      <numFmt numFmtId="3" formatCode="#,##0"/>
    </dxf>
  </rfmt>
  <rcc rId="223" sId="1">
    <oc r="C10">
      <f>65933925+7514863+2643347+1524286+32778+6033+15356463+11839080+564835+4291233+1370326+449075+12831+15600</f>
    </oc>
    <nc r="C10">
      <f>193096226-67231310-16158073</f>
    </nc>
  </rcc>
  <rfmt sheetId="1" sqref="C10">
    <dxf>
      <fill>
        <patternFill patternType="solid">
          <bgColor rgb="FFFFFF00"/>
        </patternFill>
      </fill>
    </dxf>
  </rfmt>
  <rcc rId="224" sId="1">
    <oc r="E10">
      <f>4926873+701992+35653+1532742+104107</f>
    </oc>
    <nc r="E10">
      <f>4926873+701992+35653+1532742</f>
    </nc>
  </rcc>
  <rfmt sheetId="1" sqref="E10">
    <dxf>
      <fill>
        <patternFill patternType="solid">
          <bgColor rgb="FFFFFF00"/>
        </patternFill>
      </fill>
    </dxf>
  </rfmt>
  <rcc rId="225" sId="1" xfDxf="1" dxf="1" numFmtId="4">
    <oc r="G10">
      <f>193096226+17677103</f>
    </oc>
    <nc r="G10">
      <v>193096226</v>
    </nc>
    <ndxf>
      <numFmt numFmtId="3" formatCode="#,##0"/>
    </ndxf>
  </rcc>
  <rcc rId="226" sId="1" xfDxf="1" dxf="1" numFmtId="4">
    <oc r="H10">
      <f>130642337+766996</f>
    </oc>
    <nc r="H10">
      <v>130642337</v>
    </nc>
    <ndxf>
      <numFmt numFmtId="3" formatCode="#,##0"/>
    </ndxf>
  </rcc>
  <rcc rId="227" sId="1" xfDxf="1" dxf="1" numFmtId="4">
    <oc r="I10">
      <f>39526263+77789</f>
    </oc>
    <nc r="I10">
      <v>39526263</v>
    </nc>
    <ndxf>
      <numFmt numFmtId="3" formatCode="#,##0"/>
    </ndxf>
  </rcc>
  <rcc rId="228" sId="1">
    <oc r="L10">
      <f>3063251+51405</f>
    </oc>
    <nc r="L10">
      <f>3063251</f>
    </nc>
  </rcc>
  <rcc rId="229" sId="1">
    <oc r="M10">
      <f>929109+1001027</f>
    </oc>
    <nc r="M10">
      <f>929109</f>
    </nc>
  </rcc>
  <rcc rId="230" sId="1">
    <oc r="O10">
      <f>42122873+1773349</f>
    </oc>
    <nc r="O10">
      <f>42122873</f>
    </nc>
  </rcc>
  <rcc rId="231" sId="1">
    <oc r="Q10">
      <f>3811939-635793</f>
    </oc>
    <nc r="Q10">
      <f>3811939</f>
    </nc>
  </rcc>
  <rcc rId="232" sId="1" numFmtId="4">
    <oc r="J10">
      <f>40504397+85124</f>
    </oc>
    <nc r="J10">
      <v>40504397</v>
    </nc>
  </rcc>
  <rcc rId="233" sId="1" numFmtId="4">
    <oc r="AB10">
      <v>12091728</v>
    </oc>
    <nc r="AB10">
      <v>60509464</v>
    </nc>
  </rcc>
  <rcc rId="234" sId="1" numFmtId="4">
    <oc r="AC10">
      <v>54246048</v>
    </oc>
    <nc r="AC10">
      <v>52053330</v>
    </nc>
  </rcc>
  <rfmt sheetId="1" sqref="AD10">
    <dxf>
      <numFmt numFmtId="3" formatCode="#,##0"/>
    </dxf>
  </rfmt>
  <rcv guid="{FAAF9AC7-76E7-4EFB-BDF2-C070ED37ADBE}" action="delete"/>
  <rcv guid="{FAAF9AC7-76E7-4EFB-BDF2-C070ED37ADBE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77" sId="2">
    <nc r="B7" t="inlineStr">
      <is>
        <t>Done</t>
      </is>
    </nc>
  </rcc>
  <rcc rId="78" sId="2">
    <nc r="B8" t="inlineStr">
      <is>
        <t>Done</t>
      </is>
    </nc>
  </rcc>
  <rcc rId="79" sId="1">
    <nc r="B18" t="inlineStr">
      <is>
        <t>CA Moraga 2017.pdf</t>
      </is>
    </nc>
  </rcc>
  <rcc rId="80" sId="1">
    <nc r="A18" t="inlineStr">
      <is>
        <t>Moraga</t>
      </is>
    </nc>
  </rcc>
  <rfmt sheetId="1" sqref="A18">
    <dxf>
      <fill>
        <patternFill patternType="solid">
          <fgColor indexed="64"/>
          <bgColor theme="6" tint="0.39997558519241921"/>
        </patternFill>
      </fill>
    </dxf>
  </rfmt>
  <rfmt sheetId="1" sqref="C18" start="0" length="0">
    <dxf>
      <numFmt numFmtId="3" formatCode="#,##0"/>
    </dxf>
  </rfmt>
  <rcc rId="81" sId="1" xfDxf="1" dxf="1" numFmtId="4">
    <nc r="C18">
      <v>13500057</v>
    </nc>
    <ndxf>
      <numFmt numFmtId="3" formatCode="#,##0"/>
    </ndxf>
  </rcc>
  <rfmt sheetId="1" sqref="D18" start="0" length="0">
    <dxf>
      <numFmt numFmtId="3" formatCode="#,##0"/>
    </dxf>
  </rfmt>
  <rcc rId="82" sId="1" xfDxf="1" dxf="1" numFmtId="4">
    <nc r="D18">
      <v>1253642</v>
    </nc>
    <ndxf>
      <numFmt numFmtId="3" formatCode="#,##0"/>
    </ndxf>
  </rcc>
  <rfmt sheetId="1" sqref="G18" start="0" length="0">
    <dxf>
      <numFmt numFmtId="3" formatCode="#,##0"/>
    </dxf>
  </rfmt>
  <rcc rId="83" sId="1" xfDxf="1" dxf="1" numFmtId="4">
    <nc r="G18">
      <v>62124535</v>
    </nc>
    <ndxf>
      <numFmt numFmtId="3" formatCode="#,##0"/>
    </ndxf>
  </rcc>
  <rcc rId="84" sId="1">
    <nc r="E18">
      <f>771181+850</f>
    </nc>
  </rcc>
  <rfmt sheetId="1" sqref="F18" start="0" length="0">
    <dxf>
      <numFmt numFmtId="3" formatCode="#,##0"/>
    </dxf>
  </rfmt>
  <rcc rId="85" sId="1" xfDxf="1" dxf="1" numFmtId="4">
    <nc r="F18">
      <v>1463543</v>
    </nc>
    <ndxf>
      <numFmt numFmtId="3" formatCode="#,##0"/>
    </ndxf>
  </rcc>
  <rfmt sheetId="1" sqref="H18" start="0" length="0">
    <dxf>
      <numFmt numFmtId="3" formatCode="#,##0"/>
    </dxf>
  </rfmt>
  <rcc rId="86" sId="1" xfDxf="1" dxf="1" numFmtId="4">
    <nc r="H18">
      <v>47588576</v>
    </nc>
    <ndxf>
      <numFmt numFmtId="3" formatCode="#,##0"/>
    </ndxf>
  </rcc>
  <rfmt sheetId="1" sqref="I18" start="0" length="0">
    <dxf>
      <numFmt numFmtId="3" formatCode="#,##0"/>
    </dxf>
  </rfmt>
  <rcc rId="87" sId="1" xfDxf="1" dxf="1" numFmtId="4">
    <nc r="I18">
      <v>2260694</v>
    </nc>
    <ndxf>
      <numFmt numFmtId="3" formatCode="#,##0"/>
    </ndxf>
  </rcc>
  <rfmt sheetId="1" sqref="J18" start="0" length="0">
    <dxf>
      <numFmt numFmtId="3" formatCode="#,##0"/>
    </dxf>
  </rfmt>
  <rcc rId="88" sId="1" xfDxf="1" dxf="1" numFmtId="4">
    <nc r="J18">
      <v>7694258</v>
    </nc>
    <ndxf>
      <numFmt numFmtId="3" formatCode="#,##0"/>
    </ndxf>
  </rcc>
  <rfmt sheetId="1" sqref="K18" start="0" length="0">
    <dxf>
      <numFmt numFmtId="3" formatCode="#,##0"/>
    </dxf>
  </rfmt>
  <rcc rId="89" sId="1" xfDxf="1" dxf="1" numFmtId="4">
    <nc r="K18">
      <v>2978412</v>
    </nc>
    <ndxf>
      <numFmt numFmtId="3" formatCode="#,##0"/>
    </ndxf>
  </rcc>
  <rfmt sheetId="1" sqref="L18" start="0" length="0">
    <dxf>
      <numFmt numFmtId="3" formatCode="#,##0"/>
    </dxf>
  </rfmt>
  <rcc rId="90" sId="1" xfDxf="1" dxf="1" numFmtId="4">
    <nc r="L18">
      <v>1841676</v>
    </nc>
    <ndxf>
      <numFmt numFmtId="3" formatCode="#,##0"/>
    </ndxf>
  </rcc>
  <rfmt sheetId="1" sqref="M18" start="0" length="0">
    <dxf>
      <numFmt numFmtId="3" formatCode="#,##0"/>
    </dxf>
  </rfmt>
  <rcc rId="91" sId="1" xfDxf="1" dxf="1" numFmtId="4">
    <nc r="M18">
      <v>1173070</v>
    </nc>
    <ndxf>
      <numFmt numFmtId="3" formatCode="#,##0"/>
    </ndxf>
  </rcc>
  <rcc rId="92" sId="1" odxf="1" dxf="1">
    <nc r="N18">
      <f>SUM(J18:M18)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O18" start="0" length="0">
    <dxf>
      <numFmt numFmtId="3" formatCode="#,##0"/>
    </dxf>
  </rfmt>
  <rcc rId="93" sId="1" xfDxf="1" dxf="1" numFmtId="4">
    <nc r="O18">
      <v>10199796</v>
    </nc>
    <ndxf>
      <numFmt numFmtId="3" formatCode="#,##0"/>
    </ndxf>
  </rcc>
  <rcc rId="94" sId="1" odxf="1" dxf="1">
    <nc r="P18">
      <f>N18-O18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Q18" start="0" length="0">
    <dxf>
      <numFmt numFmtId="3" formatCode="#,##0"/>
    </dxf>
  </rfmt>
  <rcc rId="95" sId="1" xfDxf="1" dxf="1" numFmtId="4">
    <nc r="Q18">
      <v>3487620</v>
    </nc>
    <ndxf>
      <numFmt numFmtId="3" formatCode="#,##0"/>
    </ndxf>
  </rcc>
  <rfmt sheetId="1" xfDxf="1" sqref="Z18" start="0" length="0"/>
  <rcc rId="96" sId="1" odxf="1" dxf="1" numFmtId="4">
    <nc r="Z18">
      <v>2309276</v>
    </nc>
    <ndxf>
      <numFmt numFmtId="3" formatCode="#,##0"/>
    </ndxf>
  </rcc>
  <rfmt sheetId="1" sqref="AA18" start="0" length="0">
    <dxf>
      <numFmt numFmtId="3" formatCode="#,##0"/>
    </dxf>
  </rfmt>
  <rcc rId="97" sId="1" xfDxf="1" dxf="1" numFmtId="4">
    <nc r="AA18">
      <v>3763132</v>
    </nc>
    <ndxf>
      <numFmt numFmtId="3" formatCode="#,##0"/>
    </ndxf>
  </rcc>
  <rfmt sheetId="1" sqref="AB18" start="0" length="0">
    <dxf>
      <numFmt numFmtId="3" formatCode="#,##0"/>
    </dxf>
  </rfmt>
  <rcc rId="98" sId="1" xfDxf="1" dxf="1" numFmtId="4">
    <nc r="AB18">
      <v>7001356</v>
    </nc>
    <ndxf>
      <numFmt numFmtId="3" formatCode="#,##0"/>
    </ndxf>
  </rcc>
  <rfmt sheetId="1" sqref="AC18" start="0" length="0">
    <dxf>
      <numFmt numFmtId="3" formatCode="#,##0"/>
    </dxf>
  </rfmt>
  <rcc rId="99" sId="1" xfDxf="1" dxf="1" numFmtId="4">
    <nc r="AC18">
      <v>12892182</v>
    </nc>
    <ndxf>
      <numFmt numFmtId="3" formatCode="#,##0"/>
    </ndxf>
  </rcc>
  <rfmt sheetId="1" sqref="AD18" start="0" length="0">
    <dxf>
      <numFmt numFmtId="3" formatCode="#,##0"/>
    </dxf>
  </rfmt>
  <rcc rId="100" sId="1" xfDxf="1" dxf="1" numFmtId="4">
    <nc r="AD18">
      <v>3763132</v>
    </nc>
    <ndxf>
      <numFmt numFmtId="3" formatCode="#,##0"/>
    </ndxf>
  </rcc>
  <rfmt sheetId="1" xfDxf="1" sqref="AE18" start="0" length="0"/>
  <rcc rId="101" sId="1" odxf="1" dxf="1" numFmtId="4">
    <nc r="AE18">
      <v>11654040</v>
    </nc>
    <ndxf>
      <numFmt numFmtId="3" formatCode="#,##0"/>
    </ndxf>
  </rcc>
  <rfmt sheetId="1" sqref="R18" start="0" length="0">
    <dxf>
      <numFmt numFmtId="3" formatCode="#,##0"/>
    </dxf>
  </rfmt>
  <rcc rId="102" sId="1" xfDxf="1" dxf="1" numFmtId="4">
    <nc r="R18">
      <v>7442123</v>
    </nc>
    <ndxf>
      <numFmt numFmtId="3" formatCode="#,##0"/>
    </ndxf>
  </rcc>
  <rfmt sheetId="1" sqref="S18" start="0" length="0">
    <dxf>
      <numFmt numFmtId="3" formatCode="#,##0"/>
    </dxf>
  </rfmt>
  <rcc rId="103" sId="1" xfDxf="1" dxf="1" numFmtId="4">
    <nc r="S18">
      <v>7196123</v>
    </nc>
    <ndxf>
      <numFmt numFmtId="3" formatCode="#,##0"/>
    </ndxf>
  </rcc>
  <rfmt sheetId="1" sqref="T18" start="0" length="0">
    <dxf>
      <numFmt numFmtId="3" formatCode="#,##0"/>
    </dxf>
  </rfmt>
  <rcc rId="104" sId="1" xfDxf="1" dxf="1" numFmtId="4">
    <nc r="T18">
      <v>246000</v>
    </nc>
    <ndxf>
      <numFmt numFmtId="3" formatCode="#,##0"/>
    </ndxf>
  </rcc>
  <rcc rId="105" sId="1" odxf="1" dxf="1">
    <nc r="U18">
      <f>R18-S18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V18" start="0" length="0">
    <dxf>
      <numFmt numFmtId="3" formatCode="#,##0"/>
    </dxf>
  </rfmt>
  <rcc rId="106" sId="1" xfDxf="1" dxf="1" numFmtId="4">
    <nc r="V18">
      <v>12613430</v>
    </nc>
    <ndxf>
      <numFmt numFmtId="3" formatCode="#,##0"/>
    </ndxf>
  </rcc>
  <rfmt sheetId="1" sqref="W18" start="0" length="0">
    <dxf>
      <numFmt numFmtId="3" formatCode="#,##0"/>
    </dxf>
  </rfmt>
  <rcc rId="107" sId="1" xfDxf="1" dxf="1" numFmtId="4">
    <nc r="W18">
      <v>15377627</v>
    </nc>
    <ndxf>
      <numFmt numFmtId="3" formatCode="#,##0"/>
    </ndxf>
  </rcc>
  <rcc rId="108" sId="1" odxf="1" dxf="1" numFmtId="4">
    <nc r="X18">
      <v>-2764197</v>
    </nc>
    <odxf>
      <numFmt numFmtId="0" formatCode="General"/>
    </odxf>
    <ndxf>
      <numFmt numFmtId="3" formatCode="#,##0"/>
    </ndxf>
  </rcc>
  <rcc rId="109" sId="1" odxf="1" dxf="1">
    <nc r="Y18">
      <f>V18-W18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cc rId="110" sId="1">
    <nc r="AF18">
      <f>16321+365000+75680</f>
    </nc>
  </rcc>
  <rfmt sheetId="1" sqref="AG18" start="0" length="0">
    <dxf>
      <numFmt numFmtId="3" formatCode="#,##0"/>
    </dxf>
  </rfmt>
  <rcc rId="111" sId="1" xfDxf="1" dxf="1" numFmtId="4">
    <nc r="AG18">
      <v>5226347</v>
    </nc>
    <ndxf>
      <numFmt numFmtId="3" formatCode="#,##0"/>
    </ndxf>
  </rcc>
  <rcc rId="112" sId="1">
    <nc r="AH18">
      <v>0</v>
    </nc>
  </rcc>
  <rfmt sheetId="1" sqref="AH18">
    <dxf>
      <numFmt numFmtId="3" formatCode="#,##0"/>
      <fill>
        <patternFill patternType="solid">
          <fgColor indexed="64"/>
          <bgColor theme="6" tint="0.39997558519241921"/>
        </patternFill>
      </fill>
    </dxf>
  </rfmt>
  <rcc rId="113" sId="1">
    <nc r="AI18">
      <f>7567959+302720</f>
    </nc>
  </rcc>
  <rfmt sheetId="1" sqref="AJ18">
    <dxf>
      <numFmt numFmtId="3" formatCode="#,##0"/>
      <fill>
        <patternFill patternType="solid">
          <fgColor indexed="64"/>
          <bgColor theme="6" tint="0.39997558519241921"/>
        </patternFill>
      </fill>
    </dxf>
  </rfmt>
  <rcc rId="114" sId="1">
    <nc r="AJ18">
      <f>SUM(AF18:AI18)</f>
    </nc>
  </rcc>
  <rcv guid="{FAAF9AC7-76E7-4EFB-BDF2-C070ED37ADBE}" action="delete"/>
  <rcv guid="{FAAF9AC7-76E7-4EFB-BDF2-C070ED37ADBE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c rId="43" sId="1">
    <nc r="C17">
      <f>155685678-72862666-28760146</f>
    </nc>
  </rcc>
  <rfmt sheetId="1" xfDxf="1" sqref="D17" start="0" length="0"/>
  <rcc rId="44" sId="1" odxf="1" dxf="1" numFmtId="4">
    <nc r="D17">
      <v>10242169</v>
    </nc>
    <ndxf>
      <numFmt numFmtId="3" formatCode="#,##0"/>
    </ndxf>
  </rcc>
  <rcc rId="45" sId="1">
    <nc r="E17">
      <f>1331019+682724+1124700+337045+80000+82479</f>
    </nc>
  </rcc>
  <rfmt sheetId="1" sqref="F17" start="0" length="0">
    <dxf>
      <numFmt numFmtId="3" formatCode="#,##0"/>
    </dxf>
  </rfmt>
  <rcc rId="46" sId="1" xfDxf="1" dxf="1" numFmtId="4">
    <nc r="F17">
      <v>3604189</v>
    </nc>
    <ndxf>
      <numFmt numFmtId="3" formatCode="#,##0"/>
    </ndxf>
  </rcc>
  <rfmt sheetId="1" sqref="G17" start="0" length="0">
    <dxf>
      <numFmt numFmtId="3" formatCode="#,##0"/>
    </dxf>
  </rfmt>
  <rcc rId="47" sId="1" xfDxf="1" dxf="1" numFmtId="4">
    <nc r="G17">
      <v>155685678</v>
    </nc>
    <ndxf>
      <numFmt numFmtId="3" formatCode="#,##0"/>
    </ndxf>
  </rcc>
  <rfmt sheetId="1" sqref="H17" start="0" length="0">
    <dxf>
      <numFmt numFmtId="3" formatCode="#,##0"/>
    </dxf>
  </rfmt>
  <rcc rId="48" sId="1" xfDxf="1" dxf="1" numFmtId="4">
    <nc r="H17">
      <v>86236645</v>
    </nc>
    <ndxf>
      <numFmt numFmtId="3" formatCode="#,##0"/>
    </ndxf>
  </rcc>
  <rfmt sheetId="1" sqref="I17" start="0" length="0">
    <dxf>
      <numFmt numFmtId="3" formatCode="#,##0"/>
    </dxf>
  </rfmt>
  <rcc rId="49" sId="1" xfDxf="1" dxf="1" numFmtId="4">
    <nc r="I17">
      <v>2460364</v>
    </nc>
    <ndxf>
      <numFmt numFmtId="3" formatCode="#,##0"/>
    </ndxf>
  </rcc>
  <rfmt sheetId="1" sqref="J17" start="0" length="0">
    <dxf>
      <numFmt numFmtId="3" formatCode="#,##0"/>
    </dxf>
  </rfmt>
  <rcc rId="50" sId="1" xfDxf="1" dxf="1" numFmtId="4">
    <nc r="J17">
      <v>20430758</v>
    </nc>
    <ndxf>
      <numFmt numFmtId="3" formatCode="#,##0"/>
    </ndxf>
  </rcc>
  <rfmt sheetId="1" sqref="K17" start="0" length="0">
    <dxf>
      <numFmt numFmtId="3" formatCode="#,##0"/>
    </dxf>
  </rfmt>
  <rcc rId="51" sId="1" xfDxf="1" dxf="1" numFmtId="4">
    <nc r="K17">
      <v>3992910</v>
    </nc>
    <ndxf>
      <numFmt numFmtId="3" formatCode="#,##0"/>
    </ndxf>
  </rcc>
  <rfmt sheetId="1" sqref="L17" start="0" length="0">
    <dxf>
      <numFmt numFmtId="3" formatCode="#,##0"/>
    </dxf>
  </rfmt>
  <rcc rId="52" sId="1" xfDxf="1" dxf="1" numFmtId="4">
    <nc r="L17">
      <v>14061965</v>
    </nc>
    <ndxf>
      <numFmt numFmtId="3" formatCode="#,##0"/>
    </ndxf>
  </rcc>
  <rfmt sheetId="1" sqref="M17" start="0" length="0">
    <dxf>
      <numFmt numFmtId="3" formatCode="#,##0"/>
    </dxf>
  </rfmt>
  <rcc rId="53" sId="1" xfDxf="1" dxf="1" numFmtId="4">
    <nc r="M17">
      <v>2593652</v>
    </nc>
    <ndxf>
      <numFmt numFmtId="3" formatCode="#,##0"/>
    </ndxf>
  </rcc>
  <rcc rId="54" sId="1" odxf="1" dxf="1">
    <nc r="N17">
      <f>SUM(J17:M17)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O17" start="0" length="0">
    <dxf>
      <numFmt numFmtId="3" formatCode="#,##0"/>
    </dxf>
  </rfmt>
  <rcc rId="55" sId="1" xfDxf="1" dxf="1" numFmtId="4">
    <nc r="O17">
      <v>38753945</v>
    </nc>
    <ndxf>
      <numFmt numFmtId="3" formatCode="#,##0"/>
    </ndxf>
  </rcc>
  <rcc rId="56" sId="1" odxf="1" dxf="1">
    <nc r="P17">
      <f>N17-O17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Q17" start="0" length="0">
    <dxf>
      <numFmt numFmtId="3" formatCode="#,##0"/>
    </dxf>
  </rfmt>
  <rcc rId="57" sId="1" xfDxf="1" dxf="1" numFmtId="4">
    <nc r="Q17">
      <v>2325340</v>
    </nc>
    <ndxf>
      <numFmt numFmtId="3" formatCode="#,##0"/>
    </ndxf>
  </rcc>
  <rfmt sheetId="1" sqref="Z17" start="0" length="0">
    <dxf>
      <numFmt numFmtId="3" formatCode="#,##0"/>
    </dxf>
  </rfmt>
  <rcc rId="58" sId="1" xfDxf="1" dxf="1" numFmtId="4">
    <nc r="Z17">
      <v>8634938</v>
    </nc>
    <ndxf>
      <numFmt numFmtId="3" formatCode="#,##0"/>
    </ndxf>
  </rcc>
  <rfmt sheetId="1" sqref="AA17" start="0" length="0">
    <dxf>
      <numFmt numFmtId="3" formatCode="#,##0"/>
    </dxf>
  </rfmt>
  <rcc rId="59" sId="1" xfDxf="1" dxf="1" numFmtId="4">
    <nc r="AA17">
      <v>5048345</v>
    </nc>
    <ndxf>
      <numFmt numFmtId="3" formatCode="#,##0"/>
    </ndxf>
  </rcc>
  <rfmt sheetId="1" sqref="AB17" start="0" length="0">
    <dxf>
      <numFmt numFmtId="3" formatCode="#,##0"/>
    </dxf>
  </rfmt>
  <rcc rId="60" sId="1" xfDxf="1" dxf="1" numFmtId="4">
    <nc r="AB17">
      <v>13750782</v>
    </nc>
    <ndxf>
      <numFmt numFmtId="3" formatCode="#,##0"/>
    </ndxf>
  </rcc>
  <rfmt sheetId="1" sqref="AC17" start="0" length="0">
    <dxf>
      <numFmt numFmtId="3" formatCode="#,##0"/>
    </dxf>
  </rfmt>
  <rcc rId="61" sId="1" xfDxf="1" dxf="1" numFmtId="4">
    <nc r="AC17">
      <v>8617098</v>
    </nc>
    <ndxf>
      <numFmt numFmtId="3" formatCode="#,##0"/>
    </ndxf>
  </rcc>
  <rfmt sheetId="1" sqref="AD17" start="0" length="0">
    <dxf>
      <numFmt numFmtId="3" formatCode="#,##0"/>
    </dxf>
  </rfmt>
  <rcc rId="62" sId="1" xfDxf="1" dxf="1" numFmtId="4">
    <nc r="AD17">
      <v>5428913</v>
    </nc>
    <ndxf>
      <numFmt numFmtId="3" formatCode="#,##0"/>
    </ndxf>
  </rcc>
  <rfmt sheetId="1" sqref="AE17" start="0" length="0">
    <dxf>
      <numFmt numFmtId="3" formatCode="#,##0"/>
    </dxf>
  </rfmt>
  <rcc rId="63" sId="1" xfDxf="1" dxf="1" numFmtId="4">
    <nc r="AE17">
      <v>30779009</v>
    </nc>
    <ndxf>
      <numFmt numFmtId="3" formatCode="#,##0"/>
    </ndxf>
  </rcc>
  <rfmt sheetId="1" sqref="R17" start="0" length="0">
    <dxf>
      <numFmt numFmtId="3" formatCode="#,##0"/>
    </dxf>
  </rfmt>
  <rcc rId="64" sId="1" xfDxf="1" dxf="1" numFmtId="4">
    <nc r="R17">
      <v>22210623</v>
    </nc>
    <ndxf>
      <numFmt numFmtId="3" formatCode="#,##0"/>
    </ndxf>
  </rcc>
  <rfmt sheetId="1" sqref="S17" start="0" length="0">
    <dxf>
      <numFmt numFmtId="3" formatCode="#,##0"/>
    </dxf>
  </rfmt>
  <rcc rId="65" sId="1" xfDxf="1" dxf="1" numFmtId="4">
    <nc r="S17">
      <v>21109005</v>
    </nc>
    <ndxf>
      <numFmt numFmtId="3" formatCode="#,##0"/>
    </ndxf>
  </rcc>
  <rfmt sheetId="1" sqref="T17" start="0" length="0">
    <dxf>
      <numFmt numFmtId="3" formatCode="#,##0"/>
    </dxf>
  </rfmt>
  <rcc rId="66" sId="1" xfDxf="1" dxf="1" numFmtId="4">
    <nc r="T17">
      <v>1101618</v>
    </nc>
    <ndxf>
      <numFmt numFmtId="3" formatCode="#,##0"/>
    </ndxf>
  </rcc>
  <rcc rId="67" sId="1" odxf="1" dxf="1">
    <nc r="U17">
      <f>R17-S17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V17" start="0" length="0">
    <dxf>
      <numFmt numFmtId="3" formatCode="#,##0"/>
    </dxf>
  </rfmt>
  <rcc rId="68" sId="1" xfDxf="1" dxf="1" numFmtId="4">
    <nc r="V17">
      <v>29062595</v>
    </nc>
    <ndxf>
      <numFmt numFmtId="3" formatCode="#,##0"/>
    </ndxf>
  </rcc>
  <rfmt sheetId="1" sqref="W17" start="0" length="0">
    <dxf>
      <numFmt numFmtId="3" formatCode="#,##0"/>
    </dxf>
  </rfmt>
  <rcc rId="69" sId="1" xfDxf="1" dxf="1" numFmtId="4">
    <nc r="W17">
      <v>28165056</v>
    </nc>
    <ndxf>
      <numFmt numFmtId="3" formatCode="#,##0"/>
    </ndxf>
  </rcc>
  <rcc rId="70" sId="1" odxf="1" dxf="1">
    <nc r="Y17">
      <f>V17-W17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X17" start="0" length="0">
    <dxf>
      <numFmt numFmtId="3" formatCode="#,##0"/>
    </dxf>
  </rfmt>
  <rcc rId="71" sId="1" xfDxf="1" dxf="1" numFmtId="4">
    <nc r="X17">
      <v>897539</v>
    </nc>
    <ndxf>
      <numFmt numFmtId="3" formatCode="#,##0"/>
    </ndxf>
  </rcc>
  <rfmt sheetId="1" xfDxf="1" sqref="AG17" start="0" length="0"/>
  <rcc rId="72" sId="1" odxf="1" dxf="1" numFmtId="4">
    <nc r="AG17">
      <v>36408168</v>
    </nc>
    <ndxf>
      <numFmt numFmtId="3" formatCode="#,##0"/>
    </ndxf>
  </rcc>
  <rcc rId="73" sId="1">
    <nc r="AH17">
      <v>0</v>
    </nc>
  </rcc>
  <rfmt sheetId="1" sqref="AH17">
    <dxf>
      <numFmt numFmtId="3" formatCode="#,##0"/>
      <fill>
        <patternFill patternType="solid">
          <fgColor indexed="64"/>
          <bgColor theme="6" tint="0.39997558519241921"/>
        </patternFill>
      </fill>
    </dxf>
  </rfmt>
  <rcc rId="74" sId="1">
    <nc r="AF17">
      <f>1249000+1351149</f>
    </nc>
  </rcc>
  <rcc rId="75" sId="1">
    <nc r="AI17">
      <f>639274+32801455</f>
    </nc>
  </rcc>
  <rfmt sheetId="1" sqref="AJ17">
    <dxf>
      <numFmt numFmtId="3" formatCode="#,##0"/>
      <fill>
        <patternFill patternType="solid">
          <fgColor indexed="64"/>
          <bgColor theme="6" tint="0.39997558519241921"/>
        </patternFill>
      </fill>
    </dxf>
  </rfmt>
  <rcc rId="76" sId="1">
    <nc r="AJ17">
      <f>SUM(AF17:AI17)</f>
    </nc>
  </rcc>
  <rcv guid="{FAAF9AC7-76E7-4EFB-BDF2-C070ED37ADBE}" action="delete"/>
  <rcv guid="{FAAF9AC7-76E7-4EFB-BDF2-C070ED37ADBE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41" sId="1">
    <nc r="B17" t="inlineStr">
      <is>
        <t>CA Martinez 2017.pdf</t>
      </is>
    </nc>
  </rcc>
  <rcc rId="42" sId="1">
    <nc r="A17" t="inlineStr">
      <is>
        <t>Martinez</t>
      </is>
    </nc>
  </rcc>
  <rfmt sheetId="1" sqref="A17">
    <dxf>
      <fill>
        <patternFill patternType="solid">
          <fgColor indexed="64"/>
          <bgColor theme="6" tint="0.39997558519241921"/>
        </patternFill>
      </fill>
    </dxf>
  </rfmt>
  <rcv guid="{FAAF9AC7-76E7-4EFB-BDF2-C070ED37ADBE}" action="delete"/>
  <rcv guid="{FAAF9AC7-76E7-4EFB-BDF2-C070ED37ADBE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v guid="{FAAF9AC7-76E7-4EFB-BDF2-C070ED37ADBE}" action="delete"/>
  <rcv guid="{FAAF9AC7-76E7-4EFB-BDF2-C070ED37ADBE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dn rId="0" localSheetId="1" customView="1" name="Z_FAAF9AC7_76E7_4EFB_BDF2_C070ED37ADBE_.wvu.Cols" hidden="1" oldHidden="1" comment="" oldComment="">
    <oldFormula>Conn!$J:$AE</oldFormula>
  </rdn>
  <rcv guid="{FAAF9AC7-76E7-4EFB-BDF2-C070ED37ADBE}" action="delete"/>
  <rcv guid="{FAAF9AC7-76E7-4EFB-BDF2-C070ED37ADBE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220" sId="1">
    <oc r="AF8">
      <f>17929525</f>
    </oc>
    <nc r="AF8">
      <f>1987744+291652+351182</f>
    </nc>
  </rcc>
  <rcc rId="221" sId="1">
    <oc r="AK8">
      <v>130697300</v>
    </oc>
    <nc r="AK8">
      <f>291652+351182+3751876+3836559+101822611+3356729+1987744</f>
    </nc>
  </rcc>
  <rcv guid="{FAAF9AC7-76E7-4EFB-BDF2-C070ED37ADBE}" action="delete"/>
  <rdn rId="0" localSheetId="1" customView="1" name="Z_FAAF9AC7_76E7_4EFB_BDF2_C070ED37ADBE_.wvu.Cols" hidden="1" oldHidden="1">
    <formula>Conn!$J:$AE</formula>
  </rdn>
  <rcv guid="{FAAF9AC7-76E7-4EFB-BDF2-C070ED37ADBE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c rId="189" sId="1">
    <nc r="AD10">
      <v>895605</v>
    </nc>
  </rcc>
  <rfmt sheetId="1" sqref="AD10">
    <dxf>
      <numFmt numFmtId="3" formatCode="#,##0"/>
    </dxf>
  </rfmt>
  <rcc rId="190" sId="1" numFmtId="4">
    <nc r="AE10">
      <v>76868134</v>
    </nc>
  </rcc>
  <rcc rId="191" sId="1" xfDxf="1" dxf="1" numFmtId="4">
    <nc r="AG10">
      <v>34872747</v>
    </nc>
    <ndxf>
      <numFmt numFmtId="3" formatCode="#,##0"/>
    </ndxf>
  </rcc>
  <rcc rId="192" sId="1" numFmtId="4">
    <nc r="AH10">
      <v>0</v>
    </nc>
  </rcc>
  <rfmt sheetId="1" xfDxf="1" sqref="AI10" start="0" length="0">
    <dxf>
      <numFmt numFmtId="3" formatCode="#,##0"/>
    </dxf>
  </rfmt>
  <rcc rId="193" sId="1">
    <nc r="AF10">
      <f>4926873+701992+35653+1532742+897297+480988+104107</f>
    </nc>
  </rcc>
  <rcc rId="194" sId="1">
    <nc r="AI10">
      <f>332640+25219498+16806000</f>
    </nc>
  </rcc>
  <rcc rId="195" sId="1">
    <nc r="AJ10">
      <f>SUM(AF10:AI10)</f>
    </nc>
  </rcc>
  <rcc rId="196" sId="1">
    <nc r="AK10">
      <f>69000430+16910107</f>
    </nc>
  </rcc>
  <rcc rId="197" sId="1">
    <oc r="J11">
      <f>54655327+1000000</f>
    </oc>
    <nc r="J11">
      <f>54655327</f>
    </nc>
  </rcc>
  <rcc rId="198" sId="1" odxf="1" dxf="1">
    <oc r="N11">
      <f>SUM(J11:M11)</f>
    </oc>
    <nc r="N11">
      <f>SUM(J11:M11)</f>
    </nc>
    <odxf>
      <fill>
        <patternFill patternType="solid">
          <bgColor theme="6" tint="0.39997558519241921"/>
        </patternFill>
      </fill>
    </odxf>
    <ndxf>
      <fill>
        <patternFill patternType="none">
          <bgColor indexed="65"/>
        </patternFill>
      </fill>
    </ndxf>
  </rcc>
  <rcc rId="199" sId="1" odxf="1" dxf="1">
    <oc r="P11">
      <f>N11-O11</f>
    </oc>
    <nc r="P11">
      <f>N11-O11</f>
    </nc>
    <odxf>
      <fill>
        <patternFill patternType="solid">
          <bgColor theme="6" tint="0.39997558519241921"/>
        </patternFill>
      </fill>
    </odxf>
    <ndxf>
      <fill>
        <patternFill patternType="none">
          <bgColor indexed="65"/>
        </patternFill>
      </fill>
    </ndxf>
  </rcc>
  <rfmt sheetId="1" sqref="P11:Q11">
    <dxf>
      <fill>
        <patternFill>
          <bgColor rgb="FFFFFF00"/>
        </patternFill>
      </fill>
    </dxf>
  </rfmt>
  <rcc rId="200" sId="1">
    <oc r="AN11">
      <f>F11+AK11</f>
    </oc>
    <nc r="AN11">
      <f>F11+AK11+E11</f>
    </nc>
  </rcc>
  <rcc rId="201" sId="1">
    <oc r="AP12">
      <f>H12=AO12</f>
    </oc>
    <nc r="AP12">
      <f>H12=AO12</f>
    </nc>
  </rcc>
  <rcc rId="202" sId="1">
    <oc r="AP13">
      <f>H13=AO13</f>
    </oc>
    <nc r="AP13">
      <f>H13=AO13</f>
    </nc>
  </rcc>
  <rcc rId="203" sId="1">
    <oc r="AP14">
      <f>H14=AO14</f>
    </oc>
    <nc r="AP14">
      <f>H14=AO14</f>
    </nc>
  </rcc>
  <rcc rId="204" sId="1">
    <oc r="AP15">
      <f>H15=AO15</f>
    </oc>
    <nc r="AP15">
      <f>H15=AO15</f>
    </nc>
  </rcc>
  <rcc rId="205" sId="1">
    <oc r="AP16">
      <f>H16=AO16</f>
    </oc>
    <nc r="AP16">
      <f>H16=AO16</f>
    </nc>
  </rcc>
  <rcc rId="206" sId="1">
    <oc r="AN12">
      <f>F12+AK12</f>
    </oc>
    <nc r="AN12">
      <f>F12+AK12+E12</f>
    </nc>
  </rcc>
  <rcc rId="207" sId="1">
    <oc r="AN13">
      <f>F13+AK13</f>
    </oc>
    <nc r="AN13">
      <f>F13+AK13+E13</f>
    </nc>
  </rcc>
  <rcc rId="208" sId="1">
    <oc r="AN14">
      <f>F14+AK14</f>
    </oc>
    <nc r="AN14">
      <f>F14+AK14+E14</f>
    </nc>
  </rcc>
  <rcc rId="209" sId="1">
    <oc r="AN15">
      <f>F15+AK15</f>
    </oc>
    <nc r="AN15">
      <f>F15+AK15+E15</f>
    </nc>
  </rcc>
  <rcc rId="210" sId="1">
    <oc r="AN16">
      <f>F16+AK16</f>
    </oc>
    <nc r="AN16">
      <f>F16+AK16+E16</f>
    </nc>
  </rcc>
  <rfmt sheetId="1" sqref="AS8" start="0" length="0">
    <dxf>
      <numFmt numFmtId="3" formatCode="#,##0"/>
    </dxf>
  </rfmt>
  <rfmt sheetId="1" sqref="AS10" start="0" length="0">
    <dxf>
      <numFmt numFmtId="3" formatCode="#,##0"/>
    </dxf>
  </rfmt>
  <rcc rId="211" sId="1" odxf="1" dxf="1">
    <oc r="AN7">
      <f>F7+AK7</f>
    </oc>
    <nc r="AN7">
      <f>F7+AK7+E7</f>
    </nc>
    <odxf>
      <fill>
        <patternFill>
          <bgColor rgb="FFFFFF00"/>
        </patternFill>
      </fill>
    </odxf>
    <ndxf>
      <fill>
        <patternFill>
          <bgColor theme="6" tint="0.39997558519241921"/>
        </patternFill>
      </fill>
    </ndxf>
  </rcc>
  <rcc rId="212" sId="1">
    <oc r="AI7">
      <f>24990579+4525835+453060+4756038+3407738+1732708+9097949+40495259</f>
    </oc>
    <nc r="AI7">
      <f>1732708+9097949+40495259</f>
    </nc>
  </rcc>
  <rcc rId="213" sId="1">
    <oc r="AK7">
      <v>277390287</v>
    </oc>
    <nc r="AK7">
      <f>3041290+1732708+2855381+9097949+4827304+40495259+28779126+148428020</f>
    </nc>
  </rcc>
  <rcc rId="214" sId="1">
    <oc r="E7">
      <f>24990579+4525835+453060+4756038+3407738+28779126+148428020</f>
    </oc>
    <nc r="E7">
      <f>24990579+4525835+453060+4756038+3407738</f>
    </nc>
  </rcc>
  <rcc rId="215" sId="1" odxf="1" dxf="1">
    <oc r="AN8">
      <f>F8+AK8</f>
    </oc>
    <nc r="AN8">
      <f>F8+AK8+E8</f>
    </nc>
    <odxf>
      <fill>
        <patternFill>
          <bgColor rgb="FFFFFF00"/>
        </patternFill>
      </fill>
    </odxf>
    <ndxf>
      <fill>
        <patternFill>
          <bgColor theme="6" tint="0.39997558519241921"/>
        </patternFill>
      </fill>
    </ndxf>
  </rcc>
  <rcc rId="216" sId="1" odxf="1" dxf="1">
    <oc r="AN9">
      <f>F9+AK9</f>
    </oc>
    <nc r="AN9">
      <f>F9+AK9+E9</f>
    </nc>
    <odxf>
      <fill>
        <patternFill>
          <bgColor rgb="FFFFFF00"/>
        </patternFill>
      </fill>
    </odxf>
    <ndxf>
      <fill>
        <patternFill>
          <bgColor theme="6" tint="0.39997558519241921"/>
        </patternFill>
      </fill>
    </ndxf>
  </rcc>
  <rcc rId="217" sId="1" odxf="1" dxf="1">
    <oc r="AN10">
      <f>F10+AK10</f>
    </oc>
    <nc r="AN10">
      <f>F10+AK10+E10</f>
    </nc>
    <odxf>
      <fill>
        <patternFill>
          <bgColor rgb="FFFFFF00"/>
        </patternFill>
      </fill>
    </odxf>
    <ndxf>
      <fill>
        <patternFill>
          <bgColor theme="6" tint="0.39997558519241921"/>
        </patternFill>
      </fill>
    </ndxf>
  </rcc>
  <rcc rId="218" sId="1" numFmtId="4">
    <oc r="AK11">
      <v>129657402</v>
    </oc>
    <nc r="AK11">
      <f>1955829+13502183+101728332+12471058</f>
    </nc>
  </rcc>
  <rcv guid="{FAAF9AC7-76E7-4EFB-BDF2-C070ED37ADBE}" action="delete"/>
  <rdn rId="0" localSheetId="1" customView="1" name="Z_FAAF9AC7_76E7_4EFB_BDF2_C070ED37ADBE_.wvu.Cols" hidden="1" oldHidden="1">
    <formula>Conn!$J:$AE</formula>
  </rdn>
  <rcv guid="{FAAF9AC7-76E7-4EFB-BDF2-C070ED37ADBE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c rId="155" sId="1">
    <nc r="C20">
      <f>95812189-59853959-7244043</f>
    </nc>
  </rcc>
  <rfmt sheetId="1" sqref="D20" start="0" length="0">
    <dxf>
      <numFmt numFmtId="3" formatCode="#,##0"/>
    </dxf>
  </rfmt>
  <rcc rId="156" sId="1" xfDxf="1" dxf="1" numFmtId="4">
    <nc r="D20">
      <v>7908239</v>
    </nc>
    <ndxf>
      <numFmt numFmtId="3" formatCode="#,##0"/>
    </ndxf>
  </rcc>
  <rcc rId="157" sId="1">
    <nc r="E20">
      <f>4205973+1313068+70620+1191</f>
    </nc>
  </rcc>
  <rfmt sheetId="1" sqref="F20" start="0" length="0">
    <dxf>
      <numFmt numFmtId="3" formatCode="#,##0"/>
    </dxf>
  </rfmt>
  <rcc rId="158" sId="1" xfDxf="1" dxf="1" numFmtId="4">
    <nc r="F20">
      <v>3793315</v>
    </nc>
    <ndxf>
      <numFmt numFmtId="3" formatCode="#,##0"/>
    </ndxf>
  </rcc>
  <rfmt sheetId="1" sqref="G20" start="0" length="0">
    <dxf>
      <numFmt numFmtId="3" formatCode="#,##0"/>
    </dxf>
  </rfmt>
  <rcc rId="159" sId="1" xfDxf="1" dxf="1" numFmtId="4">
    <nc r="G20">
      <v>95812189</v>
    </nc>
    <ndxf>
      <numFmt numFmtId="3" formatCode="#,##0"/>
    </ndxf>
  </rcc>
  <rfmt sheetId="1" sqref="H20" start="0" length="0">
    <dxf>
      <numFmt numFmtId="3" formatCode="#,##0"/>
    </dxf>
  </rfmt>
  <rcc rId="160" sId="1" xfDxf="1" dxf="1" numFmtId="4">
    <nc r="H20">
      <v>56733871</v>
    </nc>
    <ndxf>
      <numFmt numFmtId="3" formatCode="#,##0"/>
    </ndxf>
  </rcc>
  <rcc rId="161" sId="1" odxf="1" dxf="1" numFmtId="4">
    <nc r="I20">
      <v>-19354144</v>
    </nc>
    <odxf>
      <numFmt numFmtId="0" formatCode="General"/>
    </odxf>
    <ndxf>
      <numFmt numFmtId="3" formatCode="#,##0"/>
    </ndxf>
  </rcc>
  <rfmt sheetId="1" sqref="J20" start="0" length="0">
    <dxf>
      <numFmt numFmtId="3" formatCode="#,##0"/>
    </dxf>
  </rfmt>
  <rcc rId="162" sId="1" xfDxf="1" dxf="1" numFmtId="4">
    <nc r="J20">
      <v>23703334</v>
    </nc>
    <ndxf>
      <numFmt numFmtId="3" formatCode="#,##0"/>
    </ndxf>
  </rcc>
  <rfmt sheetId="1" sqref="K20" start="0" length="0">
    <dxf>
      <numFmt numFmtId="3" formatCode="#,##0"/>
    </dxf>
  </rfmt>
  <rcc rId="163" sId="1" xfDxf="1" dxf="1" numFmtId="4">
    <nc r="K20">
      <v>2516719</v>
    </nc>
    <ndxf>
      <numFmt numFmtId="3" formatCode="#,##0"/>
    </ndxf>
  </rcc>
  <rfmt sheetId="1" sqref="L20" start="0" length="0">
    <dxf>
      <numFmt numFmtId="3" formatCode="#,##0"/>
    </dxf>
  </rfmt>
  <rcc rId="164" sId="1" xfDxf="1" dxf="1" numFmtId="4">
    <nc r="L20">
      <v>2670855</v>
    </nc>
    <ndxf>
      <numFmt numFmtId="3" formatCode="#,##0"/>
    </ndxf>
  </rcc>
  <rfmt sheetId="1" sqref="M20" start="0" length="0">
    <dxf>
      <numFmt numFmtId="3" formatCode="#,##0"/>
    </dxf>
  </rfmt>
  <rcc rId="165" sId="1" xfDxf="1" dxf="1" numFmtId="4">
    <nc r="M20">
      <v>1957507</v>
    </nc>
    <ndxf>
      <numFmt numFmtId="3" formatCode="#,##0"/>
    </ndxf>
  </rcc>
  <rcc rId="166" sId="1" odxf="1" dxf="1">
    <nc r="N20">
      <f>SUM(J20:M20)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O20" start="0" length="0">
    <dxf>
      <numFmt numFmtId="3" formatCode="#,##0"/>
    </dxf>
  </rfmt>
  <rcc rId="167" sId="1" xfDxf="1" dxf="1" numFmtId="4">
    <nc r="O20">
      <v>35163227</v>
    </nc>
    <ndxf>
      <numFmt numFmtId="3" formatCode="#,##0"/>
    </ndxf>
  </rcc>
  <rcc rId="168" sId="1" odxf="1" dxf="1">
    <nc r="P20">
      <f>N20-O20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cc rId="169" sId="1" odxf="1" dxf="1" numFmtId="4">
    <nc r="Q20">
      <v>-4314812</v>
    </nc>
    <odxf>
      <numFmt numFmtId="0" formatCode="General"/>
    </odxf>
    <ndxf>
      <numFmt numFmtId="3" formatCode="#,##0"/>
    </ndxf>
  </rcc>
  <rfmt sheetId="1" sqref="AA20" start="0" length="0">
    <dxf>
      <numFmt numFmtId="3" formatCode="#,##0"/>
    </dxf>
  </rfmt>
  <rcc rId="170" sId="1" xfDxf="1" dxf="1" numFmtId="4">
    <nc r="AA20">
      <v>9079046</v>
    </nc>
    <ndxf>
      <numFmt numFmtId="3" formatCode="#,##0"/>
    </ndxf>
  </rcc>
  <rfmt sheetId="1" sqref="Z20" start="0" length="0">
    <dxf>
      <numFmt numFmtId="3" formatCode="#,##0"/>
    </dxf>
  </rfmt>
  <rcc rId="171" sId="1" xfDxf="1" dxf="1" numFmtId="4">
    <nc r="Z20">
      <v>3386999</v>
    </nc>
    <ndxf>
      <numFmt numFmtId="3" formatCode="#,##0"/>
    </ndxf>
  </rcc>
  <rfmt sheetId="1" sqref="AB20" start="0" length="0">
    <dxf>
      <numFmt numFmtId="3" formatCode="#,##0"/>
    </dxf>
  </rfmt>
  <rcc rId="172" sId="1" xfDxf="1" dxf="1" numFmtId="4">
    <nc r="AB20">
      <v>13356748</v>
    </nc>
    <ndxf>
      <numFmt numFmtId="3" formatCode="#,##0"/>
    </ndxf>
  </rcc>
  <rfmt sheetId="1" sqref="AC20" start="0" length="0">
    <dxf>
      <numFmt numFmtId="3" formatCode="#,##0"/>
    </dxf>
  </rfmt>
  <rcc rId="173" sId="1" xfDxf="1" dxf="1" numFmtId="4">
    <nc r="AC20">
      <v>944609</v>
    </nc>
    <ndxf>
      <numFmt numFmtId="3" formatCode="#,##0"/>
    </ndxf>
  </rcc>
  <rfmt sheetId="1" sqref="AD20" start="0" length="0">
    <dxf>
      <numFmt numFmtId="3" formatCode="#,##0"/>
    </dxf>
  </rfmt>
  <rcc rId="174" sId="1" xfDxf="1" dxf="1" numFmtId="4">
    <nc r="AD20">
      <v>9079046</v>
    </nc>
    <ndxf>
      <numFmt numFmtId="3" formatCode="#,##0"/>
    </ndxf>
  </rcc>
  <rfmt sheetId="1" sqref="AE20" start="0" length="0">
    <dxf>
      <numFmt numFmtId="3" formatCode="#,##0"/>
    </dxf>
  </rfmt>
  <rcc rId="175" sId="1" xfDxf="1" dxf="1" numFmtId="4">
    <nc r="AE20">
      <v>20550430</v>
    </nc>
    <ndxf>
      <numFmt numFmtId="3" formatCode="#,##0"/>
    </ndxf>
  </rcc>
  <rfmt sheetId="1" sqref="R20" start="0" length="0">
    <dxf>
      <numFmt numFmtId="3" formatCode="#,##0"/>
    </dxf>
  </rfmt>
  <rcc rId="176" sId="1" xfDxf="1" dxf="1" numFmtId="4">
    <nc r="R20">
      <v>24044033</v>
    </nc>
    <ndxf>
      <numFmt numFmtId="3" formatCode="#,##0"/>
    </ndxf>
  </rcc>
  <rfmt sheetId="1" sqref="S20" start="0" length="0">
    <dxf>
      <numFmt numFmtId="3" formatCode="#,##0"/>
    </dxf>
  </rfmt>
  <rcc rId="177" sId="1" xfDxf="1" dxf="1" numFmtId="4">
    <nc r="S20">
      <v>22259930</v>
    </nc>
    <ndxf>
      <numFmt numFmtId="3" formatCode="#,##0"/>
    </ndxf>
  </rcc>
  <rfmt sheetId="1" sqref="T20" start="0" length="0">
    <dxf>
      <numFmt numFmtId="3" formatCode="#,##0"/>
    </dxf>
  </rfmt>
  <rcc rId="178" sId="1" xfDxf="1" dxf="1" numFmtId="4">
    <nc r="T20">
      <v>1784103</v>
    </nc>
    <ndxf>
      <numFmt numFmtId="3" formatCode="#,##0"/>
    </ndxf>
  </rcc>
  <rcc rId="179" sId="1" odxf="1" dxf="1">
    <nc r="U20">
      <f>R20-S20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V20" start="0" length="0">
    <dxf>
      <numFmt numFmtId="3" formatCode="#,##0"/>
    </dxf>
  </rfmt>
  <rcc rId="180" sId="1" xfDxf="1" dxf="1" numFmtId="4">
    <nc r="V20">
      <v>29328871</v>
    </nc>
    <ndxf>
      <numFmt numFmtId="3" formatCode="#,##0"/>
    </ndxf>
  </rcc>
  <rfmt sheetId="1" sqref="W20" start="0" length="0">
    <dxf>
      <numFmt numFmtId="3" formatCode="#,##0"/>
    </dxf>
  </rfmt>
  <rcc rId="181" sId="1" xfDxf="1" dxf="1" numFmtId="4">
    <nc r="W20">
      <v>34853535</v>
    </nc>
    <ndxf>
      <numFmt numFmtId="3" formatCode="#,##0"/>
    </ndxf>
  </rcc>
  <rcc rId="182" sId="1" odxf="1" dxf="1" numFmtId="4">
    <nc r="X20">
      <v>-5524664</v>
    </nc>
    <odxf>
      <numFmt numFmtId="0" formatCode="General"/>
    </odxf>
    <ndxf>
      <numFmt numFmtId="3" formatCode="#,##0"/>
    </ndxf>
  </rcc>
  <rcc rId="183" sId="1" odxf="1" dxf="1">
    <nc r="Y20">
      <f>V20-W20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cc rId="184" sId="1">
    <nc r="AF20">
      <f>404000+872000</f>
    </nc>
  </rcc>
  <rfmt sheetId="1" sqref="AG20" start="0" length="0">
    <dxf>
      <numFmt numFmtId="3" formatCode="#,##0"/>
    </dxf>
  </rfmt>
  <rcc rId="185" sId="1" xfDxf="1" dxf="1" numFmtId="4">
    <nc r="AG20">
      <v>34709774</v>
    </nc>
    <ndxf>
      <numFmt numFmtId="3" formatCode="#,##0"/>
    </ndxf>
  </rcc>
  <rfmt sheetId="1" sqref="AI20" start="0" length="0">
    <dxf>
      <numFmt numFmtId="3" formatCode="#,##0"/>
    </dxf>
  </rfmt>
  <rcc rId="186" sId="1" xfDxf="1" dxf="1" numFmtId="4">
    <nc r="AI20">
      <v>1616616</v>
    </nc>
    <ndxf>
      <numFmt numFmtId="3" formatCode="#,##0"/>
    </ndxf>
  </rcc>
  <rcc rId="187" sId="1">
    <nc r="AH20">
      <v>0</v>
    </nc>
  </rcc>
  <rfmt sheetId="1" sqref="AH20">
    <dxf>
      <numFmt numFmtId="3" formatCode="#,##0"/>
      <fill>
        <patternFill patternType="solid">
          <fgColor indexed="64"/>
          <bgColor theme="6" tint="0.39997558519241921"/>
        </patternFill>
      </fill>
    </dxf>
  </rfmt>
  <rcc rId="188" sId="1" odxf="1" dxf="1">
    <nc r="AJ20">
      <f>SUM(AF20:AI20)</f>
    </nc>
    <odxf>
      <numFmt numFmtId="0" formatCode="General"/>
      <fill>
        <patternFill patternType="none">
          <bgColor indexed="65"/>
        </patternFill>
      </fill>
    </odxf>
    <ndxf>
      <numFmt numFmtId="3" formatCode="#,##0"/>
      <fill>
        <patternFill patternType="solid">
          <bgColor theme="6" tint="0.39997558519241921"/>
        </patternFill>
      </fill>
    </ndxf>
  </rcc>
  <rfmt sheetId="1" sqref="A17:XFD20">
    <dxf>
      <fill>
        <patternFill>
          <bgColor theme="6" tint="0.39997558519241921"/>
        </patternFill>
      </fill>
    </dxf>
  </rfmt>
  <rfmt sheetId="1" sqref="AQ11:XFD20">
    <dxf>
      <fill>
        <patternFill patternType="none">
          <bgColor auto="1"/>
        </patternFill>
      </fill>
    </dxf>
  </rfmt>
  <rcv guid="{FAAF9AC7-76E7-4EFB-BDF2-C070ED37ADBE}" action="delete"/>
  <rcv guid="{FAAF9AC7-76E7-4EFB-BDF2-C070ED37ADBE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c rId="152" sId="2">
    <nc r="B10" t="inlineStr">
      <is>
        <t>Done</t>
      </is>
    </nc>
  </rcc>
  <rcc rId="153" sId="1">
    <nc r="B20" t="inlineStr">
      <is>
        <t>CA Pleasant Hill 2017.pdf</t>
      </is>
    </nc>
  </rcc>
  <rcc rId="154" sId="1">
    <nc r="A20" t="inlineStr">
      <is>
        <t>Pleasant Hill</t>
      </is>
    </nc>
  </rcc>
  <rfmt sheetId="1" sqref="A20">
    <dxf>
      <fill>
        <patternFill patternType="solid">
          <fgColor indexed="64"/>
          <bgColor theme="6" tint="0.39997558519241921"/>
        </patternFill>
      </fill>
    </dxf>
  </rfmt>
  <rcv guid="{FAAF9AC7-76E7-4EFB-BDF2-C070ED37ADBE}" action="delete"/>
  <rcv guid="{FAAF9AC7-76E7-4EFB-BDF2-C070ED37ADBE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fmt sheetId="1" sqref="A2:XFD1048576">
    <dxf>
      <fill>
        <patternFill patternType="none">
          <bgColor auto="1"/>
        </patternFill>
      </fill>
    </dxf>
  </rfmt>
  <rfmt sheetId="1" sqref="P1:P20">
    <dxf>
      <fill>
        <patternFill patternType="none">
          <bgColor auto="1"/>
        </patternFill>
      </fill>
    </dxf>
  </rfmt>
  <rfmt sheetId="1" sqref="P1:P20">
    <dxf>
      <fill>
        <patternFill patternType="solid">
          <bgColor theme="7" tint="0.39997558519241921"/>
        </patternFill>
      </fill>
    </dxf>
  </rfmt>
  <rfmt sheetId="1" sqref="T1:U20">
    <dxf>
      <fill>
        <patternFill>
          <bgColor theme="7" tint="0.39997558519241921"/>
        </patternFill>
      </fill>
    </dxf>
  </rfmt>
  <rfmt sheetId="1" sqref="X1:Y20">
    <dxf>
      <fill>
        <patternFill>
          <bgColor theme="7" tint="0.39997558519241921"/>
        </patternFill>
      </fill>
    </dxf>
  </rfmt>
  <rfmt sheetId="1" sqref="AK1:AP20">
    <dxf>
      <fill>
        <patternFill>
          <bgColor theme="7" tint="0.39997558519241921"/>
        </patternFill>
      </fill>
    </dxf>
  </rfmt>
  <rfmt sheetId="1" sqref="A1:A20" start="0" length="0">
    <dxf>
      <border>
        <left style="thin">
          <color indexed="64"/>
        </left>
      </border>
    </dxf>
  </rfmt>
  <rfmt sheetId="1" sqref="A1:AP1" start="0" length="0">
    <dxf>
      <border>
        <top style="thin">
          <color indexed="64"/>
        </top>
      </border>
    </dxf>
  </rfmt>
  <rfmt sheetId="1" sqref="AP1:AP20" start="0" length="0">
    <dxf>
      <border>
        <right style="thin">
          <color indexed="64"/>
        </right>
      </border>
    </dxf>
  </rfmt>
  <rfmt sheetId="1" sqref="A20:AP20" start="0" length="0">
    <dxf>
      <border>
        <bottom style="thin">
          <color indexed="64"/>
        </bottom>
      </border>
    </dxf>
  </rfmt>
  <rfmt sheetId="1" sqref="A1:AP20">
    <dxf>
      <numFmt numFmtId="35" formatCode="_(* #,##0.00_);_(* \(#,##0.00\);_(* &quot;-&quot;??_);_(@_)"/>
    </dxf>
  </rfmt>
  <rfmt sheetId="1" sqref="A1:AP20">
    <dxf>
      <numFmt numFmtId="164" formatCode="_(* #,##0.0_);_(* \(#,##0.0\);_(* &quot;-&quot;??_);_(@_)"/>
    </dxf>
  </rfmt>
  <rfmt sheetId="1" sqref="A1:AP20">
    <dxf>
      <numFmt numFmtId="165" formatCode="_(* #,##0_);_(* \(#,##0\);_(* &quot;-&quot;??_);_(@_)"/>
    </dxf>
  </rfmt>
  <rcv guid="{FAAF9AC7-76E7-4EFB-BDF2-C070ED37ADBE}" action="delete"/>
  <rcv guid="{FAAF9AC7-76E7-4EFB-BDF2-C070ED37ADBE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v guid="{FAAF9AC7-76E7-4EFB-BDF2-C070ED37ADBE}" action="delete"/>
  <rcv guid="{FAAF9AC7-76E7-4EFB-BDF2-C070ED37ADBE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v guid="{FAAF9AC7-76E7-4EFB-BDF2-C070ED37ADBE}" action="delete"/>
  <rcv guid="{FAAF9AC7-76E7-4EFB-BDF2-C070ED37ADBE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c rId="237" sId="1">
    <oc r="AF9">
      <f>481544+2188753+8048203+117238+910884+1050947+47187</f>
    </oc>
    <nc r="AF9">
      <f>481544+2188753</f>
    </nc>
  </rcc>
  <rcc rId="238" sId="1" numFmtId="4">
    <oc r="AK9">
      <v>63555754</v>
    </oc>
    <nc r="AK9">
      <f>23392462+23483703+2188753+3834833+481544</f>
    </nc>
  </rcc>
  <rfmt sheetId="1" sqref="AN18" start="0" length="0">
    <dxf>
      <numFmt numFmtId="3" formatCode="#,##0"/>
    </dxf>
  </rfmt>
  <rfmt sheetId="1" sqref="AN19" start="0" length="0">
    <dxf>
      <numFmt numFmtId="3" formatCode="#,##0"/>
    </dxf>
  </rfmt>
  <rfmt sheetId="1" sqref="AN20" start="0" length="0">
    <dxf>
      <numFmt numFmtId="3" formatCode="#,##0"/>
    </dxf>
  </rfmt>
  <rcc rId="239" sId="1">
    <oc r="AM16">
      <f>G16+D16</f>
    </oc>
    <nc r="AM16">
      <f>G16+D16</f>
    </nc>
  </rcc>
  <rcc rId="240" sId="1">
    <oc r="AN16">
      <f>F16+AK16+E16</f>
    </oc>
    <nc r="AN16">
      <f>F16+AK16+E16</f>
    </nc>
  </rcc>
  <rcc rId="241" sId="1">
    <oc r="AO16">
      <f>AM16-AN16</f>
    </oc>
    <nc r="AO16">
      <f>AM16-AN16</f>
    </nc>
  </rcc>
  <rcc rId="242" sId="1">
    <oc r="AP16">
      <f>H16=AO16</f>
    </oc>
    <nc r="AP16">
      <f>H16=AO16</f>
    </nc>
  </rcc>
  <rcc rId="243" sId="1">
    <oc r="AM17">
      <f>G17+D17</f>
    </oc>
    <nc r="AM17">
      <f>G17+D17</f>
    </nc>
  </rcc>
  <rcc rId="244" sId="1">
    <oc r="AN17">
      <f>F17+AK17</f>
    </oc>
    <nc r="AN17">
      <f>F17+AK17+E17</f>
    </nc>
  </rcc>
  <rcc rId="245" sId="1">
    <oc r="AO17">
      <f>AM17-AN17</f>
    </oc>
    <nc r="AO17">
      <f>AM17-AN17</f>
    </nc>
  </rcc>
  <rcc rId="246" sId="1">
    <oc r="AP17">
      <f>H17=AO17</f>
    </oc>
    <nc r="AP17">
      <f>H17=AO17</f>
    </nc>
  </rcc>
  <rcc rId="247" sId="1" odxf="1" dxf="1">
    <nc r="AM18">
      <f>G18+D18</f>
    </nc>
    <odxf>
      <numFmt numFmtId="0" formatCode="General"/>
    </odxf>
    <ndxf>
      <numFmt numFmtId="3" formatCode="#,##0"/>
    </ndxf>
  </rcc>
  <rcc rId="248" sId="1">
    <nc r="AN18">
      <f>F18+AK18+E18</f>
    </nc>
  </rcc>
  <rcc rId="249" sId="1" odxf="1" dxf="1">
    <nc r="AO18">
      <f>AM18-AN18</f>
    </nc>
    <odxf>
      <numFmt numFmtId="0" formatCode="General"/>
    </odxf>
    <ndxf>
      <numFmt numFmtId="3" formatCode="#,##0"/>
    </ndxf>
  </rcc>
  <rcc rId="250" sId="1" odxf="1" dxf="1">
    <nc r="AP18">
      <f>H18=AO18</f>
    </nc>
    <odxf>
      <numFmt numFmtId="0" formatCode="General"/>
    </odxf>
    <ndxf>
      <numFmt numFmtId="3" formatCode="#,##0"/>
    </ndxf>
  </rcc>
  <rcc rId="251" sId="1" odxf="1" dxf="1">
    <nc r="AM19">
      <f>G19+D19</f>
    </nc>
    <odxf>
      <numFmt numFmtId="0" formatCode="General"/>
    </odxf>
    <ndxf>
      <numFmt numFmtId="3" formatCode="#,##0"/>
    </ndxf>
  </rcc>
  <rcc rId="252" sId="1">
    <nc r="AN19">
      <f>F19+AK19+E19</f>
    </nc>
  </rcc>
  <rcc rId="253" sId="1" odxf="1" dxf="1">
    <nc r="AO19">
      <f>AM19-AN19</f>
    </nc>
    <odxf>
      <numFmt numFmtId="0" formatCode="General"/>
    </odxf>
    <ndxf>
      <numFmt numFmtId="3" formatCode="#,##0"/>
    </ndxf>
  </rcc>
  <rcc rId="254" sId="1" odxf="1" dxf="1">
    <nc r="AP19">
      <f>H19=AO19</f>
    </nc>
    <odxf>
      <numFmt numFmtId="0" formatCode="General"/>
    </odxf>
    <ndxf>
      <numFmt numFmtId="3" formatCode="#,##0"/>
    </ndxf>
  </rcc>
  <rcc rId="255" sId="1" odxf="1" dxf="1">
    <nc r="AM20">
      <f>G20+D20</f>
    </nc>
    <odxf>
      <numFmt numFmtId="0" formatCode="General"/>
    </odxf>
    <ndxf>
      <numFmt numFmtId="3" formatCode="#,##0"/>
    </ndxf>
  </rcc>
  <rcc rId="256" sId="1">
    <nc r="AN20">
      <f>F20+AK20+E20</f>
    </nc>
  </rcc>
  <rcc rId="257" sId="1" odxf="1" dxf="1">
    <nc r="AO20">
      <f>AM20-AN20</f>
    </nc>
    <odxf>
      <numFmt numFmtId="0" formatCode="General"/>
    </odxf>
    <ndxf>
      <numFmt numFmtId="3" formatCode="#,##0"/>
    </ndxf>
  </rcc>
  <rcc rId="258" sId="1" odxf="1" dxf="1">
    <nc r="AP20">
      <f>H20=AO20</f>
    </nc>
    <odxf>
      <numFmt numFmtId="0" formatCode="General"/>
    </odxf>
    <ndxf>
      <numFmt numFmtId="3" formatCode="#,##0"/>
    </ndxf>
  </rcc>
  <rcv guid="{FAAF9AC7-76E7-4EFB-BDF2-C070ED37ADBE}" action="delete"/>
  <rdn rId="0" localSheetId="1" customView="1" name="Z_FAAF9AC7_76E7_4EFB_BDF2_C070ED37ADBE_.wvu.Cols" hidden="1" oldHidden="1">
    <formula>Conn!$J:$AE</formula>
    <oldFormula>Conn!$J:$AE</oldFormula>
  </rdn>
  <rcv guid="{FAAF9AC7-76E7-4EFB-BDF2-C070ED37ADBE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dn rId="0" localSheetId="2" customView="1" name="Z_FAAF9AC7_76E7_4EFB_BDF2_C070ED37ADBE_.wvu.Cols" hidden="1"/>
  <rcv guid="{FAAF9AC7-76E7-4EFB-BDF2-C070ED37ADBE}" action="delete"/>
  <rcv guid="{FAAF9AC7-76E7-4EFB-BDF2-C070ED37ADBE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dn rId="0" localSheetId="1" customView="1" name="Z_FAAF9AC7_76E7_4EFB_BDF2_C070ED37ADBE_.wvu.Cols" hidden="1" oldHidden="1" comment="" oldComment="">
    <oldFormula>Conn!$J:$AE</oldFormula>
  </rdn>
  <rcv guid="{FAAF9AC7-76E7-4EFB-BDF2-C070ED37ADBE}" action="delete"/>
  <rcv guid="{FAAF9AC7-76E7-4EFB-BDF2-C070ED37ADBE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rc rId="333" sId="1" ref="O1:O1048576" action="insertCol" edge="1"/>
  <rm rId="334" sheetId="1" source="H1:H1048576" destination="O1:O1048576" sourceSheetId="1">
    <rfmt sheetId="1" xfDxf="1" sqref="O1:O1048576" start="0" length="0"/>
    <rfmt sheetId="1" sqref="O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fill>
          <patternFill patternType="solid">
            <bgColor theme="7" tint="0.39997558519241921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6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7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9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4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5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335" sId="1" ref="H1:H1048576" action="deleteCol" edge="1">
    <rfmt sheetId="1" xfDxf="1" sqref="H1:H1048576" start="0" length="0"/>
  </rrc>
  <rrc rId="336" sId="1" ref="R1:R1048576" action="deleteCol" edge="1">
    <rfmt sheetId="1" xfDxf="1" sqref="R1:R1048576" start="0" length="0"/>
    <rcc rId="0" sId="1" dxf="1">
      <nc r="R1" t="inlineStr">
        <is>
          <t>Net position = Net position</t>
        </is>
      </nc>
      <ndxf>
        <font>
          <b/>
          <sz val="11"/>
          <color theme="1"/>
          <name val="Calibri"/>
          <scheme val="minor"/>
        </font>
        <numFmt numFmtId="165" formatCode="_(* #,##0_);_(* \(#,##0\);_(* &quot;-&quot;??_);_(@_)"/>
        <fill>
          <patternFill patternType="solid">
            <bgColor theme="7" tint="0.39997558519241921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6">
        <f>P6=Q6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7">
        <f>P7=Q7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8">
        <f>P8=Q8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2">
        <f>P2=Q2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9">
        <f>P9=Q9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10">
        <f>P10=Q10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11">
        <f>P11=Q11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12">
        <f>P12=Q12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13">
        <f>P13=Q13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14">
        <f>P14=Q14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15">
        <f>P15=Q15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5">
        <f>P5=Q5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4">
        <f>P4=Q4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R3">
        <f>P3=Q3</f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37" sId="1" ref="W1:W1048576" action="insertCol" edge="1"/>
  <rcc rId="338" sId="1">
    <nc r="W1" t="inlineStr">
      <is>
        <t>Others</t>
      </is>
    </nc>
  </rcc>
  <rcc rId="339" sId="1" numFmtId="34">
    <nc r="W6">
      <v>1000000</v>
    </nc>
  </rcc>
  <rcc rId="340" sId="1">
    <oc r="X6">
      <f>SUM(S6:V6)</f>
    </oc>
    <nc r="X6">
      <f>SUM(S6:W6)</f>
    </nc>
  </rcc>
  <rfmt sheetId="1" sqref="AA6">
    <dxf>
      <fill>
        <patternFill patternType="none">
          <bgColor auto="1"/>
        </patternFill>
      </fill>
    </dxf>
  </rfmt>
  <rcv guid="{FAAF9AC7-76E7-4EFB-BDF2-C070ED37ADBE}" action="delete"/>
  <rcv guid="{FAAF9AC7-76E7-4EFB-BDF2-C070ED37ADBE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v guid="{FAAF9AC7-76E7-4EFB-BDF2-C070ED37ADBE}" action="delete"/>
  <rcv guid="{FAAF9AC7-76E7-4EFB-BDF2-C070ED37ADBE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v guid="{FAAF9AC7-76E7-4EFB-BDF2-C070ED37ADBE}" action="delete"/>
  <rdn rId="0" localSheetId="1" customView="1" name="Z_FAAF9AC7_76E7_4EFB_BDF2_C070ED37ADBE_.wvu.Cols" hidden="1" oldHidden="1">
    <formula>Conn!$J:$AE</formula>
    <oldFormula>Conn!$J:$AE</oldFormula>
  </rdn>
  <rcv guid="{FAAF9AC7-76E7-4EFB-BDF2-C070ED37ADBE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fmt sheetId="1" sqref="AK16" start="0" length="0">
    <dxf>
      <numFmt numFmtId="3" formatCode="#,##0"/>
    </dxf>
  </rfmt>
  <rfmt sheetId="1" sqref="AK17" start="0" length="0">
    <dxf>
      <numFmt numFmtId="3" formatCode="#,##0"/>
    </dxf>
  </rfmt>
  <rfmt sheetId="1" sqref="AK18" start="0" length="0">
    <dxf>
      <numFmt numFmtId="3" formatCode="#,##0"/>
    </dxf>
  </rfmt>
  <rfmt sheetId="1" sqref="AK19" start="0" length="0">
    <dxf>
      <numFmt numFmtId="3" formatCode="#,##0"/>
    </dxf>
  </rfmt>
  <rfmt sheetId="1" sqref="AK20" start="0" length="0">
    <dxf>
      <numFmt numFmtId="3" formatCode="#,##0"/>
    </dxf>
  </rfmt>
  <rcc rId="261" sId="1" numFmtId="4">
    <nc r="AK16">
      <v>5522308</v>
    </nc>
  </rcc>
  <rcc rId="262" sId="1" numFmtId="4">
    <nc r="AK17">
      <v>72449046</v>
    </nc>
  </rcc>
  <rcc rId="263" sId="1" numFmtId="4">
    <nc r="AK18">
      <v>13554027</v>
    </nc>
  </rcc>
  <rcc rId="264" sId="1" numFmtId="4">
    <nc r="AK19">
      <v>159060698</v>
    </nc>
  </rcc>
  <rcc rId="265" sId="1" numFmtId="4">
    <nc r="AK20">
      <v>37602390</v>
    </nc>
  </rcc>
  <rcv guid="{FAAF9AC7-76E7-4EFB-BDF2-C070ED37ADBE}" action="delete"/>
  <rdn rId="0" localSheetId="1" customView="1" name="Z_FAAF9AC7_76E7_4EFB_BDF2_C070ED37ADBE_.wvu.Cols" hidden="1" oldHidden="1">
    <formula>Conn!$J:$AE</formula>
  </rdn>
  <rcv guid="{FAAF9AC7-76E7-4EFB-BDF2-C070ED37ADBE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v guid="{FAAF9AC7-76E7-4EFB-BDF2-C070ED37ADBE}" action="delete"/>
  <rcv guid="{FAAF9AC7-76E7-4EFB-BDF2-C070ED37ADBE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v guid="{FAAF9AC7-76E7-4EFB-BDF2-C070ED37ADBE}" action="delete"/>
  <rcv guid="{FAAF9AC7-76E7-4EFB-BDF2-C070ED37ADBE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v guid="{FAAF9AC7-76E7-4EFB-BDF2-C070ED37ADBE}" action="delete"/>
  <rcv guid="{FAAF9AC7-76E7-4EFB-BDF2-C070ED37ADBE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fmt sheetId="1" sqref="AM7:AP10">
    <dxf>
      <fill>
        <patternFill>
          <bgColor rgb="FFFFFF00"/>
        </patternFill>
      </fill>
    </dxf>
  </rfmt>
  <rcc rId="277" sId="1">
    <oc r="AI12">
      <f>125506665+24572411+804551-AH12-AG12</f>
    </oc>
    <nc r="AI12">
      <f>125506665+24572411+804551</f>
    </nc>
  </rcc>
  <rcc rId="278" sId="1">
    <oc r="AJ12">
      <f>SUM(AF12:AI12)</f>
    </oc>
    <nc r="AJ12">
      <f>SUM(AF12:AI12)</f>
    </nc>
  </rcc>
  <rcc rId="279" sId="1" numFmtId="4">
    <oc r="AK12">
      <v>163129591</v>
    </oc>
    <nc r="AK12">
      <v>224050222</v>
    </nc>
  </rcc>
  <rcv guid="{FAAF9AC7-76E7-4EFB-BDF2-C070ED37ADBE}" action="delete"/>
  <rdn rId="0" localSheetId="1" customView="1" name="Z_FAAF9AC7_76E7_4EFB_BDF2_C070ED37ADBE_.wvu.Cols" hidden="1" oldHidden="1">
    <formula>Conn!$J:$AE</formula>
  </rdn>
  <rcv guid="{FAAF9AC7-76E7-4EFB-BDF2-C070ED37ADBE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cc rId="268" sId="1">
    <oc r="AL7">
      <f>AK7+F7=G7+D7</f>
    </oc>
    <nc r="AL7"/>
  </rcc>
  <rcc rId="269" sId="1">
    <oc r="AL8">
      <f>AK8+F8=G8+D8</f>
    </oc>
    <nc r="AL8"/>
  </rcc>
  <rcc rId="270" sId="1">
    <oc r="AL9">
      <f>AK9+F9=G9+D9</f>
    </oc>
    <nc r="AL9"/>
  </rcc>
  <rcc rId="271" sId="1">
    <oc r="AL10">
      <f>AK10+F10=G10+D10</f>
    </oc>
    <nc r="AL10"/>
  </rcc>
  <rfmt sheetId="1" sqref="C10">
    <dxf>
      <fill>
        <patternFill patternType="none">
          <bgColor auto="1"/>
        </patternFill>
      </fill>
    </dxf>
  </rfmt>
  <rfmt sheetId="1" sqref="E10">
    <dxf>
      <fill>
        <patternFill patternType="none">
          <bgColor auto="1"/>
        </patternFill>
      </fill>
    </dxf>
  </rfmt>
  <rcc rId="272" sId="1">
    <oc r="E10">
      <f>4926873+701992+35653+1532742</f>
    </oc>
    <nc r="E10">
      <f>4926873+701992+1532742</f>
    </nc>
  </rcc>
  <rcc rId="273" sId="1">
    <oc r="AF10">
      <f>4926873+701992+35653+1532742+897297+480988+104107</f>
    </oc>
    <nc r="AF10">
      <f>35653+897297+480988</f>
    </nc>
  </rcc>
  <rcc rId="274" sId="1">
    <oc r="AI10">
      <f>332640+25219498+16806000</f>
    </oc>
    <nc r="AI10">
      <f>332640+25219498</f>
    </nc>
  </rcc>
  <rcc rId="275" sId="1">
    <oc r="AK10">
      <f>69000430+16910107</f>
    </oc>
    <nc r="AK10">
      <f>69000430-4926873-701992-1532742</f>
    </nc>
  </rcc>
  <rcv guid="{FAAF9AC7-76E7-4EFB-BDF2-C070ED37ADBE}" action="delete"/>
  <rdn rId="0" localSheetId="1" customView="1" name="Z_FAAF9AC7_76E7_4EFB_BDF2_C070ED37ADBE_.wvu.Cols" hidden="1" oldHidden="1">
    <formula>Conn!$J:$AE</formula>
  </rdn>
  <rcv guid="{FAAF9AC7-76E7-4EFB-BDF2-C070ED37ADBE}" action="add"/>
</revisions>
</file>

<file path=xl/revisions/revisionLog161111.xml><?xml version="1.0" encoding="utf-8"?>
<revisions xmlns="http://schemas.openxmlformats.org/spreadsheetml/2006/main" xmlns:r="http://schemas.openxmlformats.org/officeDocument/2006/relationships">
  <rdn rId="0" localSheetId="1" customView="1" name="Z_FAAF9AC7_76E7_4EFB_BDF2_C070ED37ADBE_.wvu.Cols" hidden="1" oldHidden="1" comment="" oldComment="">
    <oldFormula>Conn!$J:$AE</oldFormula>
  </rdn>
  <rcv guid="{FAAF9AC7-76E7-4EFB-BDF2-C070ED37ADBE}" action="delete"/>
  <rcv guid="{FAAF9AC7-76E7-4EFB-BDF2-C070ED37ADBE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rc rId="309" sId="1" ref="E1:E1048576" action="insertCol" edge="1"/>
  <rm rId="310" sheetId="1" source="H1:H1048576" destination="E1:E1048576" sourceSheetId="1">
    <rfmt sheetId="1" xfDxf="1" sqref="E1:E1048576" start="0" length="0"/>
    <rfmt sheetId="1" sqref="E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311" sId="1" ref="H1:H1048576" action="deleteCol" edge="1">
    <rfmt sheetId="1" xfDxf="1" sqref="H1:H1048576" start="0" length="0"/>
  </rrc>
  <rrc rId="312" sId="1" ref="F1:F1048576" action="insertCol" edge="1"/>
  <rm rId="313" sheetId="1" source="AM1:AM1048576" destination="F1:F1048576" sourceSheetId="1">
    <rfmt sheetId="1" xfDxf="1" sqref="F1:F1048576" start="0" length="0"/>
    <rfmt sheetId="1" sqref="F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314" sId="1" ref="AM1:AM1048576" action="deleteCol" edge="1">
    <rfmt sheetId="1" xfDxf="1" sqref="AM1:AM1048576" start="0" length="0"/>
  </rrc>
  <rrc rId="315" sId="1" ref="I1:I1048576" action="insertCol" edge="1"/>
  <rm rId="316" sheetId="1" source="AN1:AN1048576" destination="I1:I1048576" sourceSheetId="1">
    <rfmt sheetId="1" xfDxf="1" sqref="I1:I1048576" start="0" length="0"/>
    <rfmt sheetId="1" sqref="I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317" sId="1" ref="AN1:AN1048576" action="deleteCol" edge="1">
    <rfmt sheetId="1" xfDxf="1" sqref="AN1:AN1048576" start="0" length="0"/>
  </rrc>
  <rcc rId="318" sId="1">
    <oc r="I1" t="inlineStr">
      <is>
        <t>Current liabilities+Total long term debts+deferred inflows</t>
      </is>
    </oc>
    <nc r="I1" t="inlineStr">
      <is>
        <t>Total Liabilities +deferred inflows</t>
      </is>
    </nc>
  </rcc>
  <rfmt sheetId="1" sqref="S6">
    <dxf>
      <fill>
        <patternFill patternType="solid">
          <bgColor rgb="FFFFFF00"/>
        </patternFill>
      </fill>
    </dxf>
  </rfmt>
  <rrc rId="319" sId="1" ref="I1:P1048576" action="insertCol" edge="1"/>
  <rm rId="320" sheetId="1" source="AP1:AW1048576" destination="I1:P1048576" sourceSheetId="1">
    <rfmt sheetId="1" xfDxf="1" sqref="I1:I1048576" start="0" length="0"/>
    <rfmt sheetId="1" xfDxf="1" sqref="I1:I1048576" start="0" length="0"/>
    <rfmt sheetId="1" xfDxf="1" sqref="I1:I1048576" start="0" length="0"/>
    <rfmt sheetId="1" xfDxf="1" sqref="I1:I1048576" start="0" length="0"/>
    <rfmt sheetId="1" xfDxf="1" sqref="I1:I1048576" start="0" length="0"/>
    <rfmt sheetId="1" xfDxf="1" sqref="I1:I1048576" start="0" length="0"/>
    <rfmt sheetId="1" xfDxf="1" sqref="I1:I1048576" start="0" length="0"/>
    <rfmt sheetId="1" xfDxf="1" sqref="I1:I1048576" start="0" length="0"/>
    <rfmt sheetId="1" sqref="I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321" sId="1" ref="AP1:AP1048576" action="deleteCol" edge="1">
    <rfmt sheetId="1" xfDxf="1" sqref="AP1:AP1048576" start="0" length="0"/>
  </rrc>
  <rrc rId="322" sId="1" ref="AP1:AP1048576" action="deleteCol" edge="1">
    <rfmt sheetId="1" xfDxf="1" sqref="AP1:AP1048576" start="0" length="0"/>
  </rrc>
  <rrc rId="323" sId="1" ref="AP1:AP1048576" action="deleteCol" edge="1">
    <rfmt sheetId="1" xfDxf="1" sqref="AP1:AP1048576" start="0" length="0"/>
  </rrc>
  <rrc rId="324" sId="1" ref="AP1:AP1048576" action="deleteCol" edge="1">
    <rfmt sheetId="1" xfDxf="1" sqref="AP1:AP1048576" start="0" length="0"/>
  </rrc>
  <rrc rId="325" sId="1" ref="AP1:AP1048576" action="deleteCol" edge="1">
    <rfmt sheetId="1" xfDxf="1" sqref="AP1:AP1048576" start="0" length="0"/>
  </rrc>
  <rrc rId="326" sId="1" ref="AP1:AP1048576" action="deleteCol" edge="1">
    <rfmt sheetId="1" xfDxf="1" sqref="AP1:AP1048576" start="0" length="0"/>
  </rrc>
  <rrc rId="327" sId="1" ref="AP1:AP1048576" action="deleteCol" edge="1">
    <rfmt sheetId="1" xfDxf="1" sqref="AP1:AP1048576" start="0" length="0"/>
  </rrc>
  <rrc rId="328" sId="1" ref="AP1:AP1048576" action="deleteCol" edge="1">
    <rfmt sheetId="1" xfDxf="1" sqref="AP1:AP1048576" start="0" length="0"/>
  </rrc>
  <rrc rId="329" sId="1" ref="S1:T1048576" action="insertCol" edge="1"/>
  <rm rId="330" sheetId="1" source="O1:P1048576" destination="S1:T1048576" sourceSheetId="1">
    <rfmt sheetId="1" xfDxf="1" sqref="S1:S1048576" start="0" length="0"/>
    <rfmt sheetId="1" xfDxf="1" sqref="S1:S1048576" start="0" length="0"/>
    <rfmt sheetId="1" sqref="S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" start="0" length="0">
      <dxf>
        <font>
          <b/>
          <sz val="11"/>
          <color theme="1"/>
          <name val="Calibri"/>
          <scheme val="minor"/>
        </font>
        <numFmt numFmtId="165" formatCode="_(* #,##0_);_(* \(#,##0\);_(* &quot;-&quot;??_);_(@_)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6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7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8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9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0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1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5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3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331" sId="1" ref="O1:O1048576" action="deleteCol" edge="1">
    <rfmt sheetId="1" xfDxf="1" sqref="O1:O1048576" start="0" length="0"/>
  </rrc>
  <rrc rId="332" sId="1" ref="O1:O1048576" action="deleteCol" edge="1">
    <rfmt sheetId="1" xfDxf="1" sqref="O1:O1048576" start="0" length="0"/>
  </rrc>
  <rcv guid="{FAAF9AC7-76E7-4EFB-BDF2-C070ED37ADBE}" action="delete"/>
  <rcv guid="{FAAF9AC7-76E7-4EFB-BDF2-C070ED37ADBE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cc rId="307" sId="1">
    <oc r="B1" t="inlineStr">
      <is>
        <t>Link</t>
      </is>
    </oc>
    <nc r="B1" t="inlineStr">
      <is>
        <t>Input name</t>
      </is>
    </nc>
  </rcc>
  <rcv guid="{FAAF9AC7-76E7-4EFB-BDF2-C070ED37ADBE}" action="delete"/>
  <rcv guid="{FAAF9AC7-76E7-4EFB-BDF2-C070ED37ADBE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rc rId="296" sId="1" ref="AL1:AL1048576" action="deleteCol">
    <rfmt sheetId="1" xfDxf="1" sqref="AL1:AL1048576" start="0" length="0"/>
    <rcc rId="0" sId="1" dxf="1">
      <nc r="AL1" t="inlineStr">
        <is>
          <t>Net</t>
        </is>
      </nc>
      <ndxf>
        <font>
          <b/>
          <sz val="11"/>
          <color theme="1"/>
          <name val="Calibri"/>
          <scheme val="minor"/>
        </font>
        <numFmt numFmtId="165" formatCode="_(* #,##0_);_(* \(#,##0\);_(* &quot;-&quot;??_);_(@_)"/>
        <fill>
          <patternFill patternType="solid">
            <bgColor theme="7" tint="0.39997558519241921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L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3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4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5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6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7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8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9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10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L11" t="inlineStr">
        <is>
          <t>We assumed, Restricted cash and investments held by fiscal agents, Loans reveivable net, Due from successor agency trust as Current asset.</t>
        </is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L12" t="inlineStr">
        <is>
          <t>Refer Page no 77 &amp; 82 tp clarify long term section</t>
        </is>
      </nc>
      <n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AL13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14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15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16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17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18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19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20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7" sId="1" odxf="1" dxf="1">
    <nc r="AL1" t="inlineStr">
      <is>
        <t>Total assets+Deferred outflows</t>
      </is>
    </nc>
    <ndxf>
      <font>
        <b/>
        <sz val="11"/>
        <color theme="1"/>
        <name val="Calibri"/>
        <scheme val="minor"/>
      </font>
      <alignment vertical="center" wrapText="1" readingOrder="0"/>
    </ndxf>
  </rcc>
  <rfmt sheetId="1" sqref="AM1" start="0" length="0">
    <dxf>
      <font>
        <b/>
        <sz val="11"/>
        <color theme="1"/>
        <name val="Calibri"/>
        <scheme val="minor"/>
      </font>
      <alignment vertical="center" wrapText="1" readingOrder="0"/>
    </dxf>
  </rfmt>
  <rcc rId="298" sId="1">
    <nc r="AM1" t="inlineStr">
      <is>
        <t>Current liabilities+Total long term debts+deferred inflows</t>
      </is>
    </nc>
  </rcc>
  <rcc rId="299" sId="1" odxf="1" dxf="1">
    <nc r="AN1" t="inlineStr">
      <is>
        <t>Total Net position</t>
      </is>
    </nc>
    <ndxf>
      <font>
        <b/>
        <sz val="11"/>
        <color theme="1"/>
        <name val="Calibri"/>
        <scheme val="minor"/>
      </font>
      <alignment vertical="center" wrapText="1" readingOrder="0"/>
    </ndxf>
  </rcc>
  <rcc rId="300" sId="1" odxf="1" dxf="1">
    <nc r="AO1" t="inlineStr">
      <is>
        <t>Net position = Net position</t>
      </is>
    </nc>
    <ndxf>
      <font>
        <b/>
        <sz val="11"/>
        <color theme="1"/>
        <name val="Calibri"/>
        <scheme val="minor"/>
      </font>
      <alignment vertical="center" wrapText="1" readingOrder="0"/>
    </ndxf>
  </rcc>
  <rcv guid="{FAAF9AC7-76E7-4EFB-BDF2-C070ED37ADBE}" action="delete"/>
  <rcv guid="{FAAF9AC7-76E7-4EFB-BDF2-C070ED37ADBE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cc rId="282" sId="1" odxf="1" dxf="1">
    <nc r="AQ7">
      <f>AO7-H7</f>
    </nc>
    <odxf>
      <numFmt numFmtId="0" formatCode="General"/>
    </odxf>
    <ndxf>
      <numFmt numFmtId="3" formatCode="#,##0"/>
    </ndxf>
  </rcc>
  <rcc rId="283" sId="1" odxf="1" dxf="1">
    <nc r="AQ8">
      <f>AO8-H8</f>
    </nc>
    <odxf>
      <numFmt numFmtId="0" formatCode="General"/>
    </odxf>
    <ndxf>
      <numFmt numFmtId="3" formatCode="#,##0"/>
    </ndxf>
  </rcc>
  <rcc rId="284" sId="1" odxf="1" dxf="1">
    <nc r="AQ9">
      <f>AO9-H9</f>
    </nc>
    <odxf>
      <numFmt numFmtId="0" formatCode="General"/>
    </odxf>
    <ndxf>
      <numFmt numFmtId="3" formatCode="#,##0"/>
    </ndxf>
  </rcc>
  <rcc rId="285" sId="1" odxf="1" dxf="1">
    <nc r="AQ10">
      <f>AO10-H10</f>
    </nc>
    <odxf>
      <numFmt numFmtId="0" formatCode="General"/>
    </odxf>
    <ndxf>
      <numFmt numFmtId="3" formatCode="#,##0"/>
    </ndxf>
  </rcc>
  <rcc rId="286" sId="1">
    <oc r="AQ12">
      <f>AO12-H12</f>
    </oc>
    <nc r="AQ12">
      <f>AO12-H12</f>
    </nc>
  </rcc>
  <rcc rId="287" sId="1">
    <oc r="AQ13">
      <f>AO13-H13</f>
    </oc>
    <nc r="AQ13">
      <f>AO13-H13</f>
    </nc>
  </rcc>
  <rcc rId="288" sId="1">
    <oc r="AQ14">
      <f>AO14-H14</f>
    </oc>
    <nc r="AQ14">
      <f>AO14-H14</f>
    </nc>
  </rcc>
  <rcc rId="289" sId="1" odxf="1" dxf="1">
    <nc r="AQ15">
      <f>AO15-H15</f>
    </nc>
    <odxf>
      <numFmt numFmtId="0" formatCode="General"/>
    </odxf>
    <ndxf>
      <numFmt numFmtId="3" formatCode="#,##0"/>
    </ndxf>
  </rcc>
  <rcc rId="290" sId="1" odxf="1" dxf="1">
    <nc r="AQ16">
      <f>AO16-H16</f>
    </nc>
    <odxf>
      <numFmt numFmtId="0" formatCode="General"/>
    </odxf>
    <ndxf>
      <numFmt numFmtId="3" formatCode="#,##0"/>
    </ndxf>
  </rcc>
  <rcc rId="291" sId="1" odxf="1" dxf="1">
    <nc r="AQ17">
      <f>AO17-H17</f>
    </nc>
    <odxf>
      <numFmt numFmtId="0" formatCode="General"/>
    </odxf>
    <ndxf>
      <numFmt numFmtId="3" formatCode="#,##0"/>
    </ndxf>
  </rcc>
  <rcc rId="292" sId="1" odxf="1" dxf="1">
    <nc r="AQ18">
      <f>AO18-H18</f>
    </nc>
    <odxf>
      <numFmt numFmtId="0" formatCode="General"/>
    </odxf>
    <ndxf>
      <numFmt numFmtId="3" formatCode="#,##0"/>
    </ndxf>
  </rcc>
  <rcc rId="293" sId="1" odxf="1" dxf="1">
    <nc r="AQ19">
      <f>AO19-H19</f>
    </nc>
    <odxf>
      <numFmt numFmtId="0" formatCode="General"/>
    </odxf>
    <ndxf>
      <numFmt numFmtId="3" formatCode="#,##0"/>
    </ndxf>
  </rcc>
  <rcc rId="294" sId="1" odxf="1" dxf="1">
    <nc r="AQ20">
      <f>AO20-H20</f>
    </nc>
    <odxf>
      <numFmt numFmtId="0" formatCode="General"/>
    </odxf>
    <ndxf>
      <numFmt numFmtId="3" formatCode="#,##0"/>
    </ndxf>
  </rcc>
  <rfmt sheetId="1" sqref="AQ1:AQ20">
    <dxf>
      <fill>
        <patternFill patternType="solid">
          <bgColor theme="7" tint="0.39997558519241921"/>
        </patternFill>
      </fill>
    </dxf>
  </rfmt>
  <rfmt sheetId="1" sqref="AQ1" start="0" length="0">
    <dxf>
      <border>
        <top style="thin">
          <color indexed="64"/>
        </top>
      </border>
    </dxf>
  </rfmt>
  <rfmt sheetId="1" sqref="AQ1:AQ20" start="0" length="0">
    <dxf>
      <border>
        <right style="thin">
          <color indexed="64"/>
        </right>
      </border>
    </dxf>
  </rfmt>
  <rfmt sheetId="1" sqref="AQ20" start="0" length="0">
    <dxf>
      <border>
        <bottom style="thin">
          <color indexed="64"/>
        </bottom>
      </border>
    </dxf>
  </rfmt>
  <rfmt sheetId="1" sqref="AQ1:AQ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dn rId="0" localSheetId="1" customView="1" name="Z_FAAF9AC7_76E7_4EFB_BDF2_C070ED37ADBE_.wvu.Cols" hidden="1" oldHidden="1" comment="" oldComment="">
    <oldFormula>Conn!$J:$AE</oldFormula>
  </rdn>
  <rcv guid="{FAAF9AC7-76E7-4EFB-BDF2-C070ED37ADBE}" action="delete"/>
  <rcv guid="{FAAF9AC7-76E7-4EFB-BDF2-C070ED37ADBE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cv guid="{FAAF9AC7-76E7-4EFB-BDF2-C070ED37ADBE}" action="delete"/>
  <rcv guid="{FAAF9AC7-76E7-4EFB-BDF2-C070ED37ADBE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cv guid="{FAAF9AC7-76E7-4EFB-BDF2-C070ED37ADBE}" action="delete"/>
  <rcv guid="{FAAF9AC7-76E7-4EFB-BDF2-C070ED37ADBE}" action="add"/>
</revisions>
</file>

<file path=xl/revisions/revisionLog1811.xml><?xml version="1.0" encoding="utf-8"?>
<revisions xmlns="http://schemas.openxmlformats.org/spreadsheetml/2006/main" xmlns:r="http://schemas.openxmlformats.org/officeDocument/2006/relationships">
  <rcv guid="{FAAF9AC7-76E7-4EFB-BDF2-C070ED37ADBE}" action="delete"/>
  <rcv guid="{FAAF9AC7-76E7-4EFB-BDF2-C070ED37ADBE}" action="add"/>
</revisions>
</file>

<file path=xl/revisions/revisionLog18111.xml><?xml version="1.0" encoding="utf-8"?>
<revisions xmlns="http://schemas.openxmlformats.org/spreadsheetml/2006/main" xmlns:r="http://schemas.openxmlformats.org/officeDocument/2006/relationships">
  <rm rId="301" sheetId="2" source="A2:XFD4" destination="A16:XFD18" sourceSheetId="1">
    <rfmt sheetId="2" xfDxf="1" sqref="A16:XFD16" start="0" length="0"/>
    <rfmt sheetId="2" xfDxf="1" sqref="A17:XFD17" start="0" length="0"/>
    <rfmt sheetId="2" xfDxf="1" sqref="A18:XFD18" start="0" length="0"/>
  </rm>
  <rrc rId="302" sId="1" ref="A2:XFD2" action="deleteRow">
    <rfmt sheetId="1" xfDxf="1" sqref="A2:XFD2" start="0" length="0"/>
  </rrc>
  <rrc rId="303" sId="1" ref="A2:XFD2" action="deleteRow">
    <rfmt sheetId="1" xfDxf="1" sqref="A2:XFD2" start="0" length="0"/>
  </rrc>
  <rrc rId="304" sId="1" ref="A2:XFD2" action="deleteRow">
    <rfmt sheetId="1" xfDxf="1" sqref="A2:XFD2" start="0" length="0"/>
  </rrc>
  <rrc rId="305" sId="1" ref="A2:XFD2" action="deleteRow">
    <rfmt sheetId="1" xfDxf="1" sqref="A2:XFD2" start="0" length="0"/>
    <rfmt sheetId="1" sqref="A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Q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R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U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V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W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Y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Z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A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B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I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J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K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M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N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O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P2" start="0" length="0">
      <dxf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06" sId="1" ref="A2:XFD2" action="deleteRow">
    <rfmt sheetId="1" xfDxf="1" sqref="A2:XFD2" start="0" length="0"/>
    <rfmt sheetId="1" sqref="A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Q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R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S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U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V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W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Y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Z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A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B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I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J2" start="0" length="0">
      <dxf>
        <numFmt numFmtId="165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K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L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M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N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O2" start="0" length="0">
      <dxf>
        <numFmt numFmtId="165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P2" start="0" length="0">
      <dxf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FAAF9AC7-76E7-4EFB-BDF2-C070ED37ADBE}" action="delete"/>
  <rcv guid="{FAAF9AC7-76E7-4EFB-BDF2-C070ED37ADBE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rc rId="308" sId="1" ref="AP1:AP1048576" action="deleteCol" edge="1">
    <rfmt sheetId="1" xfDxf="1" sqref="AP1:AP1048576" start="0" length="0"/>
    <rfmt sheetId="1" sqref="AP1" start="0" length="0">
      <dxf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P6">
        <f>AN6-H6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7">
        <f>AN7-H7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8">
        <f>AN8-H8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2">
        <f>AN2-H2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9">
        <f>AN9-H9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10">
        <f>AN10-H10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11">
        <f>AN11-H11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12">
        <f>AN12-H12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13">
        <f>AN13-H13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14">
        <f>AN14-H14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15">
        <f>AN15-H15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5">
        <f>AN5-H5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4">
        <f>AN4-H4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AP3">
        <f>AN3-H3</f>
      </nc>
      <ndxf>
        <numFmt numFmtId="3" formatCode="#,##0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FAAF9AC7-76E7-4EFB-BDF2-C070ED37ADBE}" action="delete"/>
  <rcv guid="{FAAF9AC7-76E7-4EFB-BDF2-C070ED37ADBE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1" sId="1" ref="M1:M1048576" action="insertCol"/>
  <rrc rId="342" sId="1" ref="N1:N1048576" action="insertCol"/>
  <rcc rId="343" sId="1">
    <nc r="M1" t="inlineStr">
      <is>
        <t>Total Liabilities</t>
      </is>
    </nc>
  </rcc>
  <rrc rId="344" sId="1" ref="O1:O1048576" action="deleteCol">
    <undo index="65535" exp="ref" v="1" dr="O15" r="Q15" sId="1"/>
    <undo index="65535" exp="ref" v="1" dr="O14" r="Q14" sId="1"/>
    <undo index="65535" exp="ref" v="1" dr="O13" r="Q13" sId="1"/>
    <undo index="65535" exp="ref" v="1" dr="O12" r="Q12" sId="1"/>
    <undo index="65535" exp="ref" v="1" dr="O11" r="Q11" sId="1"/>
    <undo index="65535" exp="ref" v="1" dr="O10" r="Q10" sId="1"/>
    <undo index="65535" exp="ref" v="1" dr="O9" r="Q9" sId="1"/>
    <undo index="65535" exp="ref" v="1" dr="O8" r="Q8" sId="1"/>
    <undo index="65535" exp="ref" v="1" dr="O7" r="Q7" sId="1"/>
    <undo index="65535" exp="ref" v="1" dr="O6" r="Q6" sId="1"/>
    <undo index="65535" exp="ref" v="1" dr="O5" r="Q5" sId="1"/>
    <undo index="65535" exp="ref" v="1" dr="O4" r="Q4" sId="1"/>
    <undo index="65535" exp="ref" v="1" dr="O3" r="Q3" sId="1"/>
    <undo index="65535" exp="ref" v="1" dr="O2" r="Q2" sId="1"/>
    <rfmt sheetId="1" xfDxf="1" sqref="O1:O1048576" start="0" length="0"/>
    <rcc rId="0" sId="1" dxf="1">
      <nc r="O1" t="inlineStr">
        <is>
          <t>Total long term debt (From Balance sheet)</t>
        </is>
      </nc>
      <ndxf>
        <font>
          <b/>
          <sz val="11"/>
          <color theme="1"/>
          <name val="Calibri"/>
          <family val="2"/>
          <scheme val="minor"/>
        </font>
        <numFmt numFmtId="164" formatCode="_(* #,##0_);_(* \(#,##0\);_(* &quot;-&quot;??_);_(@_)"/>
        <fill>
          <patternFill patternType="solid">
            <bgColor theme="7" tint="0.39997558519241921"/>
          </patternFill>
        </fill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">
        <f>1955829+13502183+101728332+12471058</f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34">
      <nc r="O3">
        <v>224050222</v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34">
      <nc r="O4">
        <v>4714278</v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">
        <f>3041290+1732708+2855381+9097949+4827304+40495259+28779126+148428020</f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34">
      <nc r="O6">
        <v>8716767</v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34">
      <nc r="O7">
        <v>53270515</v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34">
      <nc r="O8">
        <v>5522308</v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34">
      <nc r="O9">
        <v>72449046</v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34">
      <nc r="O10">
        <v>13554027</v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34">
      <nc r="O11">
        <v>159060698</v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34">
      <nc r="O12">
        <v>37602390</v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3">
        <f>69000430-4926873-701992-1532742</f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4">
        <f>23392462+23483703+2188753+3834833+481544</f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5">
        <f>291652+351182+3751876+3836559+101822611+3356729+1987744</f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345" sId="1">
    <oc r="P2">
      <f>O2+#REF!+G2</f>
    </oc>
    <nc r="P2">
      <f>M2+O2</f>
    </nc>
  </rcc>
  <rcc rId="346" sId="1">
    <oc r="P3">
      <f>O3+#REF!+G3</f>
    </oc>
    <nc r="P3">
      <f>M3+O3</f>
    </nc>
  </rcc>
  <rcc rId="347" sId="1">
    <oc r="P4">
      <f>O4+#REF!+G4</f>
    </oc>
    <nc r="P4">
      <f>M4+O4</f>
    </nc>
  </rcc>
  <rcc rId="348" sId="1">
    <oc r="P5">
      <f>O5+#REF!+G5</f>
    </oc>
    <nc r="P5">
      <f>M5+O5</f>
    </nc>
  </rcc>
  <rcc rId="349" sId="1">
    <oc r="P6">
      <f>O6+#REF!+G6</f>
    </oc>
    <nc r="P6">
      <f>M6+O6</f>
    </nc>
  </rcc>
  <rcc rId="350" sId="1">
    <oc r="P7">
      <f>O7+#REF!+G7</f>
    </oc>
    <nc r="P7">
      <f>M7+O7</f>
    </nc>
  </rcc>
  <rcc rId="351" sId="1">
    <oc r="P8">
      <f>O8+#REF!+G8</f>
    </oc>
    <nc r="P8">
      <f>M8+O8</f>
    </nc>
  </rcc>
  <rcc rId="352" sId="1">
    <oc r="P9">
      <f>O9+#REF!+G9</f>
    </oc>
    <nc r="P9">
      <f>M9+O9</f>
    </nc>
  </rcc>
  <rcc rId="353" sId="1">
    <oc r="P10">
      <f>O10+#REF!+G10</f>
    </oc>
    <nc r="P10">
      <f>M10+O10</f>
    </nc>
  </rcc>
  <rcc rId="354" sId="1">
    <oc r="P11">
      <f>O11+#REF!+G11</f>
    </oc>
    <nc r="P11">
      <f>M11+O11</f>
    </nc>
  </rcc>
  <rcc rId="355" sId="1">
    <oc r="P12">
      <f>O12+#REF!+G12</f>
    </oc>
    <nc r="P12">
      <f>M12+O12</f>
    </nc>
  </rcc>
  <rcc rId="356" sId="1">
    <oc r="P13">
      <f>O13+#REF!+G13</f>
    </oc>
    <nc r="P13">
      <f>M13+O13</f>
    </nc>
  </rcc>
  <rcc rId="357" sId="1">
    <oc r="P14">
      <f>O14+#REF!+G14</f>
    </oc>
    <nc r="P14">
      <f>M14+O14</f>
    </nc>
  </rcc>
  <rcc rId="358" sId="1">
    <oc r="P15">
      <f>O15+#REF!+G15</f>
    </oc>
    <nc r="P15">
      <f>M15+O15</f>
    </nc>
  </rcc>
  <rcc rId="359" sId="1" odxf="1" dxf="1">
    <nc r="N1" t="inlineStr">
      <is>
        <t>Total Liabilities (from Statement of Net Position)</t>
      </is>
    </nc>
    <ndxf>
      <fill>
        <patternFill patternType="solid">
          <bgColor theme="7" tint="0.39997558519241921"/>
        </patternFill>
      </fill>
    </ndxf>
  </rcc>
  <rfmt sheetId="1" sqref="N2" start="0" length="0">
    <dxf>
      <fill>
        <patternFill patternType="solid">
          <bgColor theme="7" tint="0.39997558519241921"/>
        </patternFill>
      </fill>
    </dxf>
  </rfmt>
  <rfmt sheetId="1" sqref="N3" start="0" length="0">
    <dxf>
      <fill>
        <patternFill patternType="solid">
          <bgColor theme="7" tint="0.39997558519241921"/>
        </patternFill>
      </fill>
    </dxf>
  </rfmt>
  <rfmt sheetId="1" sqref="N4" start="0" length="0">
    <dxf>
      <fill>
        <patternFill patternType="solid">
          <bgColor theme="7" tint="0.39997558519241921"/>
        </patternFill>
      </fill>
    </dxf>
  </rfmt>
  <rfmt sheetId="1" sqref="N5" start="0" length="0">
    <dxf>
      <fill>
        <patternFill patternType="solid">
          <bgColor theme="7" tint="0.39997558519241921"/>
        </patternFill>
      </fill>
    </dxf>
  </rfmt>
  <rfmt sheetId="1" sqref="N6" start="0" length="0">
    <dxf>
      <fill>
        <patternFill patternType="solid">
          <bgColor theme="7" tint="0.39997558519241921"/>
        </patternFill>
      </fill>
    </dxf>
  </rfmt>
  <rfmt sheetId="1" sqref="N7" start="0" length="0">
    <dxf>
      <fill>
        <patternFill patternType="solid">
          <bgColor theme="7" tint="0.39997558519241921"/>
        </patternFill>
      </fill>
    </dxf>
  </rfmt>
  <rfmt sheetId="1" sqref="N8" start="0" length="0">
    <dxf>
      <fill>
        <patternFill patternType="solid">
          <bgColor theme="7" tint="0.39997558519241921"/>
        </patternFill>
      </fill>
    </dxf>
  </rfmt>
  <rfmt sheetId="1" sqref="N9" start="0" length="0">
    <dxf>
      <fill>
        <patternFill patternType="solid">
          <bgColor theme="7" tint="0.39997558519241921"/>
        </patternFill>
      </fill>
    </dxf>
  </rfmt>
  <rfmt sheetId="1" sqref="N10" start="0" length="0">
    <dxf>
      <fill>
        <patternFill patternType="solid">
          <bgColor theme="7" tint="0.39997558519241921"/>
        </patternFill>
      </fill>
    </dxf>
  </rfmt>
  <rfmt sheetId="1" sqref="N11" start="0" length="0">
    <dxf>
      <fill>
        <patternFill patternType="solid">
          <bgColor theme="7" tint="0.39997558519241921"/>
        </patternFill>
      </fill>
    </dxf>
  </rfmt>
  <rfmt sheetId="1" sqref="N12" start="0" length="0">
    <dxf>
      <fill>
        <patternFill patternType="solid">
          <bgColor theme="7" tint="0.39997558519241921"/>
        </patternFill>
      </fill>
    </dxf>
  </rfmt>
  <rfmt sheetId="1" sqref="N13" start="0" length="0">
    <dxf>
      <fill>
        <patternFill patternType="solid">
          <bgColor theme="7" tint="0.39997558519241921"/>
        </patternFill>
      </fill>
    </dxf>
  </rfmt>
  <rfmt sheetId="1" sqref="N14" start="0" length="0">
    <dxf>
      <fill>
        <patternFill patternType="solid">
          <bgColor theme="7" tint="0.39997558519241921"/>
        </patternFill>
      </fill>
    </dxf>
  </rfmt>
  <rfmt sheetId="1" sqref="N15" start="0" length="0">
    <dxf>
      <fill>
        <patternFill patternType="solid">
          <bgColor theme="7" tint="0.39997558519241921"/>
        </patternFill>
      </fill>
    </dxf>
  </rfmt>
  <rfmt sheetId="1" sqref="N5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cc rId="360" sId="1" odxf="1" dxf="1" numFmtId="4">
    <nc r="N5">
      <v>277390287</v>
    </nc>
    <ndxf>
      <numFmt numFmtId="3" formatCode="#,##0"/>
    </ndxf>
  </rcc>
  <rcc rId="361" sId="1" xfDxf="1" dxf="1" numFmtId="4">
    <nc r="N5">
      <v>277390287</v>
    </nc>
    <ndxf>
      <numFmt numFmtId="3" formatCode="#,##0"/>
    </ndxf>
  </rcc>
  <rcc rId="362" sId="1">
    <nc r="M5">
      <f>G5+L5</f>
    </nc>
  </rcc>
  <rcc rId="363" sId="1">
    <nc r="M2">
      <f>G2+L2</f>
    </nc>
  </rcc>
  <rcc rId="364" sId="1">
    <nc r="M3">
      <f>G3+L3</f>
    </nc>
  </rcc>
  <rcc rId="365" sId="1">
    <nc r="M4">
      <f>G4+L4</f>
    </nc>
  </rcc>
  <rcc rId="366" sId="1">
    <nc r="M6">
      <f>G6+L6</f>
    </nc>
  </rcc>
  <rcc rId="367" sId="1">
    <nc r="M7">
      <f>G7+L7</f>
    </nc>
  </rcc>
  <rcc rId="368" sId="1">
    <nc r="M8">
      <f>G8+L8</f>
    </nc>
  </rcc>
  <rcc rId="369" sId="1">
    <nc r="M9">
      <f>G9+L9</f>
    </nc>
  </rcc>
  <rcc rId="370" sId="1">
    <nc r="M10">
      <f>G10+L10</f>
    </nc>
  </rcc>
  <rcc rId="371" sId="1">
    <nc r="M11">
      <f>G11+L11</f>
    </nc>
  </rcc>
  <rcc rId="372" sId="1">
    <nc r="M12">
      <f>G12+L12</f>
    </nc>
  </rcc>
  <rcc rId="373" sId="1">
    <nc r="M13">
      <f>G13+L13</f>
    </nc>
  </rcc>
  <rcc rId="374" sId="1">
    <nc r="M14">
      <f>G14+L14</f>
    </nc>
  </rcc>
  <rcc rId="375" sId="1">
    <nc r="M15">
      <f>G15+L15</f>
    </nc>
  </rcc>
  <rcv guid="{FD9231E0-2025-4169-82D7-1DD02EF4394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376" sheetId="1" oldName="[CAFR_Project.xlsx]Conn" newName="[CAFR_Project.xlsx]Contra Costa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2" ref="A16:XFD16" action="deleteRow">
    <rfmt sheetId="2" xfDxf="1" sqref="A16:XFD16" start="0" length="0"/>
    <rcc rId="0" sId="2" dxf="1">
      <nc r="A16" t="inlineStr">
        <is>
          <t>Ansonia</t>
        </is>
      </nc>
      <ndxf>
        <font>
          <b/>
          <sz val="11"/>
          <color theme="1"/>
          <name val="Calibri"/>
          <family val="2"/>
          <scheme val="minor"/>
        </font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B16" t="inlineStr">
        <is>
          <t>http://www.govwiki.info/pdfs/General%20Purpose/CT%20Ansonia%202016.pdf</t>
        </is>
      </nc>
      <ndxf>
        <font>
          <u/>
          <sz val="11"/>
          <color theme="10"/>
          <name val="Calibri"/>
          <family val="2"/>
          <scheme val="none"/>
        </font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">
        <f>26367134+515413+2409780+2220961+723352+46768+5532532+397568+11031+78865</f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6">
        <f>4173201+6905000+1524160+99328</f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34">
      <nc r="G16">
        <v>142911191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H16">
        <v>69661591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I16">
        <v>3788351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J16">
        <v>32925308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K16">
        <v>2736094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L16">
        <v>8918707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M16">
        <v>26266424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">
        <f>SUM(J16:M16)</f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O16">
        <v>70615298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16">
        <f>N16-O16</f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Q16">
        <v>231235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R16">
        <v>65625346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S16">
        <v>67815794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T16">
        <v>-2190448</v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">
        <f>R16-S16</f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V16">
        <v>67847065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W16">
        <v>70027269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X16">
        <v>-2180204</v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6">
        <f>V16-W16</f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Z16">
        <v>9724228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AA16">
        <v>0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AB16">
        <v>13528668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AC16">
        <v>4664673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AD16">
        <v>1393957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AE16">
        <v>9874101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F16">
        <f>9281691+1862527-6814159</f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AG16">
        <v>6814159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34">
      <nc r="AH16">
        <v>12769527</v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I16">
        <f>28581001+30730594-AH16-AG16-AF16</f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J16">
        <f>SUM(AF16:AI16)</f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K16">
        <f>72013283-E16</f>
      </nc>
      <n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L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M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N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O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P16" start="0" length="0">
      <dxf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78" sId="2" ref="A16:XFD16" action="deleteRow">
    <rfmt sheetId="2" xfDxf="1" sqref="A16:XFD16" start="0" length="0"/>
    <rfmt sheetId="2" sqref="A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S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T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U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V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W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D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E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G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H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I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J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K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L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M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N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O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P16" start="0" length="0">
      <dxf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79" sId="2" ref="A16:XFD16" action="deleteRow">
    <rfmt sheetId="2" xfDxf="1" sqref="A16:XFD16" start="0" length="0"/>
    <rcc rId="0" sId="2" dxf="1">
      <nc r="A16" t="inlineStr">
        <is>
          <t>H-Garb Comments</t>
        </is>
      </nc>
      <n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B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6" t="inlineStr">
        <is>
          <t>Should we include "due within one year"</t>
        </is>
      </nc>
      <ndxf>
        <numFmt numFmtId="164" formatCode="_(* #,##0_);_(* \(#,##0\);_(* &quot;-&quot;??_);_(@_)"/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" start="0" length="0">
      <dxf>
        <numFmt numFmtId="164" formatCode="_(* #,##0_);_(* \(#,##0\);_(* &quot;-&quot;??_);_(@_)"/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" t="inlineStr">
        <is>
          <t>We have included deferred outflows</t>
        </is>
      </nc>
      <ndxf>
        <numFmt numFmtId="164" formatCode="_(* #,##0_);_(* \(#,##0\);_(* &quot;-&quot;??_);_(@_)"/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S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T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U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V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W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D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E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AF16" t="inlineStr">
        <is>
          <t>Excludes the current portion of Net pension liability as this is included in column AF</t>
        </is>
      </nc>
      <ndxf>
        <numFmt numFmtId="164" formatCode="_(* #,##0_);_(* \(#,##0\);_(* &quot;-&quot;??_);_(@_)"/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G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H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I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J1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K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L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M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N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O16" start="0" length="0">
      <dxf>
        <numFmt numFmtId="164" formatCode="_(* #,##0_);_(* \(#,##0\);_(* &quot;-&quot;??_);_(@_)"/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P16" start="0" length="0">
      <dxf>
        <fill>
          <patternFill patternType="solid">
            <bgColor theme="7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80" sId="2" ref="A16:XFD16" action="deleteRow">
    <rfmt sheetId="2" xfDxf="1" sqref="A16:XFD16" start="0" length="0"/>
  </rrc>
  <rrc rId="381" sId="2" ref="A16:XFD16" action="deleteRow">
    <rfmt sheetId="2" xfDxf="1" sqref="A16:XFD16" start="0" length="0"/>
  </rrc>
  <rrc rId="382" sId="2" ref="A16:XFD16" action="deleteRow">
    <rfmt sheetId="2" xfDxf="1" sqref="A16:XFD16" start="0" length="0"/>
  </rrc>
  <rcv guid="{FD9231E0-2025-4169-82D7-1DD02EF43945}" action="delete"/>
  <rcv guid="{FD9231E0-2025-4169-82D7-1DD02EF4394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3" sId="1" ref="X1:X1048576" action="insertCol"/>
  <rm rId="384" sheetId="1" source="U1:U1048576" destination="X1:X1048576" sourceSheetId="1">
    <rfmt sheetId="1" xfDxf="1" sqref="X1:X1048576" start="0" length="0"/>
    <rfmt sheetId="1" sqref="X1" start="0" length="0">
      <dxf>
        <font>
          <b/>
          <sz val="11"/>
          <color theme="1"/>
          <name val="Calibri"/>
          <family val="2"/>
          <scheme val="minor"/>
        </font>
        <numFmt numFmtId="164" formatCode="_(* #,##0_);_(* \(#,##0\);_(* &quot;-&quot;??_);_(@_)"/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7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8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9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0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1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385" sId="1" ref="U1:U1048576" action="deleteCol">
    <rfmt sheetId="1" xfDxf="1" sqref="U1:U1048576" start="0" length="0"/>
  </rrc>
  <rrc rId="386" sId="1" ref="X1:X1048576" action="insertCol"/>
  <rm rId="387" sheetId="1" source="T1:T1048576" destination="X1:X1048576" sourceSheetId="1">
    <undo index="65535" exp="area" dr="T2:Y2" r="Z2" sId="1"/>
    <rfmt sheetId="1" xfDxf="1" sqref="X1:X1048576" start="0" length="0"/>
    <rfmt sheetId="1" sqref="X1" start="0" length="0">
      <dxf>
        <font>
          <b/>
          <sz val="11"/>
          <color theme="1"/>
          <name val="Calibri"/>
          <family val="2"/>
          <scheme val="minor"/>
        </font>
        <numFmt numFmtId="164" formatCode="_(* #,##0_);_(* \(#,##0\);_(* &quot;-&quot;??_);_(@_)"/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7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8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9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0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1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X1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388" sId="1" ref="T1:T1048576" action="deleteCol">
    <undo index="65535" exp="area" dr="T15:V15" r="Z15" sId="1"/>
    <undo index="65535" exp="area" dr="T14:V14" r="Z14" sId="1"/>
    <undo index="65535" exp="area" dr="T13:V13" r="Z13" sId="1"/>
    <undo index="65535" exp="area" dr="T12:V12" r="Z12" sId="1"/>
    <undo index="65535" exp="area" dr="T11:V11" r="Z11" sId="1"/>
    <undo index="65535" exp="area" dr="T10:V10" r="Z10" sId="1"/>
    <undo index="65535" exp="area" dr="T9:V9" r="Z9" sId="1"/>
    <undo index="65535" exp="area" dr="T8:V8" r="Z8" sId="1"/>
    <undo index="65535" exp="area" dr="T7:V7" r="Z7" sId="1"/>
    <undo index="65535" exp="area" dr="T6:V6" r="Z6" sId="1"/>
    <undo index="65535" exp="area" dr="T5:V5" r="Z5" sId="1"/>
    <undo index="65535" exp="area" dr="T4:V4" r="Z4" sId="1"/>
    <undo index="65535" exp="area" dr="T3:V3" r="Z3" sId="1"/>
    <rfmt sheetId="1" xfDxf="1" sqref="T1:T1048576" start="0" length="0"/>
  </rrc>
  <rrc rId="389" sId="1" ref="T1:T1048576" action="insertCol"/>
  <rm rId="390" sheetId="1" source="AA1:AA1048576" destination="T1:T1048576" sourceSheetId="1">
    <rfmt sheetId="1" xfDxf="1" sqref="T1:T1048576" start="0" length="0"/>
    <rfmt sheetId="1" sqref="T1" start="0" length="0">
      <dxf>
        <font>
          <b/>
          <sz val="11"/>
          <color theme="1"/>
          <name val="Calibri"/>
          <family val="2"/>
          <scheme val="minor"/>
        </font>
        <numFmt numFmtId="164" formatCode="_(* #,##0_);_(* \(#,##0\);_(* &quot;-&quot;??_);_(@_)"/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7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8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9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0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1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T1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391" sId="1" ref="AA1:AA1048576" action="deleteCol">
    <rfmt sheetId="1" xfDxf="1" sqref="AA1:AA1048576" start="0" length="0"/>
  </rrc>
  <rcc rId="392" sId="1">
    <oc r="Z3">
      <f>SUM(U3:V3)</f>
    </oc>
    <nc r="Z3">
      <f>SUM(U3:Y3)</f>
    </nc>
  </rcc>
  <rcc rId="393" sId="1">
    <oc r="Z4">
      <f>SUM(U4:V4)</f>
    </oc>
    <nc r="Z4">
      <f>SUM(U4:Y4)</f>
    </nc>
  </rcc>
  <rcc rId="394" sId="1">
    <oc r="Z5">
      <f>SUM(U5:V5)</f>
    </oc>
    <nc r="Z5">
      <f>SUM(U5:Y5)</f>
    </nc>
  </rcc>
  <rcc rId="395" sId="1">
    <oc r="Z6">
      <f>SUM(U6:V6)</f>
    </oc>
    <nc r="Z6">
      <f>SUM(U6:Y6)</f>
    </nc>
  </rcc>
  <rcc rId="396" sId="1">
    <oc r="Z7">
      <f>SUM(U7:V7)</f>
    </oc>
    <nc r="Z7">
      <f>SUM(U7:Y7)</f>
    </nc>
  </rcc>
  <rcc rId="397" sId="1">
    <oc r="Z8">
      <f>SUM(U8:V8)</f>
    </oc>
    <nc r="Z8">
      <f>SUM(U8:Y8)</f>
    </nc>
  </rcc>
  <rcc rId="398" sId="1">
    <oc r="Z9">
      <f>SUM(U9:V9)</f>
    </oc>
    <nc r="Z9">
      <f>SUM(U9:Y9)</f>
    </nc>
  </rcc>
  <rcc rId="399" sId="1">
    <oc r="Z10">
      <f>SUM(U10:V10)</f>
    </oc>
    <nc r="Z10">
      <f>SUM(U10:Y10)</f>
    </nc>
  </rcc>
  <rcc rId="400" sId="1">
    <oc r="Z11">
      <f>SUM(U11:V11)</f>
    </oc>
    <nc r="Z11">
      <f>SUM(U11:Y11)</f>
    </nc>
  </rcc>
  <rcc rId="401" sId="1">
    <oc r="Z12">
      <f>SUM(U12:V12)</f>
    </oc>
    <nc r="Z12">
      <f>SUM(U12:Y12)</f>
    </nc>
  </rcc>
  <rcc rId="402" sId="1">
    <oc r="Z13">
      <f>SUM(U13:V13)</f>
    </oc>
    <nc r="Z13">
      <f>SUM(U13:Y13)</f>
    </nc>
  </rcc>
  <rcc rId="403" sId="1">
    <oc r="Z14">
      <f>SUM(U14:V14)</f>
    </oc>
    <nc r="Z14">
      <f>SUM(U14:Y14)</f>
    </nc>
  </rcc>
  <rcc rId="404" sId="1">
    <oc r="Z15">
      <f>SUM(U15:V15)</f>
    </oc>
    <nc r="Z15">
      <f>SUM(U15:Y15)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N2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2" start="0" length="0">
    <dxf>
      <numFmt numFmtId="3" formatCode="#,##0"/>
    </dxf>
  </rfmt>
  <rfmt sheetId="1" xfDxf="1" sqref="N2" start="0" length="0">
    <dxf>
      <numFmt numFmtId="3" formatCode="#,##0"/>
    </dxf>
  </rfmt>
  <rfmt sheetId="1" sqref="N3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3" start="0" length="0">
    <dxf>
      <numFmt numFmtId="3" formatCode="#,##0"/>
    </dxf>
  </rfmt>
  <rfmt sheetId="1" xfDxf="1" sqref="N3" start="0" length="0">
    <dxf>
      <numFmt numFmtId="3" formatCode="#,##0"/>
    </dxf>
  </rfmt>
  <rfmt sheetId="1" sqref="N4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4" start="0" length="0">
    <dxf>
      <numFmt numFmtId="3" formatCode="#,##0"/>
    </dxf>
  </rfmt>
  <rfmt sheetId="1" xfDxf="1" sqref="N4" start="0" length="0">
    <dxf>
      <numFmt numFmtId="3" formatCode="#,##0"/>
    </dxf>
  </rfmt>
  <rfmt sheetId="1" sqref="N6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6" start="0" length="0">
    <dxf>
      <numFmt numFmtId="3" formatCode="#,##0"/>
    </dxf>
  </rfmt>
  <rfmt sheetId="1" xfDxf="1" sqref="N6" start="0" length="0">
    <dxf>
      <numFmt numFmtId="3" formatCode="#,##0"/>
    </dxf>
  </rfmt>
  <rfmt sheetId="1" sqref="N6" start="0" length="0">
    <dxf>
      <numFmt numFmtId="0" formatCode="General"/>
    </dxf>
  </rfmt>
  <rfmt sheetId="1" sqref="N6" start="0" length="0">
    <dxf>
      <numFmt numFmtId="3" formatCode="#,##0"/>
    </dxf>
  </rfmt>
  <rfmt sheetId="1" xfDxf="1" sqref="N6" start="0" length="0">
    <dxf>
      <numFmt numFmtId="3" formatCode="#,##0"/>
    </dxf>
  </rfmt>
  <rfmt sheetId="1" sqref="N7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7" start="0" length="0">
    <dxf>
      <numFmt numFmtId="3" formatCode="#,##0"/>
    </dxf>
  </rfmt>
  <rfmt sheetId="1" xfDxf="1" sqref="N7" start="0" length="0">
    <dxf>
      <numFmt numFmtId="3" formatCode="#,##0"/>
    </dxf>
  </rfmt>
  <rfmt sheetId="1" sqref="N8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8" start="0" length="0">
    <dxf>
      <numFmt numFmtId="3" formatCode="#,##0"/>
    </dxf>
  </rfmt>
  <rfmt sheetId="1" xfDxf="1" sqref="N8" start="0" length="0">
    <dxf>
      <numFmt numFmtId="3" formatCode="#,##0"/>
    </dxf>
  </rfmt>
  <rfmt sheetId="1" sqref="N9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9" start="0" length="0">
    <dxf>
      <numFmt numFmtId="3" formatCode="#,##0"/>
    </dxf>
  </rfmt>
  <rfmt sheetId="1" xfDxf="1" sqref="N9" start="0" length="0">
    <dxf>
      <numFmt numFmtId="3" formatCode="#,##0"/>
    </dxf>
  </rfmt>
  <rfmt sheetId="1" sqref="N10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10" start="0" length="0">
    <dxf>
      <numFmt numFmtId="3" formatCode="#,##0"/>
    </dxf>
  </rfmt>
  <rfmt sheetId="1" xfDxf="1" sqref="N10" start="0" length="0">
    <dxf>
      <numFmt numFmtId="3" formatCode="#,##0"/>
    </dxf>
  </rfmt>
  <rfmt sheetId="1" sqref="N11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11" start="0" length="0">
    <dxf>
      <numFmt numFmtId="3" formatCode="#,##0"/>
    </dxf>
  </rfmt>
  <rfmt sheetId="1" xfDxf="1" sqref="N11" start="0" length="0">
    <dxf>
      <numFmt numFmtId="3" formatCode="#,##0"/>
    </dxf>
  </rfmt>
  <rfmt sheetId="1" sqref="N12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12" start="0" length="0">
    <dxf>
      <numFmt numFmtId="3" formatCode="#,##0"/>
    </dxf>
  </rfmt>
  <rfmt sheetId="1" xfDxf="1" sqref="N12" start="0" length="0">
    <dxf>
      <numFmt numFmtId="3" formatCode="#,##0"/>
    </dxf>
  </rfmt>
  <rfmt sheetId="1" sqref="N13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13" start="0" length="0">
    <dxf>
      <numFmt numFmtId="3" formatCode="#,##0"/>
    </dxf>
  </rfmt>
  <rfmt sheetId="1" xfDxf="1" sqref="N13" start="0" length="0">
    <dxf>
      <numFmt numFmtId="3" formatCode="#,##0"/>
    </dxf>
  </rfmt>
  <rfmt sheetId="1" sqref="N14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14" start="0" length="0">
    <dxf>
      <numFmt numFmtId="3" formatCode="#,##0"/>
    </dxf>
  </rfmt>
  <rfmt sheetId="1" xfDxf="1" sqref="N14" start="0" length="0">
    <dxf>
      <numFmt numFmtId="3" formatCode="#,##0"/>
    </dxf>
  </rfmt>
  <rfmt sheetId="1" sqref="N15" start="0" length="0">
    <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dxf>
  </rfmt>
  <rfmt sheetId="1" sqref="N15" start="0" length="0">
    <dxf>
      <numFmt numFmtId="3" formatCode="#,##0"/>
    </dxf>
  </rfmt>
  <rfmt sheetId="1" xfDxf="1" sqref="N15" start="0" length="0">
    <dxf>
      <numFmt numFmtId="3" formatCode="#,##0"/>
    </dxf>
  </rfmt>
  <rcc rId="405" sId="1" odxf="1" dxf="1" numFmtId="34">
    <nc r="N2">
      <v>139738278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6" sId="1" odxf="1" dxf="1" numFmtId="34">
    <nc r="N3">
      <v>234605382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7" sId="1" odxf="1" dxf="1" numFmtId="34">
    <nc r="N4">
      <v>5230236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N5" start="0" length="0">
    <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8" sId="1" odxf="1" dxf="1" numFmtId="34">
    <nc r="N6">
      <v>15024552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9" sId="1" odxf="1" dxf="1" numFmtId="34">
    <nc r="N7">
      <v>60515187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" sId="1" odxf="1" dxf="1" numFmtId="34">
    <nc r="N8">
      <v>9731244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1" sId="1" odxf="1" dxf="1" numFmtId="34">
    <nc r="N9">
      <v>76087013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2" sId="1" odxf="1" dxf="1" numFmtId="34">
    <nc r="N10">
      <v>14326058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3" sId="1" odxf="1" dxf="1" numFmtId="34">
    <nc r="N11">
      <v>172110572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4" sId="1" odxf="1" dxf="1" numFmtId="34">
    <nc r="N12">
      <v>172110572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5" sId="1" odxf="1" dxf="1" numFmtId="34">
    <nc r="N13">
      <v>69000430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6" sId="1" odxf="1" dxf="1" numFmtId="34">
    <nc r="N14">
      <v>63555754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7" sId="1" odxf="1" dxf="1" numFmtId="34">
    <nc r="N15">
      <v>130697300</v>
    </nc>
    <ndxf>
      <numFmt numFmtId="164" formatCode="_(* #,##0_);_(* \(#,##0\);_(* &quot;-&quot;??_);_(@_)"/>
      <fill>
        <patternFill patternType="solid">
          <bgColor theme="7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" sId="1" ref="AC1:AH1048576" action="insertCol"/>
  <rm rId="419" sheetId="1" source="AQ1:AV1048576" destination="AC1:AH1048576" sourceSheetId="1">
    <rfmt sheetId="1" xfDxf="1" sqref="AC1:AC1048576" start="0" length="0"/>
    <rfmt sheetId="1" xfDxf="1" sqref="AC1:AC1048576" start="0" length="0"/>
    <rfmt sheetId="1" xfDxf="1" sqref="AC1:AC1048576" start="0" length="0"/>
    <rfmt sheetId="1" xfDxf="1" sqref="AC1:AC1048576" start="0" length="0"/>
    <rfmt sheetId="1" xfDxf="1" sqref="AC1:AC1048576" start="0" length="0"/>
    <rfmt sheetId="1" xfDxf="1" sqref="AC1:AC1048576" start="0" length="0"/>
    <rfmt sheetId="1" sqref="AC1" start="0" length="0">
      <dxf>
        <font>
          <b/>
          <sz val="11"/>
          <color theme="1"/>
          <name val="Calibri"/>
          <family val="2"/>
          <scheme val="minor"/>
        </font>
        <numFmt numFmtId="164" formatCode="_(* #,##0_);_(* \(#,##0\);_(* &quot;-&quot;??_);_(@_)"/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1" start="0" length="0">
      <dxf>
        <font>
          <b/>
          <sz val="11"/>
          <color theme="1"/>
          <name val="Calibri"/>
          <family val="2"/>
          <scheme val="minor"/>
        </font>
        <numFmt numFmtId="164" formatCode="_(* #,##0_);_(* \(#,##0\);_(* &quot;-&quot;??_);_(@_)"/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1" start="0" length="0">
      <dxf>
        <font>
          <b/>
          <sz val="11"/>
          <color theme="1"/>
          <name val="Calibri"/>
          <family val="2"/>
          <scheme val="minor"/>
        </font>
        <numFmt numFmtId="164" formatCode="_(* #,##0_);_(* \(#,##0\);_(* &quot;-&quot;??_);_(@_)"/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1" start="0" length="0">
      <dxf>
        <font>
          <b/>
          <sz val="11"/>
          <color theme="1"/>
          <name val="Calibri"/>
          <family val="2"/>
          <scheme val="minor"/>
        </font>
        <numFmt numFmtId="164" formatCode="_(* #,##0_);_(* \(#,##0\);_(* &quot;-&quot;??_);_(@_)"/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1" start="0" length="0">
      <dxf>
        <font>
          <b/>
          <sz val="11"/>
          <color theme="1"/>
          <name val="Calibri"/>
          <family val="2"/>
          <scheme val="minor"/>
        </font>
        <numFmt numFmtId="164" formatCode="_(* #,##0_);_(* \(#,##0\);_(* &quot;-&quot;??_);_(@_)"/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1" start="0" length="0">
      <dxf>
        <font>
          <b/>
          <sz val="11"/>
          <color theme="1"/>
          <name val="Calibri"/>
          <family val="2"/>
          <scheme val="minor"/>
        </font>
        <numFmt numFmtId="164" formatCode="_(* #,##0_);_(* \(#,##0\);_(* &quot;-&quot;??_);_(@_)"/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6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7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7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7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7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7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7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8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8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8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8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8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8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9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9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9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9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9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9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10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10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10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10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10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10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11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11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11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11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11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11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1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1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1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1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1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12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1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1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1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1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1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13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1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1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1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1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1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14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C1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D1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E1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F1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G1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H15" start="0" length="0">
      <dxf>
        <numFmt numFmtId="164" formatCode="_(* #,##0_);_(* \(#,##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420" sId="1" ref="AQ1:AQ1048576" action="deleteCol">
    <rfmt sheetId="1" xfDxf="1" sqref="AQ1:AQ1048576" start="0" length="0"/>
  </rrc>
  <rrc rId="421" sId="1" ref="AQ1:AQ1048576" action="deleteCol">
    <rfmt sheetId="1" xfDxf="1" sqref="AQ1:AQ1048576" start="0" length="0"/>
  </rrc>
  <rrc rId="422" sId="1" ref="AQ1:AQ1048576" action="deleteCol">
    <rfmt sheetId="1" xfDxf="1" sqref="AQ1:AQ1048576" start="0" length="0"/>
  </rrc>
  <rrc rId="423" sId="1" ref="AQ1:AQ1048576" action="deleteCol">
    <rfmt sheetId="1" xfDxf="1" sqref="AQ1:AQ1048576" start="0" length="0"/>
  </rrc>
  <rrc rId="424" sId="1" ref="AQ1:AQ1048576" action="deleteCol">
    <rfmt sheetId="1" xfDxf="1" sqref="AQ1:AQ1048576" start="0" length="0"/>
  </rrc>
  <rrc rId="425" sId="1" ref="AQ1:AQ1048576" action="deleteCol">
    <rfmt sheetId="1" xfDxf="1" sqref="AQ1:AQ1048576" start="0" length="0"/>
  </rrc>
  <rcv guid="{FD9231E0-2025-4169-82D7-1DD02EF43945}" action="delete"/>
  <rcv guid="{FD9231E0-2025-4169-82D7-1DD02EF4394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5" start="0" length="2147483647">
    <dxf>
      <font>
        <color rgb="FF7030A0"/>
      </font>
    </dxf>
  </rfmt>
  <rfmt sheetId="1" sqref="F17" start="0" length="2147483647">
    <dxf>
      <font>
        <color rgb="FF7030A0"/>
      </font>
    </dxf>
  </rfmt>
  <rfmt sheetId="1" sqref="F17" start="0" length="2147483647">
    <dxf>
      <font>
        <color auto="1"/>
      </font>
    </dxf>
  </rfmt>
  <rfmt sheetId="1" sqref="F17">
    <dxf>
      <fill>
        <patternFill patternType="solid">
          <bgColor rgb="FF7030A0"/>
        </patternFill>
      </fill>
    </dxf>
  </rfmt>
  <rfmt sheetId="1" sqref="F17">
    <dxf>
      <fill>
        <patternFill>
          <bgColor theme="7" tint="0.39997558519241921"/>
        </patternFill>
      </fill>
    </dxf>
  </rfmt>
  <rfmt sheetId="1" sqref="F17">
    <dxf>
      <fill>
        <patternFill patternType="none">
          <bgColor auto="1"/>
        </patternFill>
      </fill>
    </dxf>
  </rfmt>
  <rfmt sheetId="1" sqref="F15" start="0" length="2147483647">
    <dxf>
      <font>
        <color auto="1"/>
      </font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B2D0033-F361-44AB-9A99-1275719A68F3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80B4FB2E-824D-40BF-90AD-62213BC07D5C}" name="Marc" id="-890155858" dateTime="2018-03-02T05:30:1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7"/>
  <sheetViews>
    <sheetView tabSelected="1" workbookViewId="0">
      <pane ySplit="1" topLeftCell="A2" activePane="bottomLeft" state="frozen"/>
      <selection activeCell="K1" sqref="K1"/>
      <selection pane="bottomLeft" activeCell="Y2" sqref="Y2"/>
    </sheetView>
  </sheetViews>
  <sheetFormatPr defaultColWidth="9.140625" defaultRowHeight="15" x14ac:dyDescent="0.25"/>
  <cols>
    <col min="1" max="1" width="14.5703125" style="2" customWidth="1"/>
    <col min="2" max="2" width="25.85546875" style="2" customWidth="1"/>
    <col min="3" max="3" width="14.42578125" style="2" customWidth="1"/>
    <col min="4" max="4" width="11.5703125" style="2" customWidth="1"/>
    <col min="5" max="5" width="14.28515625" style="2" customWidth="1"/>
    <col min="6" max="6" width="15.5703125" style="2" customWidth="1"/>
    <col min="7" max="7" width="16.85546875" style="2" customWidth="1"/>
    <col min="8" max="8" width="34" style="2" customWidth="1"/>
    <col min="9" max="9" width="20.140625" style="2" customWidth="1"/>
    <col min="10" max="10" width="17.5703125" style="2" customWidth="1"/>
    <col min="11" max="11" width="15" style="2" customWidth="1"/>
    <col min="12" max="13" width="24.28515625" style="2" customWidth="1"/>
    <col min="14" max="14" width="15" style="2" customWidth="1"/>
    <col min="15" max="15" width="16.5703125" style="2" customWidth="1"/>
    <col min="16" max="16" width="15" style="2" customWidth="1"/>
    <col min="17" max="17" width="17.7109375" style="2" customWidth="1"/>
    <col min="18" max="18" width="12.5703125" style="2" customWidth="1"/>
    <col min="19" max="19" width="30" style="2" customWidth="1"/>
    <col min="20" max="20" width="18.28515625" style="2" customWidth="1"/>
    <col min="21" max="21" width="19.7109375" style="2" customWidth="1"/>
    <col min="22" max="22" width="34" style="2" customWidth="1"/>
    <col min="23" max="23" width="31.140625" style="2" customWidth="1"/>
    <col min="24" max="24" width="17.28515625" style="2" customWidth="1"/>
    <col min="25" max="25" width="16.28515625" style="2" customWidth="1"/>
    <col min="26" max="26" width="15" style="2" customWidth="1"/>
    <col min="27" max="27" width="17.85546875" style="2" customWidth="1"/>
    <col min="28" max="28" width="20.7109375" style="2" customWidth="1"/>
    <col min="29" max="29" width="32.42578125" style="2" customWidth="1"/>
    <col min="30" max="30" width="30.140625" style="2" customWidth="1"/>
    <col min="31" max="31" width="38.7109375" style="2" customWidth="1"/>
    <col min="32" max="32" width="38.42578125" style="2" customWidth="1"/>
    <col min="33" max="33" width="36" style="2" customWidth="1"/>
    <col min="34" max="34" width="27" style="2" customWidth="1"/>
    <col min="35" max="35" width="22.5703125" style="2" customWidth="1"/>
    <col min="36" max="36" width="26.28515625" style="2" customWidth="1"/>
    <col min="37" max="37" width="22.5703125" style="2" customWidth="1"/>
    <col min="38" max="38" width="25.140625" style="2" customWidth="1"/>
    <col min="39" max="39" width="28.42578125" style="2" customWidth="1"/>
    <col min="40" max="40" width="32.140625" style="2" customWidth="1"/>
    <col min="41" max="41" width="21" style="2" customWidth="1"/>
    <col min="42" max="42" width="25.7109375" style="2" customWidth="1"/>
    <col min="43" max="16384" width="9.140625" style="2"/>
  </cols>
  <sheetData>
    <row r="1" spans="1:44" customFormat="1" ht="60" x14ac:dyDescent="0.25">
      <c r="A1" s="3" t="s">
        <v>27</v>
      </c>
      <c r="B1" s="3" t="s">
        <v>67</v>
      </c>
      <c r="C1" s="3" t="s">
        <v>0</v>
      </c>
      <c r="D1" s="3" t="s">
        <v>38</v>
      </c>
      <c r="E1" s="3" t="s">
        <v>2</v>
      </c>
      <c r="F1" s="5" t="s">
        <v>65</v>
      </c>
      <c r="G1" s="3" t="s">
        <v>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70</v>
      </c>
      <c r="N1" s="5" t="s">
        <v>71</v>
      </c>
      <c r="O1" s="3" t="s">
        <v>39</v>
      </c>
      <c r="P1" s="5" t="s">
        <v>68</v>
      </c>
      <c r="Q1" s="3" t="s">
        <v>3</v>
      </c>
      <c r="R1" s="5" t="s">
        <v>66</v>
      </c>
      <c r="S1" s="3" t="s">
        <v>4</v>
      </c>
      <c r="T1" s="3" t="s">
        <v>10</v>
      </c>
      <c r="U1" s="4" t="s">
        <v>7</v>
      </c>
      <c r="V1" s="4" t="s">
        <v>8</v>
      </c>
      <c r="W1" s="4" t="s">
        <v>6</v>
      </c>
      <c r="X1" s="4" t="s">
        <v>5</v>
      </c>
      <c r="Y1" s="4" t="s">
        <v>69</v>
      </c>
      <c r="Z1" s="4" t="s">
        <v>9</v>
      </c>
      <c r="AA1" s="5" t="s">
        <v>30</v>
      </c>
      <c r="AB1" s="3" t="s">
        <v>11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12</v>
      </c>
      <c r="AJ1" s="3" t="s">
        <v>13</v>
      </c>
      <c r="AK1" s="5" t="s">
        <v>29</v>
      </c>
      <c r="AL1" s="5" t="s">
        <v>31</v>
      </c>
      <c r="AM1" s="3" t="s">
        <v>14</v>
      </c>
      <c r="AN1" s="3" t="s">
        <v>15</v>
      </c>
      <c r="AO1" s="5" t="s">
        <v>28</v>
      </c>
      <c r="AP1" s="5" t="s">
        <v>32</v>
      </c>
    </row>
    <row r="2" spans="1:44" x14ac:dyDescent="0.25">
      <c r="A2" s="7" t="s">
        <v>42</v>
      </c>
      <c r="B2" s="7" t="s">
        <v>47</v>
      </c>
      <c r="C2" s="7">
        <f>622034627-21658146-448587016</f>
        <v>151789465</v>
      </c>
      <c r="D2" s="7">
        <v>23401256</v>
      </c>
      <c r="E2" s="7">
        <v>622034627</v>
      </c>
      <c r="F2" s="6">
        <f t="shared" ref="F2:F15" si="0">E2+D2</f>
        <v>645435883</v>
      </c>
      <c r="G2" s="7">
        <f>3742825+573312+131548+5578185+55006</f>
        <v>10080876</v>
      </c>
      <c r="H2" s="7">
        <v>1955829</v>
      </c>
      <c r="I2" s="7">
        <v>101728332</v>
      </c>
      <c r="J2" s="7">
        <v>12471058</v>
      </c>
      <c r="K2" s="7">
        <v>13502183</v>
      </c>
      <c r="L2" s="7">
        <f t="shared" ref="L2:L15" si="1">SUM(H2:K2)</f>
        <v>129657402</v>
      </c>
      <c r="M2" s="7">
        <f t="shared" ref="M2:M4" si="2">G2+L2</f>
        <v>139738278</v>
      </c>
      <c r="N2" s="6">
        <v>139738278</v>
      </c>
      <c r="O2" s="7">
        <v>2318110</v>
      </c>
      <c r="P2" s="6">
        <f>M2+O2</f>
        <v>142056388</v>
      </c>
      <c r="Q2" s="7">
        <v>503379495</v>
      </c>
      <c r="R2" s="6">
        <f t="shared" ref="R2:R15" si="3">F2-P2</f>
        <v>503379495</v>
      </c>
      <c r="S2" s="7">
        <v>2402706</v>
      </c>
      <c r="T2" s="7">
        <v>105632109</v>
      </c>
      <c r="U2" s="7">
        <v>45681029</v>
      </c>
      <c r="V2" s="7">
        <v>4801398</v>
      </c>
      <c r="W2" s="7">
        <v>2916505</v>
      </c>
      <c r="X2" s="7">
        <f>54655327</f>
        <v>54655327</v>
      </c>
      <c r="Y2" s="7">
        <v>1000000</v>
      </c>
      <c r="Z2" s="7">
        <f>SUM(U2:Y2)</f>
        <v>109054259</v>
      </c>
      <c r="AA2" s="6">
        <f t="shared" ref="AA2:AA15" si="4">Z2-T2</f>
        <v>3422150</v>
      </c>
      <c r="AB2" s="7">
        <v>3422150</v>
      </c>
      <c r="AC2" s="7">
        <v>25979579</v>
      </c>
      <c r="AD2" s="7">
        <v>1270101</v>
      </c>
      <c r="AE2" s="7">
        <v>31015217</v>
      </c>
      <c r="AF2" s="7">
        <v>25979579</v>
      </c>
      <c r="AG2" s="7">
        <v>4529141</v>
      </c>
      <c r="AH2" s="7">
        <v>75655712</v>
      </c>
      <c r="AI2" s="7">
        <v>52854264</v>
      </c>
      <c r="AJ2" s="7">
        <v>45883002</v>
      </c>
      <c r="AK2" s="6">
        <v>6971262</v>
      </c>
      <c r="AL2" s="6">
        <f t="shared" ref="AL2:AL15" si="5">AI2-AJ2</f>
        <v>6971262</v>
      </c>
      <c r="AM2" s="7">
        <v>67860032</v>
      </c>
      <c r="AN2" s="7">
        <v>60295886</v>
      </c>
      <c r="AO2" s="6">
        <v>7564146</v>
      </c>
      <c r="AP2" s="6">
        <f t="shared" ref="AP2:AP15" si="6">AM2-AN2</f>
        <v>7564146</v>
      </c>
    </row>
    <row r="3" spans="1:44" x14ac:dyDescent="0.25">
      <c r="A3" s="7" t="s">
        <v>43</v>
      </c>
      <c r="B3" s="7" t="s">
        <v>48</v>
      </c>
      <c r="C3" s="7">
        <v>247128881</v>
      </c>
      <c r="D3" s="7">
        <v>21983625</v>
      </c>
      <c r="E3" s="7">
        <v>1026661852</v>
      </c>
      <c r="F3" s="6">
        <f t="shared" si="0"/>
        <v>1048645477</v>
      </c>
      <c r="G3" s="7">
        <f>22801124-12245964</f>
        <v>10555160</v>
      </c>
      <c r="H3" s="7">
        <v>12245964</v>
      </c>
      <c r="I3" s="7">
        <v>42854631</v>
      </c>
      <c r="J3" s="7">
        <v>18066000</v>
      </c>
      <c r="K3" s="7">
        <f>125506665+24572411+804551</f>
        <v>150883627</v>
      </c>
      <c r="L3" s="7">
        <f t="shared" si="1"/>
        <v>224050222</v>
      </c>
      <c r="M3" s="7">
        <f t="shared" si="2"/>
        <v>234605382</v>
      </c>
      <c r="N3" s="6">
        <v>234605382</v>
      </c>
      <c r="O3" s="7">
        <v>2754455</v>
      </c>
      <c r="P3" s="6">
        <f t="shared" ref="P3:P15" si="7">M3+O3</f>
        <v>237359837</v>
      </c>
      <c r="Q3" s="7">
        <v>811285640</v>
      </c>
      <c r="R3" s="6">
        <f t="shared" si="3"/>
        <v>811285640</v>
      </c>
      <c r="S3" s="7">
        <v>72068643</v>
      </c>
      <c r="T3" s="7">
        <v>115694055</v>
      </c>
      <c r="U3" s="7">
        <v>58812325</v>
      </c>
      <c r="V3" s="7">
        <v>16766081</v>
      </c>
      <c r="W3" s="7">
        <v>30872091</v>
      </c>
      <c r="X3" s="7">
        <v>30500008</v>
      </c>
      <c r="Y3" s="7"/>
      <c r="Z3" s="7">
        <f t="shared" ref="Z3:Z15" si="8">SUM(U3:Y3)</f>
        <v>136950505</v>
      </c>
      <c r="AA3" s="6">
        <f t="shared" si="4"/>
        <v>21256450</v>
      </c>
      <c r="AB3" s="7">
        <v>21256450</v>
      </c>
      <c r="AC3" s="7">
        <v>15673545</v>
      </c>
      <c r="AD3" s="7">
        <v>0</v>
      </c>
      <c r="AE3" s="7">
        <v>23405903</v>
      </c>
      <c r="AF3" s="7">
        <v>15673035</v>
      </c>
      <c r="AG3" s="7">
        <v>0</v>
      </c>
      <c r="AH3" s="7">
        <v>126229934</v>
      </c>
      <c r="AI3" s="7">
        <v>45179595</v>
      </c>
      <c r="AJ3" s="7">
        <v>46188472</v>
      </c>
      <c r="AK3" s="6">
        <v>-1008877</v>
      </c>
      <c r="AL3" s="6">
        <f t="shared" si="5"/>
        <v>-1008877</v>
      </c>
      <c r="AM3" s="7">
        <v>77399559</v>
      </c>
      <c r="AN3" s="7">
        <v>73644736</v>
      </c>
      <c r="AO3" s="6">
        <v>3754823</v>
      </c>
      <c r="AP3" s="6">
        <f t="shared" si="6"/>
        <v>3754823</v>
      </c>
      <c r="AR3" s="1"/>
    </row>
    <row r="4" spans="1:44" x14ac:dyDescent="0.25">
      <c r="A4" s="7" t="s">
        <v>45</v>
      </c>
      <c r="B4" s="7" t="s">
        <v>49</v>
      </c>
      <c r="C4" s="7">
        <v>12553699</v>
      </c>
      <c r="D4" s="7">
        <v>1600976</v>
      </c>
      <c r="E4" s="7">
        <v>50021525</v>
      </c>
      <c r="F4" s="6">
        <f t="shared" si="0"/>
        <v>51622501</v>
      </c>
      <c r="G4" s="7">
        <f>595145-79187</f>
        <v>515958</v>
      </c>
      <c r="H4" s="7">
        <v>79187</v>
      </c>
      <c r="I4" s="7">
        <v>4413357</v>
      </c>
      <c r="J4" s="7">
        <v>142547</v>
      </c>
      <c r="K4" s="7">
        <v>79187</v>
      </c>
      <c r="L4" s="7">
        <f t="shared" si="1"/>
        <v>4714278</v>
      </c>
      <c r="M4" s="7">
        <f t="shared" si="2"/>
        <v>5230236</v>
      </c>
      <c r="N4" s="6">
        <v>5230236</v>
      </c>
      <c r="O4" s="7">
        <v>355289</v>
      </c>
      <c r="P4" s="6">
        <f t="shared" si="7"/>
        <v>5585525</v>
      </c>
      <c r="Q4" s="7">
        <v>46036976</v>
      </c>
      <c r="R4" s="6">
        <f t="shared" si="3"/>
        <v>46036976</v>
      </c>
      <c r="S4" s="7">
        <v>7770840</v>
      </c>
      <c r="T4" s="7">
        <v>6502944</v>
      </c>
      <c r="U4" s="7">
        <v>932006</v>
      </c>
      <c r="V4" s="7">
        <v>813168</v>
      </c>
      <c r="W4" s="7">
        <v>885398</v>
      </c>
      <c r="X4" s="7">
        <v>5002029</v>
      </c>
      <c r="Y4" s="7"/>
      <c r="Z4" s="7">
        <f t="shared" si="8"/>
        <v>7632601</v>
      </c>
      <c r="AA4" s="6">
        <f t="shared" si="4"/>
        <v>1129657</v>
      </c>
      <c r="AB4" s="7">
        <v>1129657</v>
      </c>
      <c r="AC4" s="7">
        <v>5429524</v>
      </c>
      <c r="AD4" s="7">
        <v>415239</v>
      </c>
      <c r="AE4" s="7">
        <v>5917281</v>
      </c>
      <c r="AF4" s="7">
        <v>5426974</v>
      </c>
      <c r="AG4" s="7">
        <v>3442181</v>
      </c>
      <c r="AH4" s="7">
        <v>15254653</v>
      </c>
      <c r="AI4" s="7">
        <v>4347425</v>
      </c>
      <c r="AJ4" s="7">
        <v>4155603</v>
      </c>
      <c r="AK4" s="6">
        <v>191822</v>
      </c>
      <c r="AL4" s="6">
        <f t="shared" si="5"/>
        <v>191822</v>
      </c>
      <c r="AM4" s="7">
        <v>7660434</v>
      </c>
      <c r="AN4" s="7">
        <v>7157384</v>
      </c>
      <c r="AO4" s="6">
        <v>503050</v>
      </c>
      <c r="AP4" s="6">
        <f t="shared" si="6"/>
        <v>503050</v>
      </c>
    </row>
    <row r="5" spans="1:44" x14ac:dyDescent="0.25">
      <c r="A5" s="7" t="s">
        <v>59</v>
      </c>
      <c r="B5" s="7" t="s">
        <v>33</v>
      </c>
      <c r="C5" s="7">
        <f>161698096+730828+3494160+15862305+3835022+29308333+1615000+55036+113371+52322</f>
        <v>216764473</v>
      </c>
      <c r="D5" s="7">
        <v>30515524</v>
      </c>
      <c r="E5" s="7">
        <v>896795637</v>
      </c>
      <c r="F5" s="6">
        <f t="shared" si="0"/>
        <v>927311161</v>
      </c>
      <c r="G5" s="7">
        <f>24990579+4525835+453060+4756038+3407738</f>
        <v>38133250</v>
      </c>
      <c r="H5" s="7">
        <f>3041290+2855381+4827304</f>
        <v>10723975</v>
      </c>
      <c r="I5" s="7">
        <f>28779126+148428020</f>
        <v>177207146</v>
      </c>
      <c r="J5" s="7">
        <v>0</v>
      </c>
      <c r="K5" s="7">
        <f>1732708+9097949+40495259</f>
        <v>51325916</v>
      </c>
      <c r="L5" s="7">
        <f t="shared" si="1"/>
        <v>239257037</v>
      </c>
      <c r="M5" s="7">
        <f>G5+L5</f>
        <v>277390287</v>
      </c>
      <c r="N5" s="6">
        <v>277390287</v>
      </c>
      <c r="O5" s="7">
        <v>2800096</v>
      </c>
      <c r="P5" s="6">
        <f t="shared" si="7"/>
        <v>280190383</v>
      </c>
      <c r="Q5" s="7">
        <v>647120778</v>
      </c>
      <c r="R5" s="6">
        <f t="shared" si="3"/>
        <v>647120778</v>
      </c>
      <c r="S5" s="7">
        <v>-53914025</v>
      </c>
      <c r="T5" s="7">
        <v>157944514</v>
      </c>
      <c r="U5" s="7">
        <v>45609299</v>
      </c>
      <c r="V5" s="7">
        <v>6909863</v>
      </c>
      <c r="W5" s="7">
        <v>11109794</v>
      </c>
      <c r="X5" s="7">
        <v>92676143</v>
      </c>
      <c r="Y5" s="7"/>
      <c r="Z5" s="7">
        <f t="shared" si="8"/>
        <v>156305099</v>
      </c>
      <c r="AA5" s="6">
        <f t="shared" si="4"/>
        <v>-1639415</v>
      </c>
      <c r="AB5" s="7">
        <v>-1639415</v>
      </c>
      <c r="AC5" s="7">
        <v>28174416</v>
      </c>
      <c r="AD5" s="7">
        <v>1923138</v>
      </c>
      <c r="AE5" s="7">
        <v>39557098</v>
      </c>
      <c r="AF5" s="7">
        <v>28173036</v>
      </c>
      <c r="AG5" s="7">
        <v>6784319</v>
      </c>
      <c r="AH5" s="7">
        <v>110754885</v>
      </c>
      <c r="AI5" s="7">
        <v>100831919</v>
      </c>
      <c r="AJ5" s="7">
        <v>91527029</v>
      </c>
      <c r="AK5" s="6">
        <v>9304890</v>
      </c>
      <c r="AL5" s="6">
        <f t="shared" si="5"/>
        <v>9304890</v>
      </c>
      <c r="AM5" s="7">
        <v>123603451</v>
      </c>
      <c r="AN5" s="7">
        <v>124653722</v>
      </c>
      <c r="AO5" s="6">
        <v>-1050271</v>
      </c>
      <c r="AP5" s="6">
        <f t="shared" si="6"/>
        <v>-1050271</v>
      </c>
      <c r="AR5" s="1"/>
    </row>
    <row r="6" spans="1:44" x14ac:dyDescent="0.25">
      <c r="A6" s="7" t="s">
        <v>46</v>
      </c>
      <c r="B6" s="7" t="s">
        <v>50</v>
      </c>
      <c r="C6" s="7">
        <v>79646742</v>
      </c>
      <c r="D6" s="7">
        <v>0</v>
      </c>
      <c r="E6" s="7">
        <v>267511334</v>
      </c>
      <c r="F6" s="6">
        <f t="shared" si="0"/>
        <v>267511334</v>
      </c>
      <c r="G6" s="7">
        <f>6857785-550000</f>
        <v>6307785</v>
      </c>
      <c r="H6" s="7">
        <v>550000</v>
      </c>
      <c r="I6" s="7">
        <v>0</v>
      </c>
      <c r="J6" s="7">
        <v>0</v>
      </c>
      <c r="K6" s="7">
        <v>8166767</v>
      </c>
      <c r="L6" s="7">
        <f t="shared" si="1"/>
        <v>8716767</v>
      </c>
      <c r="M6" s="7">
        <f t="shared" ref="M6:M15" si="9">G6+L6</f>
        <v>15024552</v>
      </c>
      <c r="N6" s="6">
        <v>15024552</v>
      </c>
      <c r="O6" s="7">
        <v>0</v>
      </c>
      <c r="P6" s="6">
        <f t="shared" si="7"/>
        <v>15024552</v>
      </c>
      <c r="Q6" s="7">
        <v>252486782</v>
      </c>
      <c r="R6" s="6">
        <f t="shared" si="3"/>
        <v>252486782</v>
      </c>
      <c r="S6" s="7">
        <v>72257190</v>
      </c>
      <c r="T6" s="7">
        <v>35464160</v>
      </c>
      <c r="U6" s="7">
        <v>9265376</v>
      </c>
      <c r="V6" s="7">
        <v>911003</v>
      </c>
      <c r="W6" s="7">
        <v>2591351</v>
      </c>
      <c r="X6" s="7">
        <v>24639246</v>
      </c>
      <c r="Y6" s="7"/>
      <c r="Z6" s="7">
        <f t="shared" si="8"/>
        <v>37406976</v>
      </c>
      <c r="AA6" s="6">
        <f t="shared" si="4"/>
        <v>1942816</v>
      </c>
      <c r="AB6" s="7">
        <v>1942816</v>
      </c>
      <c r="AC6" s="7" t="s">
        <v>44</v>
      </c>
      <c r="AD6" s="7">
        <v>313036</v>
      </c>
      <c r="AE6" s="7">
        <v>27800095</v>
      </c>
      <c r="AF6" s="7" t="s">
        <v>44</v>
      </c>
      <c r="AG6" s="7">
        <v>2820333</v>
      </c>
      <c r="AH6" s="7">
        <v>97492294</v>
      </c>
      <c r="AI6" s="7">
        <v>25604120</v>
      </c>
      <c r="AJ6" s="7">
        <v>19818934</v>
      </c>
      <c r="AK6" s="6">
        <v>5785186</v>
      </c>
      <c r="AL6" s="6">
        <f t="shared" si="5"/>
        <v>5785186</v>
      </c>
      <c r="AM6" s="7">
        <v>36634838</v>
      </c>
      <c r="AN6" s="7">
        <v>35083272</v>
      </c>
      <c r="AO6" s="6">
        <v>1551566</v>
      </c>
      <c r="AP6" s="6">
        <f t="shared" si="6"/>
        <v>1551566</v>
      </c>
    </row>
    <row r="7" spans="1:44" x14ac:dyDescent="0.25">
      <c r="A7" s="7" t="s">
        <v>58</v>
      </c>
      <c r="B7" s="7" t="s">
        <v>51</v>
      </c>
      <c r="C7" s="7">
        <f>212059377-81146981-20883358</f>
        <v>110029038</v>
      </c>
      <c r="D7" s="7">
        <v>4933365</v>
      </c>
      <c r="E7" s="7">
        <v>212059377</v>
      </c>
      <c r="F7" s="6">
        <f t="shared" si="0"/>
        <v>216992742</v>
      </c>
      <c r="G7" s="7">
        <f>60515187-14541448-7750-37244907-1476410</f>
        <v>7244672</v>
      </c>
      <c r="H7" s="7">
        <v>1476410</v>
      </c>
      <c r="I7" s="7">
        <v>14541448</v>
      </c>
      <c r="J7" s="7">
        <v>7750</v>
      </c>
      <c r="K7" s="7">
        <v>37244907</v>
      </c>
      <c r="L7" s="7">
        <f t="shared" si="1"/>
        <v>53270515</v>
      </c>
      <c r="M7" s="7">
        <f t="shared" si="9"/>
        <v>60515187</v>
      </c>
      <c r="N7" s="6">
        <v>60515187</v>
      </c>
      <c r="O7" s="7">
        <v>771765</v>
      </c>
      <c r="P7" s="6">
        <f t="shared" si="7"/>
        <v>61286952</v>
      </c>
      <c r="Q7" s="7">
        <v>155705790</v>
      </c>
      <c r="R7" s="6">
        <f t="shared" si="3"/>
        <v>155705790</v>
      </c>
      <c r="S7" s="7">
        <v>54676443</v>
      </c>
      <c r="T7" s="7">
        <v>22430926</v>
      </c>
      <c r="U7" s="7">
        <v>11499641</v>
      </c>
      <c r="V7" s="7">
        <v>1727375</v>
      </c>
      <c r="W7" s="7">
        <v>8410511</v>
      </c>
      <c r="X7" s="7">
        <v>12612609</v>
      </c>
      <c r="Y7" s="7"/>
      <c r="Z7" s="7">
        <f t="shared" si="8"/>
        <v>34250136</v>
      </c>
      <c r="AA7" s="6">
        <f t="shared" si="4"/>
        <v>11819210</v>
      </c>
      <c r="AB7" s="7">
        <v>11819210</v>
      </c>
      <c r="AC7" s="7">
        <v>9426610</v>
      </c>
      <c r="AD7" s="7">
        <v>2176150</v>
      </c>
      <c r="AE7" s="7">
        <v>41694932</v>
      </c>
      <c r="AF7" s="7">
        <v>5378030</v>
      </c>
      <c r="AG7" s="7">
        <v>2176150</v>
      </c>
      <c r="AH7" s="7">
        <v>58245329</v>
      </c>
      <c r="AI7" s="7">
        <v>14859520</v>
      </c>
      <c r="AJ7" s="7">
        <v>11784637</v>
      </c>
      <c r="AK7" s="6">
        <v>3074883</v>
      </c>
      <c r="AL7" s="6">
        <f t="shared" si="5"/>
        <v>3074883</v>
      </c>
      <c r="AM7" s="7">
        <v>31457379</v>
      </c>
      <c r="AN7" s="7">
        <v>26037529</v>
      </c>
      <c r="AO7" s="6">
        <v>5419850</v>
      </c>
      <c r="AP7" s="6">
        <f t="shared" si="6"/>
        <v>5419850</v>
      </c>
    </row>
    <row r="8" spans="1:44" x14ac:dyDescent="0.25">
      <c r="A8" s="7" t="s">
        <v>60</v>
      </c>
      <c r="B8" s="7" t="s">
        <v>52</v>
      </c>
      <c r="C8" s="7">
        <f>144683070-20386775-88390838</f>
        <v>35905457</v>
      </c>
      <c r="D8" s="7">
        <v>0</v>
      </c>
      <c r="E8" s="7">
        <v>144683070</v>
      </c>
      <c r="F8" s="6">
        <f t="shared" si="0"/>
        <v>144683070</v>
      </c>
      <c r="G8" s="7">
        <f>2421685+36314+787726+514810+448401</f>
        <v>4208936</v>
      </c>
      <c r="H8" s="7">
        <f>137461+480000</f>
        <v>617461</v>
      </c>
      <c r="I8" s="7">
        <v>0</v>
      </c>
      <c r="J8" s="7">
        <v>0</v>
      </c>
      <c r="K8" s="7">
        <f>549847+4355000</f>
        <v>4904847</v>
      </c>
      <c r="L8" s="7">
        <f t="shared" si="1"/>
        <v>5522308</v>
      </c>
      <c r="M8" s="7">
        <f t="shared" si="9"/>
        <v>9731244</v>
      </c>
      <c r="N8" s="6">
        <v>9731244</v>
      </c>
      <c r="O8" s="7">
        <v>0</v>
      </c>
      <c r="P8" s="6">
        <f t="shared" si="7"/>
        <v>9731244</v>
      </c>
      <c r="Q8" s="7">
        <v>134951826</v>
      </c>
      <c r="R8" s="6">
        <f t="shared" si="3"/>
        <v>134951826</v>
      </c>
      <c r="S8" s="7">
        <v>26860110</v>
      </c>
      <c r="T8" s="7">
        <v>22449556</v>
      </c>
      <c r="U8" s="7">
        <v>4294281</v>
      </c>
      <c r="V8" s="7">
        <v>992416</v>
      </c>
      <c r="W8" s="7">
        <v>2217522</v>
      </c>
      <c r="X8" s="7">
        <v>17594624</v>
      </c>
      <c r="Y8" s="7"/>
      <c r="Z8" s="7">
        <f t="shared" si="8"/>
        <v>25098843</v>
      </c>
      <c r="AA8" s="6">
        <f t="shared" si="4"/>
        <v>2649287</v>
      </c>
      <c r="AB8" s="7">
        <v>2649287</v>
      </c>
      <c r="AC8" s="7">
        <v>9522319</v>
      </c>
      <c r="AD8" s="7">
        <v>0</v>
      </c>
      <c r="AE8" s="7">
        <v>21308584</v>
      </c>
      <c r="AF8" s="7">
        <v>9120009</v>
      </c>
      <c r="AG8" s="7">
        <v>0</v>
      </c>
      <c r="AH8" s="7">
        <v>31221598</v>
      </c>
      <c r="AI8" s="7">
        <v>16972334</v>
      </c>
      <c r="AJ8" s="7">
        <v>12818761</v>
      </c>
      <c r="AK8" s="6">
        <v>4153573</v>
      </c>
      <c r="AL8" s="6">
        <f t="shared" si="5"/>
        <v>4153573</v>
      </c>
      <c r="AM8" s="7">
        <v>23841621</v>
      </c>
      <c r="AN8" s="7">
        <v>28229095</v>
      </c>
      <c r="AO8" s="6">
        <v>-4387474</v>
      </c>
      <c r="AP8" s="6">
        <f t="shared" si="6"/>
        <v>-4387474</v>
      </c>
    </row>
    <row r="9" spans="1:44" x14ac:dyDescent="0.25">
      <c r="A9" s="7" t="s">
        <v>61</v>
      </c>
      <c r="B9" s="7" t="s">
        <v>53</v>
      </c>
      <c r="C9" s="7">
        <f>155685678-72862666-28760146</f>
        <v>54062866</v>
      </c>
      <c r="D9" s="7">
        <v>10242169</v>
      </c>
      <c r="E9" s="7">
        <v>155685678</v>
      </c>
      <c r="F9" s="6">
        <f t="shared" si="0"/>
        <v>165927847</v>
      </c>
      <c r="G9" s="7">
        <f>1331019+682724+1124700+337045+80000+82479</f>
        <v>3637967</v>
      </c>
      <c r="H9" s="7">
        <f>1249000+1351149</f>
        <v>2600149</v>
      </c>
      <c r="I9" s="7">
        <v>36408168</v>
      </c>
      <c r="J9" s="7">
        <v>0</v>
      </c>
      <c r="K9" s="7">
        <f>639274+32801455</f>
        <v>33440729</v>
      </c>
      <c r="L9" s="7">
        <f t="shared" si="1"/>
        <v>72449046</v>
      </c>
      <c r="M9" s="7">
        <f t="shared" si="9"/>
        <v>76087013</v>
      </c>
      <c r="N9" s="6">
        <v>76087013</v>
      </c>
      <c r="O9" s="7">
        <v>3604189</v>
      </c>
      <c r="P9" s="6">
        <f t="shared" si="7"/>
        <v>79691202</v>
      </c>
      <c r="Q9" s="7">
        <v>86236645</v>
      </c>
      <c r="R9" s="6">
        <f t="shared" si="3"/>
        <v>86236645</v>
      </c>
      <c r="S9" s="7">
        <v>2460364</v>
      </c>
      <c r="T9" s="7">
        <v>38753945</v>
      </c>
      <c r="U9" s="7">
        <v>14061965</v>
      </c>
      <c r="V9" s="7">
        <v>2593652</v>
      </c>
      <c r="W9" s="7">
        <v>3992910</v>
      </c>
      <c r="X9" s="7">
        <v>20430758</v>
      </c>
      <c r="Y9" s="7"/>
      <c r="Z9" s="7">
        <f t="shared" si="8"/>
        <v>41079285</v>
      </c>
      <c r="AA9" s="6">
        <f t="shared" si="4"/>
        <v>2325340</v>
      </c>
      <c r="AB9" s="7">
        <v>2325340</v>
      </c>
      <c r="AC9" s="7">
        <v>8634938</v>
      </c>
      <c r="AD9" s="7">
        <v>5048345</v>
      </c>
      <c r="AE9" s="7">
        <v>13750782</v>
      </c>
      <c r="AF9" s="7">
        <v>8617098</v>
      </c>
      <c r="AG9" s="7">
        <v>5428913</v>
      </c>
      <c r="AH9" s="7">
        <v>30779009</v>
      </c>
      <c r="AI9" s="7">
        <v>22210623</v>
      </c>
      <c r="AJ9" s="7">
        <v>21109005</v>
      </c>
      <c r="AK9" s="6">
        <v>1101618</v>
      </c>
      <c r="AL9" s="6">
        <f t="shared" si="5"/>
        <v>1101618</v>
      </c>
      <c r="AM9" s="7">
        <v>29062595</v>
      </c>
      <c r="AN9" s="7">
        <v>28165056</v>
      </c>
      <c r="AO9" s="6">
        <v>897539</v>
      </c>
      <c r="AP9" s="6">
        <f t="shared" si="6"/>
        <v>897539</v>
      </c>
    </row>
    <row r="10" spans="1:44" x14ac:dyDescent="0.25">
      <c r="A10" s="7" t="s">
        <v>62</v>
      </c>
      <c r="B10" s="7" t="s">
        <v>54</v>
      </c>
      <c r="C10" s="7">
        <v>13500057</v>
      </c>
      <c r="D10" s="7">
        <v>1253642</v>
      </c>
      <c r="E10" s="7">
        <v>62124535</v>
      </c>
      <c r="F10" s="6">
        <f t="shared" si="0"/>
        <v>63378177</v>
      </c>
      <c r="G10" s="7">
        <f>771181+850</f>
        <v>772031</v>
      </c>
      <c r="H10" s="7">
        <f>16321+365000+75680</f>
        <v>457001</v>
      </c>
      <c r="I10" s="7">
        <v>5226347</v>
      </c>
      <c r="J10" s="7">
        <v>0</v>
      </c>
      <c r="K10" s="7">
        <f>7567959+302720</f>
        <v>7870679</v>
      </c>
      <c r="L10" s="7">
        <f t="shared" si="1"/>
        <v>13554027</v>
      </c>
      <c r="M10" s="7">
        <f t="shared" si="9"/>
        <v>14326058</v>
      </c>
      <c r="N10" s="6">
        <v>14326058</v>
      </c>
      <c r="O10" s="7">
        <v>1463543</v>
      </c>
      <c r="P10" s="6">
        <f t="shared" si="7"/>
        <v>15789601</v>
      </c>
      <c r="Q10" s="7">
        <v>47588576</v>
      </c>
      <c r="R10" s="6">
        <f t="shared" si="3"/>
        <v>47588576</v>
      </c>
      <c r="S10" s="7">
        <v>2260694</v>
      </c>
      <c r="T10" s="7">
        <v>10199796</v>
      </c>
      <c r="U10" s="7">
        <v>1841676</v>
      </c>
      <c r="V10" s="7">
        <v>1173070</v>
      </c>
      <c r="W10" s="7">
        <v>2978412</v>
      </c>
      <c r="X10" s="7">
        <v>7694258</v>
      </c>
      <c r="Y10" s="7"/>
      <c r="Z10" s="7">
        <f t="shared" si="8"/>
        <v>13687416</v>
      </c>
      <c r="AA10" s="6">
        <f t="shared" si="4"/>
        <v>3487620</v>
      </c>
      <c r="AB10" s="7">
        <v>3487620</v>
      </c>
      <c r="AC10" s="7">
        <v>2309276</v>
      </c>
      <c r="AD10" s="7">
        <v>3763132</v>
      </c>
      <c r="AE10" s="7">
        <v>7001356</v>
      </c>
      <c r="AF10" s="7">
        <v>12892182</v>
      </c>
      <c r="AG10" s="7">
        <v>3763132</v>
      </c>
      <c r="AH10" s="7">
        <v>11654040</v>
      </c>
      <c r="AI10" s="7">
        <v>7442123</v>
      </c>
      <c r="AJ10" s="7">
        <v>7196123</v>
      </c>
      <c r="AK10" s="6">
        <v>246000</v>
      </c>
      <c r="AL10" s="6">
        <f t="shared" si="5"/>
        <v>246000</v>
      </c>
      <c r="AM10" s="7">
        <v>12613430</v>
      </c>
      <c r="AN10" s="7">
        <v>15377627</v>
      </c>
      <c r="AO10" s="6">
        <v>-2764197</v>
      </c>
      <c r="AP10" s="6">
        <f t="shared" si="6"/>
        <v>-2764197</v>
      </c>
    </row>
    <row r="11" spans="1:44" x14ac:dyDescent="0.25">
      <c r="A11" s="7" t="s">
        <v>63</v>
      </c>
      <c r="B11" s="7" t="s">
        <v>55</v>
      </c>
      <c r="C11" s="7">
        <v>138690101</v>
      </c>
      <c r="D11" s="7">
        <v>15017348</v>
      </c>
      <c r="E11" s="7">
        <v>537931476</v>
      </c>
      <c r="F11" s="6">
        <f t="shared" si="0"/>
        <v>552948824</v>
      </c>
      <c r="G11" s="7">
        <f>19641535-4150987-2183420-257254</f>
        <v>13049874</v>
      </c>
      <c r="H11" s="7">
        <f>257254+2183420+4150987</f>
        <v>6591661</v>
      </c>
      <c r="I11" s="7">
        <v>50402455</v>
      </c>
      <c r="J11" s="7">
        <v>27226475</v>
      </c>
      <c r="K11" s="7">
        <f>727131+74112976</f>
        <v>74840107</v>
      </c>
      <c r="L11" s="7">
        <f t="shared" si="1"/>
        <v>159060698</v>
      </c>
      <c r="M11" s="7">
        <f t="shared" si="9"/>
        <v>172110572</v>
      </c>
      <c r="N11" s="6">
        <v>172110572</v>
      </c>
      <c r="O11" s="7">
        <v>5609841</v>
      </c>
      <c r="P11" s="6">
        <f t="shared" si="7"/>
        <v>177720413</v>
      </c>
      <c r="Q11" s="7">
        <v>375228411</v>
      </c>
      <c r="R11" s="6">
        <f t="shared" si="3"/>
        <v>375228411</v>
      </c>
      <c r="S11" s="7">
        <v>-32687950</v>
      </c>
      <c r="T11" s="7">
        <v>117021580</v>
      </c>
      <c r="U11" s="7">
        <v>52775020</v>
      </c>
      <c r="V11" s="7">
        <v>18355088</v>
      </c>
      <c r="W11" s="7">
        <v>9732027</v>
      </c>
      <c r="X11" s="7">
        <v>36767705</v>
      </c>
      <c r="Y11" s="7"/>
      <c r="Z11" s="7">
        <f t="shared" si="8"/>
        <v>117629840</v>
      </c>
      <c r="AA11" s="6">
        <f t="shared" si="4"/>
        <v>608260</v>
      </c>
      <c r="AB11" s="7">
        <v>608260</v>
      </c>
      <c r="AC11" s="7">
        <v>17037283</v>
      </c>
      <c r="AD11" s="7">
        <v>434778</v>
      </c>
      <c r="AE11" s="7">
        <v>19882757</v>
      </c>
      <c r="AF11" s="7">
        <v>13292151</v>
      </c>
      <c r="AG11" s="7">
        <v>464127</v>
      </c>
      <c r="AH11" s="7">
        <v>40512125</v>
      </c>
      <c r="AI11" s="7">
        <v>37980136</v>
      </c>
      <c r="AJ11" s="7">
        <v>40511877</v>
      </c>
      <c r="AK11" s="6">
        <v>-2531741</v>
      </c>
      <c r="AL11" s="6">
        <f t="shared" si="5"/>
        <v>-2531741</v>
      </c>
      <c r="AM11" s="7">
        <v>73742153</v>
      </c>
      <c r="AN11" s="7">
        <v>78481648</v>
      </c>
      <c r="AO11" s="6">
        <v>-4739495</v>
      </c>
      <c r="AP11" s="6">
        <f t="shared" si="6"/>
        <v>-4739495</v>
      </c>
    </row>
    <row r="12" spans="1:44" x14ac:dyDescent="0.25">
      <c r="A12" s="7" t="s">
        <v>64</v>
      </c>
      <c r="B12" s="7" t="s">
        <v>56</v>
      </c>
      <c r="C12" s="7">
        <f>95812189-59853959-7244043</f>
        <v>28714187</v>
      </c>
      <c r="D12" s="7">
        <v>7908239</v>
      </c>
      <c r="E12" s="7">
        <v>95812189</v>
      </c>
      <c r="F12" s="6">
        <f t="shared" si="0"/>
        <v>103720428</v>
      </c>
      <c r="G12" s="7">
        <f>4205973+1313068+70620+1191</f>
        <v>5590852</v>
      </c>
      <c r="H12" s="7">
        <f>404000+872000</f>
        <v>1276000</v>
      </c>
      <c r="I12" s="7">
        <v>34709774</v>
      </c>
      <c r="J12" s="7">
        <v>0</v>
      </c>
      <c r="K12" s="7">
        <v>1616616</v>
      </c>
      <c r="L12" s="7">
        <f t="shared" si="1"/>
        <v>37602390</v>
      </c>
      <c r="M12" s="7">
        <f t="shared" si="9"/>
        <v>43193242</v>
      </c>
      <c r="N12" s="6">
        <v>172110572</v>
      </c>
      <c r="O12" s="7">
        <v>3793315</v>
      </c>
      <c r="P12" s="6">
        <f t="shared" si="7"/>
        <v>46986557</v>
      </c>
      <c r="Q12" s="7">
        <v>56733871</v>
      </c>
      <c r="R12" s="6">
        <f t="shared" si="3"/>
        <v>56733871</v>
      </c>
      <c r="S12" s="7">
        <v>-19354144</v>
      </c>
      <c r="T12" s="7">
        <v>35163227</v>
      </c>
      <c r="U12" s="7">
        <v>2670855</v>
      </c>
      <c r="V12" s="7">
        <v>1957507</v>
      </c>
      <c r="W12" s="7">
        <v>2516719</v>
      </c>
      <c r="X12" s="7">
        <v>23703334</v>
      </c>
      <c r="Y12" s="7"/>
      <c r="Z12" s="7">
        <f t="shared" si="8"/>
        <v>30848415</v>
      </c>
      <c r="AA12" s="6">
        <f t="shared" si="4"/>
        <v>-4314812</v>
      </c>
      <c r="AB12" s="7">
        <v>-4314812</v>
      </c>
      <c r="AC12" s="7">
        <v>3386999</v>
      </c>
      <c r="AD12" s="7">
        <v>9079046</v>
      </c>
      <c r="AE12" s="7">
        <v>13356748</v>
      </c>
      <c r="AF12" s="7">
        <v>944609</v>
      </c>
      <c r="AG12" s="7">
        <v>9079046</v>
      </c>
      <c r="AH12" s="7">
        <v>20550430</v>
      </c>
      <c r="AI12" s="7">
        <v>24044033</v>
      </c>
      <c r="AJ12" s="7">
        <v>22259930</v>
      </c>
      <c r="AK12" s="6">
        <v>1784103</v>
      </c>
      <c r="AL12" s="6">
        <f t="shared" si="5"/>
        <v>1784103</v>
      </c>
      <c r="AM12" s="7">
        <v>29328871</v>
      </c>
      <c r="AN12" s="7">
        <v>34853535</v>
      </c>
      <c r="AO12" s="6">
        <v>-5524664</v>
      </c>
      <c r="AP12" s="6">
        <f t="shared" si="6"/>
        <v>-5524664</v>
      </c>
    </row>
    <row r="13" spans="1:44" x14ac:dyDescent="0.25">
      <c r="A13" s="7" t="s">
        <v>41</v>
      </c>
      <c r="B13" s="7" t="s">
        <v>40</v>
      </c>
      <c r="C13" s="7">
        <f>193096226-67231310-16158073</f>
        <v>109706843</v>
      </c>
      <c r="D13" s="7">
        <v>8710743</v>
      </c>
      <c r="E13" s="7">
        <v>193096226</v>
      </c>
      <c r="F13" s="6">
        <f t="shared" si="0"/>
        <v>201806969</v>
      </c>
      <c r="G13" s="7">
        <f>4926873+701992+1532742</f>
        <v>7161607</v>
      </c>
      <c r="H13" s="7">
        <f>35653+897297+480988</f>
        <v>1413938</v>
      </c>
      <c r="I13" s="7">
        <v>34872747</v>
      </c>
      <c r="J13" s="7">
        <v>0</v>
      </c>
      <c r="K13" s="7">
        <f>332640+25219498</f>
        <v>25552138</v>
      </c>
      <c r="L13" s="7">
        <f t="shared" si="1"/>
        <v>61838823</v>
      </c>
      <c r="M13" s="7">
        <f t="shared" si="9"/>
        <v>69000430</v>
      </c>
      <c r="N13" s="6">
        <v>69000430</v>
      </c>
      <c r="O13" s="7">
        <v>2164202</v>
      </c>
      <c r="P13" s="6">
        <f t="shared" si="7"/>
        <v>71164632</v>
      </c>
      <c r="Q13" s="7">
        <v>130642337</v>
      </c>
      <c r="R13" s="6">
        <f t="shared" si="3"/>
        <v>130642337</v>
      </c>
      <c r="S13" s="7">
        <v>39526263</v>
      </c>
      <c r="T13" s="7">
        <f>42122873</f>
        <v>42122873</v>
      </c>
      <c r="U13" s="7">
        <f>3063251</f>
        <v>3063251</v>
      </c>
      <c r="V13" s="7">
        <f>929109</f>
        <v>929109</v>
      </c>
      <c r="W13" s="7">
        <f>1438055</f>
        <v>1438055</v>
      </c>
      <c r="X13" s="7">
        <v>40504397</v>
      </c>
      <c r="Y13" s="7"/>
      <c r="Z13" s="7">
        <f t="shared" si="8"/>
        <v>45934812</v>
      </c>
      <c r="AA13" s="6">
        <f t="shared" si="4"/>
        <v>3811939</v>
      </c>
      <c r="AB13" s="7">
        <f>3811939</f>
        <v>3811939</v>
      </c>
      <c r="AC13" s="7">
        <v>54246048</v>
      </c>
      <c r="AD13" s="7">
        <v>895605</v>
      </c>
      <c r="AE13" s="7">
        <v>60509464</v>
      </c>
      <c r="AF13" s="7">
        <v>52053330</v>
      </c>
      <c r="AG13" s="7">
        <v>895605</v>
      </c>
      <c r="AH13" s="7">
        <v>76868134</v>
      </c>
      <c r="AI13" s="7">
        <f>39637652</f>
        <v>39637652</v>
      </c>
      <c r="AJ13" s="7">
        <v>27545924</v>
      </c>
      <c r="AK13" s="6">
        <v>12091728</v>
      </c>
      <c r="AL13" s="6">
        <f t="shared" si="5"/>
        <v>12091728</v>
      </c>
      <c r="AM13" s="7">
        <v>45970331</v>
      </c>
      <c r="AN13" s="7">
        <v>44606261</v>
      </c>
      <c r="AO13" s="6">
        <v>1364070</v>
      </c>
      <c r="AP13" s="6">
        <f t="shared" si="6"/>
        <v>1364070</v>
      </c>
    </row>
    <row r="14" spans="1:44" x14ac:dyDescent="0.25">
      <c r="A14" s="7" t="s">
        <v>36</v>
      </c>
      <c r="B14" s="7" t="s">
        <v>37</v>
      </c>
      <c r="C14" s="7">
        <f>78438274+233444+12522551+209199+5818298+3483624+235125+412932+3092668</f>
        <v>104446115</v>
      </c>
      <c r="D14" s="7">
        <v>17425177</v>
      </c>
      <c r="E14" s="7">
        <v>553082878</v>
      </c>
      <c r="F14" s="6">
        <f t="shared" si="0"/>
        <v>570508055</v>
      </c>
      <c r="G14" s="7">
        <f>8048203+117238+910884+1050947+47187</f>
        <v>10174459</v>
      </c>
      <c r="H14" s="7">
        <f>481544+2188753</f>
        <v>2670297</v>
      </c>
      <c r="I14" s="7">
        <v>23392462</v>
      </c>
      <c r="J14" s="7">
        <v>0</v>
      </c>
      <c r="K14" s="7">
        <f>3834833+23483703</f>
        <v>27318536</v>
      </c>
      <c r="L14" s="7">
        <f t="shared" si="1"/>
        <v>53381295</v>
      </c>
      <c r="M14" s="7">
        <f t="shared" si="9"/>
        <v>63555754</v>
      </c>
      <c r="N14" s="6">
        <v>63555754</v>
      </c>
      <c r="O14" s="7">
        <v>2674396</v>
      </c>
      <c r="P14" s="6">
        <f t="shared" si="7"/>
        <v>66230150</v>
      </c>
      <c r="Q14" s="7">
        <v>504277905</v>
      </c>
      <c r="R14" s="6">
        <f t="shared" si="3"/>
        <v>504277905</v>
      </c>
      <c r="S14" s="7">
        <v>-11565936</v>
      </c>
      <c r="T14" s="7">
        <v>96538715</v>
      </c>
      <c r="U14" s="7">
        <v>11214119</v>
      </c>
      <c r="V14" s="7">
        <v>35947470</v>
      </c>
      <c r="W14" s="7">
        <v>30233200</v>
      </c>
      <c r="X14" s="7">
        <v>36891788</v>
      </c>
      <c r="Y14" s="7"/>
      <c r="Z14" s="7">
        <f t="shared" si="8"/>
        <v>114286577</v>
      </c>
      <c r="AA14" s="6">
        <f t="shared" si="4"/>
        <v>17747862</v>
      </c>
      <c r="AB14" s="7">
        <v>17747862</v>
      </c>
      <c r="AC14" s="7">
        <v>9399666</v>
      </c>
      <c r="AD14" s="7">
        <v>0</v>
      </c>
      <c r="AE14" s="7">
        <v>9909803</v>
      </c>
      <c r="AF14" s="7">
        <v>9398641</v>
      </c>
      <c r="AG14" s="7">
        <v>0</v>
      </c>
      <c r="AH14" s="7">
        <v>86574337</v>
      </c>
      <c r="AI14" s="7">
        <v>48046404</v>
      </c>
      <c r="AJ14" s="7">
        <v>43723455</v>
      </c>
      <c r="AK14" s="6">
        <v>4322949</v>
      </c>
      <c r="AL14" s="6">
        <f t="shared" si="5"/>
        <v>4322949</v>
      </c>
      <c r="AM14" s="7">
        <v>78446698</v>
      </c>
      <c r="AN14" s="7">
        <v>80678614</v>
      </c>
      <c r="AO14" s="6">
        <v>-2231916</v>
      </c>
      <c r="AP14" s="6">
        <f t="shared" si="6"/>
        <v>-2231916</v>
      </c>
    </row>
    <row r="15" spans="1:44" x14ac:dyDescent="0.25">
      <c r="A15" s="7" t="s">
        <v>34</v>
      </c>
      <c r="B15" s="7" t="s">
        <v>35</v>
      </c>
      <c r="C15" s="7">
        <v>129431465</v>
      </c>
      <c r="D15" s="7">
        <v>21893003</v>
      </c>
      <c r="E15" s="7">
        <v>406492806</v>
      </c>
      <c r="F15" s="9">
        <f t="shared" si="0"/>
        <v>428385809</v>
      </c>
      <c r="G15" s="7">
        <f>4810529+964715+1585751+7937952</f>
        <v>15298947</v>
      </c>
      <c r="H15" s="7">
        <f>1987744+291652+351182</f>
        <v>2630578</v>
      </c>
      <c r="I15" s="7">
        <v>101822611</v>
      </c>
      <c r="J15" s="7">
        <v>0</v>
      </c>
      <c r="K15" s="7">
        <f>3751876+3836559+3356729</f>
        <v>10945164</v>
      </c>
      <c r="L15" s="7">
        <f t="shared" si="1"/>
        <v>115398353</v>
      </c>
      <c r="M15" s="7">
        <f t="shared" si="9"/>
        <v>130697300</v>
      </c>
      <c r="N15" s="6">
        <v>130697300</v>
      </c>
      <c r="O15" s="7">
        <v>3443859</v>
      </c>
      <c r="P15" s="6">
        <f t="shared" si="7"/>
        <v>134141159</v>
      </c>
      <c r="Q15" s="7">
        <v>294244650</v>
      </c>
      <c r="R15" s="6">
        <f t="shared" si="3"/>
        <v>294244650</v>
      </c>
      <c r="S15" s="7">
        <v>687344</v>
      </c>
      <c r="T15" s="7">
        <v>115305354</v>
      </c>
      <c r="U15" s="7">
        <v>50888850</v>
      </c>
      <c r="V15" s="7">
        <v>327047</v>
      </c>
      <c r="W15" s="7">
        <v>3570316</v>
      </c>
      <c r="X15" s="7">
        <v>62534128</v>
      </c>
      <c r="Y15" s="7"/>
      <c r="Z15" s="7">
        <f t="shared" si="8"/>
        <v>117320341</v>
      </c>
      <c r="AA15" s="6">
        <f t="shared" si="4"/>
        <v>2014987</v>
      </c>
      <c r="AB15" s="7">
        <v>2014987</v>
      </c>
      <c r="AC15" s="7">
        <v>3593630</v>
      </c>
      <c r="AD15" s="7">
        <v>14132196</v>
      </c>
      <c r="AE15" s="7">
        <v>54740325</v>
      </c>
      <c r="AF15" s="7">
        <v>3572702</v>
      </c>
      <c r="AG15" s="7">
        <v>16924942</v>
      </c>
      <c r="AH15" s="7">
        <v>100131761</v>
      </c>
      <c r="AI15" s="7">
        <v>87470958</v>
      </c>
      <c r="AJ15" s="7">
        <v>81322849</v>
      </c>
      <c r="AK15" s="6">
        <v>6148109</v>
      </c>
      <c r="AL15" s="6">
        <f t="shared" si="5"/>
        <v>6148109</v>
      </c>
      <c r="AM15" s="7">
        <v>101382935</v>
      </c>
      <c r="AN15" s="7">
        <v>103611559</v>
      </c>
      <c r="AO15" s="6">
        <v>-2228624</v>
      </c>
      <c r="AP15" s="6">
        <f t="shared" si="6"/>
        <v>-2228624</v>
      </c>
    </row>
    <row r="17" spans="3:6" x14ac:dyDescent="0.25">
      <c r="C17" s="1"/>
      <c r="F17" s="8"/>
    </row>
  </sheetData>
  <sortState ref="A2:AQ15">
    <sortCondition ref="A1"/>
  </sortState>
  <customSheetViews>
    <customSheetView guid="{DB2D0033-F361-44AB-9A99-1275719A68F3}">
      <pane ySplit="1" topLeftCell="A2" activePane="bottomLeft" state="frozen"/>
      <selection pane="bottomLeft" activeCell="Y2" sqref="Y2"/>
      <pageMargins left="0.7" right="0.7" top="0.75" bottom="0.75" header="0.3" footer="0.3"/>
      <pageSetup paperSize="9" orientation="portrait" r:id="rId1"/>
    </customSheetView>
    <customSheetView guid="{FAAF9AC7-76E7-4EFB-BDF2-C070ED37ADBE}" topLeftCell="U1">
      <pane ySplit="1" topLeftCell="A2" activePane="bottomLeft" state="frozen"/>
      <selection pane="bottomLeft" activeCell="W2" sqref="W2"/>
      <pageMargins left="0.7" right="0.7" top="0.75" bottom="0.75" header="0.3" footer="0.3"/>
      <pageSetup paperSize="9" orientation="portrait" r:id="rId2"/>
    </customSheetView>
    <customSheetView guid="{FD9231E0-2025-4169-82D7-1DD02EF43945}">
      <pane ySplit="1" topLeftCell="A2" activePane="bottomLeft" state="frozen"/>
      <selection pane="bottomLeft" activeCell="A3" sqref="A3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opLeftCell="Y1" workbookViewId="0">
      <selection activeCell="AF6" sqref="AF6"/>
    </sheetView>
  </sheetViews>
  <sheetFormatPr defaultRowHeight="15" x14ac:dyDescent="0.25"/>
  <cols>
    <col min="1" max="1" width="18.85546875" customWidth="1"/>
    <col min="2" max="2" width="75.28515625" bestFit="1" customWidth="1"/>
    <col min="3" max="3" width="11.5703125" bestFit="1" customWidth="1"/>
    <col min="5" max="5" width="11.5703125" bestFit="1" customWidth="1"/>
    <col min="7" max="7" width="12.5703125" bestFit="1" customWidth="1"/>
    <col min="8" max="8" width="11.5703125" bestFit="1" customWidth="1"/>
    <col min="9" max="9" width="10.5703125" bestFit="1" customWidth="1"/>
    <col min="10" max="10" width="11.5703125" bestFit="1" customWidth="1"/>
    <col min="11" max="12" width="10.5703125" bestFit="1" customWidth="1"/>
    <col min="13" max="15" width="11.5703125" bestFit="1" customWidth="1"/>
    <col min="16" max="17" width="9" customWidth="1"/>
    <col min="18" max="19" width="11.5703125" bestFit="1" customWidth="1"/>
    <col min="20" max="21" width="11.28515625" bestFit="1" customWidth="1"/>
    <col min="22" max="23" width="11.5703125" bestFit="1" customWidth="1"/>
    <col min="24" max="25" width="11.28515625" bestFit="1" customWidth="1"/>
    <col min="26" max="26" width="10.5703125" bestFit="1" customWidth="1"/>
    <col min="27" max="27" width="5.140625" customWidth="1"/>
    <col min="28" max="28" width="11.5703125" bestFit="1" customWidth="1"/>
    <col min="29" max="31" width="10.5703125" bestFit="1" customWidth="1"/>
    <col min="32" max="32" width="21.5703125" bestFit="1" customWidth="1"/>
    <col min="33" max="33" width="10.5703125" bestFit="1" customWidth="1"/>
    <col min="34" max="37" width="11.5703125" bestFit="1" customWidth="1"/>
  </cols>
  <sheetData>
    <row r="1" spans="1:2" x14ac:dyDescent="0.25">
      <c r="A1" t="s">
        <v>47</v>
      </c>
      <c r="B1" t="s">
        <v>57</v>
      </c>
    </row>
    <row r="2" spans="1:2" x14ac:dyDescent="0.25">
      <c r="A2" t="s">
        <v>48</v>
      </c>
      <c r="B2" t="s">
        <v>57</v>
      </c>
    </row>
    <row r="3" spans="1:2" x14ac:dyDescent="0.25">
      <c r="A3" t="s">
        <v>49</v>
      </c>
      <c r="B3" t="s">
        <v>57</v>
      </c>
    </row>
    <row r="4" spans="1:2" x14ac:dyDescent="0.25">
      <c r="A4" t="s">
        <v>33</v>
      </c>
      <c r="B4" t="s">
        <v>57</v>
      </c>
    </row>
    <row r="5" spans="1:2" x14ac:dyDescent="0.25">
      <c r="A5" t="s">
        <v>50</v>
      </c>
      <c r="B5" t="s">
        <v>57</v>
      </c>
    </row>
    <row r="6" spans="1:2" x14ac:dyDescent="0.25">
      <c r="A6" t="s">
        <v>51</v>
      </c>
      <c r="B6" t="s">
        <v>57</v>
      </c>
    </row>
    <row r="7" spans="1:2" x14ac:dyDescent="0.25">
      <c r="A7" t="s">
        <v>52</v>
      </c>
      <c r="B7" t="s">
        <v>57</v>
      </c>
    </row>
    <row r="8" spans="1:2" x14ac:dyDescent="0.25">
      <c r="A8" t="s">
        <v>53</v>
      </c>
      <c r="B8" t="s">
        <v>57</v>
      </c>
    </row>
    <row r="9" spans="1:2" x14ac:dyDescent="0.25">
      <c r="A9" t="s">
        <v>54</v>
      </c>
      <c r="B9" t="s">
        <v>57</v>
      </c>
    </row>
    <row r="10" spans="1:2" x14ac:dyDescent="0.25">
      <c r="A10" t="s">
        <v>55</v>
      </c>
      <c r="B10" t="s">
        <v>57</v>
      </c>
    </row>
    <row r="11" spans="1:2" x14ac:dyDescent="0.25">
      <c r="A11" t="s">
        <v>56</v>
      </c>
    </row>
    <row r="12" spans="1:2" x14ac:dyDescent="0.25">
      <c r="A12" t="s">
        <v>40</v>
      </c>
      <c r="B12" t="s">
        <v>57</v>
      </c>
    </row>
    <row r="13" spans="1:2" x14ac:dyDescent="0.25">
      <c r="A13" t="s">
        <v>37</v>
      </c>
      <c r="B13" t="s">
        <v>57</v>
      </c>
    </row>
    <row r="14" spans="1:2" x14ac:dyDescent="0.25">
      <c r="A14" t="s">
        <v>35</v>
      </c>
      <c r="B14" t="s">
        <v>57</v>
      </c>
    </row>
  </sheetData>
  <customSheetViews>
    <customSheetView guid="{DB2D0033-F361-44AB-9A99-1275719A68F3}" state="hidden" topLeftCell="Y1">
      <selection activeCell="AF6" sqref="AF6"/>
      <pageMargins left="0.7" right="0.7" top="0.75" bottom="0.75" header="0.3" footer="0.3"/>
    </customSheetView>
    <customSheetView guid="{FAAF9AC7-76E7-4EFB-BDF2-C070ED37ADBE}" topLeftCell="Y1">
      <selection activeCell="AF18" sqref="AF18"/>
      <pageMargins left="0.7" right="0.7" top="0.75" bottom="0.75" header="0.3" footer="0.3"/>
    </customSheetView>
    <customSheetView guid="{FD9231E0-2025-4169-82D7-1DD02EF43945}" state="hidden" topLeftCell="Y1">
      <selection activeCell="AF6" sqref="AF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 Costa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Marc</cp:lastModifiedBy>
  <dcterms:created xsi:type="dcterms:W3CDTF">2018-02-20T06:30:16Z</dcterms:created>
  <dcterms:modified xsi:type="dcterms:W3CDTF">2018-03-02T13:30:12Z</dcterms:modified>
</cp:coreProperties>
</file>