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ngine Sizing" sheetId="1" r:id="rId4"/>
    <sheet state="visible" name="Tie Rod Force" sheetId="2" r:id="rId5"/>
    <sheet state="visible" name="Bending Plate" sheetId="3" r:id="rId6"/>
    <sheet state="visible" name="Fits" sheetId="4" r:id="rId7"/>
    <sheet state="visible" name="Fuel Tank Plates" sheetId="5" r:id="rId8"/>
  </sheets>
  <definedNames/>
  <calcPr/>
</workbook>
</file>

<file path=xl/sharedStrings.xml><?xml version="1.0" encoding="utf-8"?>
<sst xmlns="http://schemas.openxmlformats.org/spreadsheetml/2006/main" count="137" uniqueCount="117">
  <si>
    <t>INPUT FROM CEA INFO (Based on propellants and MR)</t>
  </si>
  <si>
    <t>INPUTS</t>
  </si>
  <si>
    <t xml:space="preserve">OUTPUTS </t>
  </si>
  <si>
    <t xml:space="preserve">Gamma </t>
  </si>
  <si>
    <t xml:space="preserve">Pc (psi) </t>
  </si>
  <si>
    <t>(Pa)</t>
  </si>
  <si>
    <t>ve (m/s)</t>
  </si>
  <si>
    <t>Molecular Weight (g/mol)</t>
  </si>
  <si>
    <t>mdot (kg/s)</t>
  </si>
  <si>
    <t>F (N)</t>
  </si>
  <si>
    <t>(lbf)</t>
  </si>
  <si>
    <t>Chamber Temperature (K)</t>
  </si>
  <si>
    <t>At (m^2)</t>
  </si>
  <si>
    <t>(in^2)</t>
  </si>
  <si>
    <t xml:space="preserve">MR </t>
  </si>
  <si>
    <t>Dt (m)</t>
  </si>
  <si>
    <t>(in)</t>
  </si>
  <si>
    <t>c* (m/s)</t>
  </si>
  <si>
    <t>Te (K)</t>
  </si>
  <si>
    <t>R(j/mol K)</t>
  </si>
  <si>
    <t xml:space="preserve">Me </t>
  </si>
  <si>
    <t>e (area ratio)</t>
  </si>
  <si>
    <t>Ae (m^2)</t>
  </si>
  <si>
    <t xml:space="preserve">De(m) </t>
  </si>
  <si>
    <t xml:space="preserve">Constants </t>
  </si>
  <si>
    <t>Ru (j/mol K)</t>
  </si>
  <si>
    <t>Pe (Pa)</t>
  </si>
  <si>
    <t xml:space="preserve">NECESSARY GASKET CLAMP </t>
  </si>
  <si>
    <t>Gasket Reference</t>
  </si>
  <si>
    <t xml:space="preserve">Heat Expansion </t>
  </si>
  <si>
    <t xml:space="preserve">Chamber Axial Stresses </t>
  </si>
  <si>
    <t xml:space="preserve">6061 Strength </t>
  </si>
  <si>
    <t xml:space="preserve">b - gasket width </t>
  </si>
  <si>
    <t>Gasket Handbook</t>
  </si>
  <si>
    <t>Chamber Temp (F)</t>
  </si>
  <si>
    <t xml:space="preserve">Di </t>
  </si>
  <si>
    <t xml:space="preserve">YLD </t>
  </si>
  <si>
    <t xml:space="preserve">G - Diameter at gasket </t>
  </si>
  <si>
    <t>GRASEALTM Gaskets</t>
  </si>
  <si>
    <t xml:space="preserve">Length Initial (in) </t>
  </si>
  <si>
    <t xml:space="preserve">Do </t>
  </si>
  <si>
    <t>ULT</t>
  </si>
  <si>
    <t>y - minimum seating stress (psi)</t>
  </si>
  <si>
    <t>Thermal Expansion Coeff.</t>
  </si>
  <si>
    <t>m</t>
  </si>
  <si>
    <t xml:space="preserve">Area </t>
  </si>
  <si>
    <t>Brass 360 Strength</t>
  </si>
  <si>
    <t>P - Design Pressure</t>
  </si>
  <si>
    <t>Displacement (in)</t>
  </si>
  <si>
    <t>Allowable Seating Stress - Graphite</t>
  </si>
  <si>
    <t xml:space="preserve">Stress Preload </t>
  </si>
  <si>
    <t xml:space="preserve">ULT </t>
  </si>
  <si>
    <t># of bolts</t>
  </si>
  <si>
    <t xml:space="preserve">Additional Bolt Tension Force </t>
  </si>
  <si>
    <t xml:space="preserve">K Factor </t>
  </si>
  <si>
    <t xml:space="preserve">Bolt E (psi) </t>
  </si>
  <si>
    <t xml:space="preserve">Total Bolt Load Expansion </t>
  </si>
  <si>
    <t xml:space="preserve">D Bolt </t>
  </si>
  <si>
    <t xml:space="preserve">Bolt Length Initial </t>
  </si>
  <si>
    <t>Heat Expansion Stress</t>
  </si>
  <si>
    <t>Bolt Area</t>
  </si>
  <si>
    <t>Total Stress</t>
  </si>
  <si>
    <t xml:space="preserve">Area Clamp </t>
  </si>
  <si>
    <t xml:space="preserve">Bolt Strain </t>
  </si>
  <si>
    <t xml:space="preserve">FOS YLD </t>
  </si>
  <si>
    <t>Wm2 - Seating</t>
  </si>
  <si>
    <t xml:space="preserve">FOS ULT </t>
  </si>
  <si>
    <t>Wm1 - Operating</t>
  </si>
  <si>
    <t>Load - Heat Expansion</t>
  </si>
  <si>
    <t xml:space="preserve">Stress </t>
  </si>
  <si>
    <t>Bolt Force - Seating</t>
  </si>
  <si>
    <t xml:space="preserve">Bolt Area </t>
  </si>
  <si>
    <t xml:space="preserve">Bolt FOS YLD - Seating Pressure </t>
  </si>
  <si>
    <t>Torque Required</t>
  </si>
  <si>
    <t xml:space="preserve">ft lbs </t>
  </si>
  <si>
    <t>Grade 8 Bolt Strength ULT</t>
  </si>
  <si>
    <t>Bolt Yield Strength</t>
  </si>
  <si>
    <t xml:space="preserve">FOS Ultimate </t>
  </si>
  <si>
    <t>FOS YLD</t>
  </si>
  <si>
    <t>a</t>
  </si>
  <si>
    <t xml:space="preserve">A36 </t>
  </si>
  <si>
    <t>AR500</t>
  </si>
  <si>
    <t>b</t>
  </si>
  <si>
    <t xml:space="preserve">v </t>
  </si>
  <si>
    <t xml:space="preserve">P </t>
  </si>
  <si>
    <t>Sigma Allow</t>
  </si>
  <si>
    <t xml:space="preserve">FOS </t>
  </si>
  <si>
    <t xml:space="preserve">w </t>
  </si>
  <si>
    <t xml:space="preserve">Roarks Case 1K Plate </t>
  </si>
  <si>
    <t>YLD</t>
  </si>
  <si>
    <t>C9</t>
  </si>
  <si>
    <t>C7</t>
  </si>
  <si>
    <t xml:space="preserve">Mmax </t>
  </si>
  <si>
    <t xml:space="preserve">tmin </t>
  </si>
  <si>
    <t xml:space="preserve">Feature </t>
  </si>
  <si>
    <t>HOLE/SHAFT?</t>
  </si>
  <si>
    <t xml:space="preserve">D Nominal </t>
  </si>
  <si>
    <t xml:space="preserve">Tolerance </t>
  </si>
  <si>
    <t>MMC Diameter</t>
  </si>
  <si>
    <t xml:space="preserve">FIT? </t>
  </si>
  <si>
    <t>Tube Tol Ref</t>
  </si>
  <si>
    <t>https://assets-global.website-files.com/60db8bfaa436859b1c9de7cc/6117020f9fc4c51b883ef0ec_Aluminum%20Tubing.pdf</t>
  </si>
  <si>
    <t>Chamber ID</t>
  </si>
  <si>
    <t>HOLE</t>
  </si>
  <si>
    <t xml:space="preserve">Nozzle Spigot Male </t>
  </si>
  <si>
    <t>SHAFT</t>
  </si>
  <si>
    <t xml:space="preserve">Injector Aft Spigot </t>
  </si>
  <si>
    <t>Torque ft-lbs)</t>
  </si>
  <si>
    <t xml:space="preserve">Clamp Force </t>
  </si>
  <si>
    <t>Ro</t>
  </si>
  <si>
    <t>E</t>
  </si>
  <si>
    <t>t</t>
  </si>
  <si>
    <t>L9</t>
  </si>
  <si>
    <t>D</t>
  </si>
  <si>
    <t xml:space="preserve">Theta </t>
  </si>
  <si>
    <t>M</t>
  </si>
  <si>
    <t>Stress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</si>
</sst>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,##0.0000"/>
    <numFmt numFmtId="165" formatCode="#,##0.000"/>
  </numFmts>
  <fonts count="8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rgb="FF000000"/>
      <name val="Arial"/>
      <scheme val="minor"/>
    </font>
    <font>
      <b/>
      <u/>
      <color theme="1"/>
      <name val="Arial"/>
      <scheme val="minor"/>
    </font>
    <font>
      <u/>
      <color rgb="FF0000FF"/>
    </font>
    <font>
      <b/>
      <u/>
      <color theme="1"/>
      <name val="Arial"/>
      <scheme val="minor"/>
    </font>
    <font>
      <u/>
      <color rgb="FF0000FF"/>
    </font>
  </fonts>
  <fills count="9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  <fill>
      <patternFill patternType="solid">
        <fgColor rgb="FF6AA84F"/>
        <bgColor rgb="FF6AA84F"/>
      </patternFill>
    </fill>
    <fill>
      <patternFill patternType="solid">
        <fgColor rgb="FF00FFFF"/>
        <bgColor rgb="FF00FFFF"/>
      </patternFill>
    </fill>
    <fill>
      <patternFill patternType="solid">
        <fgColor rgb="FFFFD966"/>
        <bgColor rgb="FFFFD966"/>
      </patternFill>
    </fill>
    <fill>
      <patternFill patternType="solid">
        <fgColor rgb="FFF1C232"/>
        <bgColor rgb="FFF1C232"/>
      </patternFill>
    </fill>
    <fill>
      <patternFill patternType="solid">
        <fgColor rgb="FFEFEFEF"/>
        <bgColor rgb="FFEFEFEF"/>
      </patternFill>
    </fill>
    <fill>
      <patternFill patternType="solid">
        <fgColor rgb="FFF9CB9C"/>
        <bgColor rgb="FFF9CB9C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6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 shrinkToFit="0" vertical="top" wrapText="0"/>
    </xf>
    <xf borderId="0" fillId="2" fontId="2" numFmtId="0" xfId="0" applyFont="1"/>
    <xf borderId="0" fillId="3" fontId="1" numFmtId="0" xfId="0" applyAlignment="1" applyFill="1" applyFont="1">
      <alignment readingOrder="0"/>
    </xf>
    <xf borderId="0" fillId="3" fontId="2" numFmtId="0" xfId="0" applyFont="1"/>
    <xf borderId="0" fillId="4" fontId="1" numFmtId="0" xfId="0" applyAlignment="1" applyFill="1" applyFont="1">
      <alignment readingOrder="0"/>
    </xf>
    <xf borderId="0" fillId="4" fontId="2" numFmtId="0" xfId="0" applyFont="1"/>
    <xf borderId="0" fillId="2" fontId="2" numFmtId="0" xfId="0" applyAlignment="1" applyFont="1">
      <alignment readingOrder="0"/>
    </xf>
    <xf borderId="1" fillId="2" fontId="2" numFmtId="0" xfId="0" applyAlignment="1" applyBorder="1" applyFont="1">
      <alignment readingOrder="0"/>
    </xf>
    <xf borderId="0" fillId="3" fontId="2" numFmtId="0" xfId="0" applyAlignment="1" applyFont="1">
      <alignment readingOrder="0"/>
    </xf>
    <xf borderId="1" fillId="3" fontId="2" numFmtId="0" xfId="0" applyAlignment="1" applyBorder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4" fontId="2" numFmtId="0" xfId="0" applyAlignment="1" applyFont="1">
      <alignment readingOrder="0"/>
    </xf>
    <xf borderId="0" fillId="4" fontId="1" numFmtId="0" xfId="0" applyFont="1"/>
    <xf borderId="0" fillId="0" fontId="1" numFmtId="0" xfId="0" applyAlignment="1" applyFont="1">
      <alignment readingOrder="0"/>
    </xf>
    <xf borderId="2" fillId="5" fontId="3" numFmtId="0" xfId="0" applyAlignment="1" applyBorder="1" applyFill="1" applyFont="1">
      <alignment readingOrder="0"/>
    </xf>
    <xf borderId="3" fillId="5" fontId="3" numFmtId="0" xfId="0" applyBorder="1" applyFont="1"/>
    <xf borderId="3" fillId="0" fontId="2" numFmtId="0" xfId="0" applyBorder="1" applyFont="1"/>
    <xf borderId="4" fillId="0" fontId="2" numFmtId="0" xfId="0" applyAlignment="1" applyBorder="1" applyFont="1">
      <alignment readingOrder="0"/>
    </xf>
    <xf borderId="2" fillId="2" fontId="4" numFmtId="0" xfId="0" applyAlignment="1" applyBorder="1" applyFont="1">
      <alignment readingOrder="0"/>
    </xf>
    <xf borderId="4" fillId="2" fontId="2" numFmtId="0" xfId="0" applyBorder="1" applyFont="1"/>
    <xf borderId="2" fillId="0" fontId="2" numFmtId="0" xfId="0" applyAlignment="1" applyBorder="1" applyFont="1">
      <alignment readingOrder="0"/>
    </xf>
    <xf borderId="3" fillId="0" fontId="2" numFmtId="0" xfId="0" applyAlignment="1" applyBorder="1" applyFont="1">
      <alignment readingOrder="0"/>
    </xf>
    <xf borderId="4" fillId="0" fontId="2" numFmtId="0" xfId="0" applyBorder="1" applyFont="1"/>
    <xf borderId="5" fillId="5" fontId="3" numFmtId="0" xfId="0" applyAlignment="1" applyBorder="1" applyFont="1">
      <alignment readingOrder="0"/>
    </xf>
    <xf borderId="0" fillId="5" fontId="3" numFmtId="0" xfId="0" applyAlignment="1" applyFont="1">
      <alignment readingOrder="0"/>
    </xf>
    <xf borderId="6" fillId="0" fontId="5" numFmtId="0" xfId="0" applyAlignment="1" applyBorder="1" applyFont="1">
      <alignment readingOrder="0"/>
    </xf>
    <xf borderId="5" fillId="2" fontId="2" numFmtId="0" xfId="0" applyAlignment="1" applyBorder="1" applyFont="1">
      <alignment readingOrder="0"/>
    </xf>
    <xf borderId="6" fillId="2" fontId="2" numFmtId="0" xfId="0" applyAlignment="1" applyBorder="1" applyFont="1">
      <alignment readingOrder="0"/>
    </xf>
    <xf borderId="5" fillId="0" fontId="2" numFmtId="0" xfId="0" applyAlignment="1" applyBorder="1" applyFont="1">
      <alignment readingOrder="0"/>
    </xf>
    <xf borderId="6" fillId="0" fontId="2" numFmtId="0" xfId="0" applyAlignment="1" applyBorder="1" applyFont="1">
      <alignment readingOrder="0"/>
    </xf>
    <xf borderId="6" fillId="0" fontId="2" numFmtId="0" xfId="0" applyBorder="1" applyFont="1"/>
    <xf borderId="6" fillId="2" fontId="2" numFmtId="11" xfId="0" applyAlignment="1" applyBorder="1" applyFont="1" applyNumberFormat="1">
      <alignment readingOrder="0"/>
    </xf>
    <xf borderId="5" fillId="0" fontId="2" numFmtId="0" xfId="0" applyBorder="1" applyFont="1"/>
    <xf borderId="5" fillId="2" fontId="2" numFmtId="0" xfId="0" applyBorder="1" applyFont="1"/>
    <xf borderId="6" fillId="2" fontId="2" numFmtId="0" xfId="0" applyBorder="1" applyFont="1"/>
    <xf borderId="7" fillId="2" fontId="2" numFmtId="0" xfId="0" applyAlignment="1" applyBorder="1" applyFont="1">
      <alignment readingOrder="0"/>
    </xf>
    <xf borderId="8" fillId="2" fontId="2" numFmtId="164" xfId="0" applyBorder="1" applyFont="1" applyNumberFormat="1"/>
    <xf borderId="2" fillId="0" fontId="6" numFmtId="0" xfId="0" applyAlignment="1" applyBorder="1" applyFont="1">
      <alignment readingOrder="0"/>
    </xf>
    <xf borderId="5" fillId="6" fontId="2" numFmtId="0" xfId="0" applyAlignment="1" applyBorder="1" applyFill="1" applyFont="1">
      <alignment readingOrder="0"/>
    </xf>
    <xf borderId="0" fillId="6" fontId="2" numFmtId="0" xfId="0" applyAlignment="1" applyFont="1">
      <alignment readingOrder="0"/>
    </xf>
    <xf borderId="5" fillId="7" fontId="2" numFmtId="0" xfId="0" applyAlignment="1" applyBorder="1" applyFill="1" applyFont="1">
      <alignment readingOrder="0"/>
    </xf>
    <xf borderId="0" fillId="7" fontId="2" numFmtId="0" xfId="0" applyFont="1"/>
    <xf borderId="7" fillId="0" fontId="2" numFmtId="0" xfId="0" applyAlignment="1" applyBorder="1" applyFont="1">
      <alignment readingOrder="0"/>
    </xf>
    <xf borderId="9" fillId="0" fontId="2" numFmtId="0" xfId="0" applyBorder="1" applyFont="1"/>
    <xf borderId="8" fillId="0" fontId="2" numFmtId="0" xfId="0" applyBorder="1" applyFont="1"/>
    <xf borderId="5" fillId="7" fontId="2" numFmtId="0" xfId="0" applyBorder="1" applyFont="1"/>
    <xf borderId="5" fillId="0" fontId="1" numFmtId="0" xfId="0" applyAlignment="1" applyBorder="1" applyFont="1">
      <alignment readingOrder="0"/>
    </xf>
    <xf borderId="0" fillId="0" fontId="1" numFmtId="0" xfId="0" applyFont="1"/>
    <xf borderId="5" fillId="8" fontId="2" numFmtId="0" xfId="0" applyAlignment="1" applyBorder="1" applyFill="1" applyFont="1">
      <alignment readingOrder="0"/>
    </xf>
    <xf borderId="0" fillId="8" fontId="2" numFmtId="0" xfId="0" applyFont="1"/>
    <xf borderId="0" fillId="8" fontId="2" numFmtId="0" xfId="0" applyAlignment="1" applyFont="1">
      <alignment readingOrder="0"/>
    </xf>
    <xf borderId="6" fillId="8" fontId="2" numFmtId="0" xfId="0" applyBorder="1" applyFont="1"/>
    <xf borderId="6" fillId="0" fontId="1" numFmtId="0" xfId="0" applyAlignment="1" applyBorder="1" applyFont="1">
      <alignment readingOrder="0"/>
    </xf>
    <xf borderId="7" fillId="8" fontId="2" numFmtId="0" xfId="0" applyAlignment="1" applyBorder="1" applyFont="1">
      <alignment readingOrder="0"/>
    </xf>
    <xf borderId="9" fillId="8" fontId="2" numFmtId="0" xfId="0" applyBorder="1" applyFont="1"/>
    <xf borderId="0" fillId="0" fontId="2" numFmtId="165" xfId="0" applyAlignment="1" applyFont="1" applyNumberFormat="1">
      <alignment readingOrder="0"/>
    </xf>
    <xf borderId="0" fillId="0" fontId="2" numFmtId="165" xfId="0" applyFont="1" applyNumberFormat="1"/>
    <xf borderId="0" fillId="0" fontId="7" numFmtId="0" xfId="0" applyAlignment="1" applyFont="1">
      <alignment readingOrder="0" shrinkToFit="0" wrapText="1"/>
    </xf>
    <xf borderId="0" fillId="0" fontId="2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533400</xdr:colOff>
      <xdr:row>13</xdr:row>
      <xdr:rowOff>123825</xdr:rowOff>
    </xdr:from>
    <xdr:ext cx="7162800" cy="403860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0</xdr:colOff>
      <xdr:row>18</xdr:row>
      <xdr:rowOff>0</xdr:rowOff>
    </xdr:from>
    <xdr:ext cx="7162800" cy="4038600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142875</xdr:colOff>
      <xdr:row>12</xdr:row>
      <xdr:rowOff>95250</xdr:rowOff>
    </xdr:from>
    <xdr:ext cx="7162800" cy="4038600"/>
    <xdr:pic>
      <xdr:nvPicPr>
        <xdr:cNvPr id="0" name="image3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352425</xdr:colOff>
      <xdr:row>8</xdr:row>
      <xdr:rowOff>95250</xdr:rowOff>
    </xdr:from>
    <xdr:ext cx="5924550" cy="3333750"/>
    <xdr:pic>
      <xdr:nvPicPr>
        <xdr:cNvPr id="0" name="image4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aspseal.com/pdf/gasket-material/Non-Asbestos/Lamons-Gasket-Handbook.pdf" TargetMode="External"/><Relationship Id="rId2" Type="http://schemas.openxmlformats.org/officeDocument/2006/relationships/hyperlink" Target="https://www.nichias.eu/media/23629/graseal-gasket.pdf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assets-global.website-files.com/60db8bfaa436859b1c9de7cc/6117020f9fc4c51b883ef0ec_Aluminum%20Tubing.pdf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53.75"/>
    <col customWidth="1" min="3" max="3" width="19.63"/>
    <col customWidth="1" min="8" max="8" width="45.38"/>
  </cols>
  <sheetData>
    <row r="1" ht="40.5" customHeight="1">
      <c r="A1" s="1" t="s">
        <v>0</v>
      </c>
      <c r="B1" s="2"/>
      <c r="C1" s="3" t="s">
        <v>1</v>
      </c>
      <c r="D1" s="4"/>
      <c r="G1" s="5" t="s">
        <v>2</v>
      </c>
      <c r="H1" s="6"/>
      <c r="I1" s="6"/>
      <c r="J1" s="6"/>
    </row>
    <row r="2">
      <c r="A2" s="7" t="s">
        <v>3</v>
      </c>
      <c r="B2" s="8">
        <v>1.3</v>
      </c>
      <c r="C2" s="9" t="s">
        <v>4</v>
      </c>
      <c r="D2" s="10">
        <v>150.0</v>
      </c>
      <c r="E2" s="11" t="s">
        <v>5</v>
      </c>
      <c r="F2" s="12">
        <f>D2*6894.76</f>
        <v>1034214</v>
      </c>
      <c r="G2" s="13" t="s">
        <v>6</v>
      </c>
      <c r="H2" s="6">
        <f>SQRT(((2*B2)/(B2-1))*B8*B4*(1-(B15/F2)^((B2-1)/B2)))</f>
        <v>1230.562964</v>
      </c>
      <c r="I2" s="6"/>
      <c r="J2" s="6"/>
    </row>
    <row r="3">
      <c r="A3" s="7" t="s">
        <v>7</v>
      </c>
      <c r="B3" s="8">
        <f>0.017*1000</f>
        <v>17</v>
      </c>
      <c r="C3" s="9" t="s">
        <v>8</v>
      </c>
      <c r="D3" s="10">
        <v>0.75</v>
      </c>
      <c r="G3" s="5" t="s">
        <v>9</v>
      </c>
      <c r="H3" s="14">
        <f>H2*D3</f>
        <v>922.9222231</v>
      </c>
      <c r="I3" s="5" t="s">
        <v>10</v>
      </c>
      <c r="J3" s="14">
        <f>CONVERT(H3,"N","lbf")</f>
        <v>207.4811695</v>
      </c>
    </row>
    <row r="4">
      <c r="A4" s="7" t="s">
        <v>11</v>
      </c>
      <c r="B4" s="8">
        <v>860.0</v>
      </c>
      <c r="C4" s="4"/>
      <c r="D4" s="4"/>
      <c r="G4" s="13" t="s">
        <v>12</v>
      </c>
      <c r="H4" s="6">
        <f>D3*B6/F2</f>
        <v>0.0009688517077</v>
      </c>
      <c r="I4" s="13" t="s">
        <v>13</v>
      </c>
      <c r="J4" s="6">
        <f>CONVERT(H4,"m2","in2")</f>
        <v>1.50172315</v>
      </c>
    </row>
    <row r="5">
      <c r="A5" s="7" t="s">
        <v>14</v>
      </c>
      <c r="B5" s="8">
        <v>1.7</v>
      </c>
      <c r="C5" s="4"/>
      <c r="D5" s="4"/>
      <c r="G5" s="13" t="s">
        <v>15</v>
      </c>
      <c r="H5" s="6">
        <f>sqrt(4*H4/PI())</f>
        <v>0.03512236193</v>
      </c>
      <c r="I5" s="13" t="s">
        <v>16</v>
      </c>
      <c r="J5" s="6">
        <f>CONVERT(H5,"m","in")</f>
        <v>1.382770155</v>
      </c>
    </row>
    <row r="6">
      <c r="A6" s="7" t="s">
        <v>17</v>
      </c>
      <c r="B6" s="8">
        <v>1336.0</v>
      </c>
      <c r="C6" s="4"/>
      <c r="D6" s="4"/>
      <c r="G6" s="13"/>
      <c r="H6" s="6"/>
      <c r="I6" s="6"/>
      <c r="J6" s="6"/>
    </row>
    <row r="7">
      <c r="G7" s="13" t="s">
        <v>18</v>
      </c>
      <c r="H7" s="6">
        <f>B4/((F2/B15)^((B2-1)/B2))</f>
        <v>502.7531808</v>
      </c>
      <c r="I7" s="6"/>
      <c r="J7" s="6"/>
    </row>
    <row r="8">
      <c r="A8" s="11" t="s">
        <v>19</v>
      </c>
      <c r="B8" s="12">
        <f>B14/(B3/1000)</f>
        <v>489.0882353</v>
      </c>
      <c r="G8" s="13" t="s">
        <v>20</v>
      </c>
      <c r="H8" s="6">
        <f> H2/(SQRT(B2*B8*H7))</f>
        <v>2.176512383</v>
      </c>
      <c r="I8" s="6"/>
      <c r="J8" s="6"/>
    </row>
    <row r="9">
      <c r="G9" s="13" t="s">
        <v>21</v>
      </c>
      <c r="H9" s="6">
        <f>(1/H8)*((1+((B2-1)/2)*(H8^2))/((B2+1)/2))^((B2+1)/(2*(B2-1)))</f>
        <v>2.105140223</v>
      </c>
      <c r="I9" s="6"/>
      <c r="J9" s="6"/>
    </row>
    <row r="10">
      <c r="G10" s="13" t="s">
        <v>22</v>
      </c>
      <c r="H10" s="6">
        <f>H9*H4</f>
        <v>0.0020395687</v>
      </c>
      <c r="I10" s="13" t="s">
        <v>13</v>
      </c>
      <c r="J10" s="6">
        <f>CONVERT(H10,"m2","in2")</f>
        <v>3.161337808</v>
      </c>
    </row>
    <row r="11">
      <c r="G11" s="13" t="s">
        <v>23</v>
      </c>
      <c r="H11" s="6">
        <f>sqrt(H10*4/PI())</f>
        <v>0.05095939092</v>
      </c>
      <c r="I11" s="13" t="s">
        <v>16</v>
      </c>
      <c r="J11" s="6">
        <f>CONVERT(H11,"m","in")</f>
        <v>2.006275233</v>
      </c>
    </row>
    <row r="13">
      <c r="A13" s="15" t="s">
        <v>24</v>
      </c>
    </row>
    <row r="14">
      <c r="A14" s="11" t="s">
        <v>25</v>
      </c>
      <c r="B14" s="11">
        <v>8.3145</v>
      </c>
    </row>
    <row r="15">
      <c r="A15" s="11" t="s">
        <v>26</v>
      </c>
      <c r="B15" s="11">
        <v>101000.0</v>
      </c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1.0"/>
    <col customWidth="1" min="4" max="4" width="18.0"/>
    <col customWidth="1" min="5" max="5" width="25.25"/>
    <col customWidth="1" min="6" max="6" width="19.88"/>
    <col customWidth="1" min="8" max="8" width="18.88"/>
    <col customWidth="1" min="10" max="10" width="15.25"/>
    <col customWidth="1" min="11" max="11" width="16.75"/>
    <col customWidth="1" min="13" max="13" width="16.13"/>
  </cols>
  <sheetData>
    <row r="1">
      <c r="A1" s="16" t="s">
        <v>27</v>
      </c>
      <c r="B1" s="17"/>
      <c r="C1" s="18"/>
      <c r="D1" s="19" t="s">
        <v>28</v>
      </c>
      <c r="F1" s="20" t="s">
        <v>29</v>
      </c>
      <c r="G1" s="21"/>
      <c r="K1" s="22" t="s">
        <v>30</v>
      </c>
      <c r="L1" s="18"/>
      <c r="M1" s="18"/>
      <c r="N1" s="23" t="s">
        <v>31</v>
      </c>
      <c r="O1" s="24"/>
    </row>
    <row r="2">
      <c r="A2" s="25" t="s">
        <v>32</v>
      </c>
      <c r="B2" s="26">
        <f>0.25/2</f>
        <v>0.125</v>
      </c>
      <c r="D2" s="27" t="s">
        <v>33</v>
      </c>
      <c r="F2" s="28" t="s">
        <v>34</v>
      </c>
      <c r="G2" s="29">
        <v>400.0</v>
      </c>
      <c r="K2" s="30" t="s">
        <v>35</v>
      </c>
      <c r="L2" s="11">
        <v>3.5</v>
      </c>
      <c r="N2" s="11" t="s">
        <v>36</v>
      </c>
      <c r="O2" s="31">
        <v>40000.0</v>
      </c>
    </row>
    <row r="3">
      <c r="A3" s="25" t="s">
        <v>37</v>
      </c>
      <c r="B3" s="26">
        <v>3.625</v>
      </c>
      <c r="D3" s="27" t="s">
        <v>38</v>
      </c>
      <c r="F3" s="28" t="s">
        <v>39</v>
      </c>
      <c r="G3" s="29">
        <v>6.0</v>
      </c>
      <c r="K3" s="30" t="s">
        <v>40</v>
      </c>
      <c r="L3" s="11">
        <v>4.0</v>
      </c>
      <c r="N3" s="11" t="s">
        <v>41</v>
      </c>
      <c r="O3" s="31">
        <v>45000.0</v>
      </c>
    </row>
    <row r="4">
      <c r="A4" s="25" t="s">
        <v>42</v>
      </c>
      <c r="B4" s="26">
        <v>7100.0</v>
      </c>
      <c r="D4" s="32"/>
      <c r="F4" s="28" t="s">
        <v>43</v>
      </c>
      <c r="G4" s="33">
        <v>1.3E-5</v>
      </c>
      <c r="K4" s="34"/>
      <c r="O4" s="32"/>
    </row>
    <row r="5">
      <c r="A5" s="25" t="s">
        <v>44</v>
      </c>
      <c r="B5" s="26">
        <v>2.0</v>
      </c>
      <c r="D5" s="32"/>
      <c r="F5" s="35"/>
      <c r="G5" s="36"/>
      <c r="K5" s="30" t="s">
        <v>45</v>
      </c>
      <c r="L5" s="12">
        <f>PI()/4*(L3^2-L2^2)</f>
        <v>2.945243113</v>
      </c>
      <c r="N5" s="11" t="s">
        <v>46</v>
      </c>
      <c r="O5" s="32"/>
    </row>
    <row r="6">
      <c r="A6" s="25" t="s">
        <v>47</v>
      </c>
      <c r="B6" s="26">
        <v>150.0</v>
      </c>
      <c r="D6" s="32"/>
      <c r="F6" s="37" t="s">
        <v>48</v>
      </c>
      <c r="G6" s="38">
        <f>G3*G4*(G2-74)</f>
        <v>0.025428</v>
      </c>
      <c r="K6" s="34"/>
      <c r="N6" s="11" t="s">
        <v>36</v>
      </c>
      <c r="O6" s="31">
        <v>45000.0</v>
      </c>
    </row>
    <row r="7">
      <c r="A7" s="25" t="s">
        <v>49</v>
      </c>
      <c r="B7" s="26">
        <v>24200.0</v>
      </c>
      <c r="D7" s="32"/>
      <c r="K7" s="30" t="s">
        <v>50</v>
      </c>
      <c r="L7" s="12">
        <f>B14/L5</f>
        <v>3431.666667</v>
      </c>
      <c r="N7" s="11" t="s">
        <v>51</v>
      </c>
      <c r="O7" s="31">
        <v>58000.0</v>
      </c>
    </row>
    <row r="8">
      <c r="A8" s="25" t="s">
        <v>52</v>
      </c>
      <c r="B8" s="26">
        <v>8.0</v>
      </c>
      <c r="D8" s="32"/>
      <c r="F8" s="39" t="s">
        <v>53</v>
      </c>
      <c r="G8" s="18"/>
      <c r="H8" s="18"/>
      <c r="I8" s="24"/>
      <c r="K8" s="34"/>
      <c r="O8" s="32"/>
    </row>
    <row r="9">
      <c r="A9" s="25" t="s">
        <v>54</v>
      </c>
      <c r="B9" s="26">
        <v>0.2</v>
      </c>
      <c r="D9" s="32"/>
      <c r="F9" s="30" t="s">
        <v>55</v>
      </c>
      <c r="G9" s="11">
        <v>3.0E7</v>
      </c>
      <c r="I9" s="32"/>
      <c r="K9" s="30" t="s">
        <v>56</v>
      </c>
      <c r="L9" s="12">
        <f>B8*G15</f>
        <v>29956.65675</v>
      </c>
      <c r="O9" s="32"/>
    </row>
    <row r="10">
      <c r="A10" s="40" t="s">
        <v>57</v>
      </c>
      <c r="B10" s="41">
        <v>0.25</v>
      </c>
      <c r="D10" s="32"/>
      <c r="F10" s="30" t="s">
        <v>58</v>
      </c>
      <c r="G10" s="11">
        <v>10.0</v>
      </c>
      <c r="I10" s="32"/>
      <c r="K10" s="30" t="s">
        <v>59</v>
      </c>
      <c r="L10" s="12">
        <f>L9/L5</f>
        <v>10171.2</v>
      </c>
      <c r="O10" s="32"/>
    </row>
    <row r="11">
      <c r="A11" s="34"/>
      <c r="D11" s="32"/>
      <c r="F11" s="34"/>
      <c r="I11" s="32"/>
      <c r="K11" s="34"/>
      <c r="O11" s="32"/>
    </row>
    <row r="12">
      <c r="A12" s="42" t="s">
        <v>35</v>
      </c>
      <c r="B12" s="43">
        <f>B3-B2/2</f>
        <v>3.5625</v>
      </c>
      <c r="D12" s="32"/>
      <c r="F12" s="30" t="s">
        <v>60</v>
      </c>
      <c r="G12" s="12">
        <f>PI()/4*B10^2</f>
        <v>0.04908738521</v>
      </c>
      <c r="I12" s="32"/>
      <c r="K12" s="30" t="s">
        <v>61</v>
      </c>
      <c r="L12" s="12">
        <f>L10+L7</f>
        <v>13602.86667</v>
      </c>
      <c r="O12" s="32"/>
    </row>
    <row r="13">
      <c r="A13" s="42" t="s">
        <v>62</v>
      </c>
      <c r="B13" s="43">
        <f>PI()/4*((B12+2*B2)^2-(B12)^2)</f>
        <v>1.448077864</v>
      </c>
      <c r="D13" s="32"/>
      <c r="F13" s="30" t="s">
        <v>63</v>
      </c>
      <c r="G13" s="12">
        <f>G6/G10</f>
        <v>0.0025428</v>
      </c>
      <c r="I13" s="32"/>
      <c r="K13" s="30" t="s">
        <v>64</v>
      </c>
      <c r="L13" s="12">
        <f>O2/L12</f>
        <v>2.940556647</v>
      </c>
      <c r="O13" s="32"/>
    </row>
    <row r="14">
      <c r="A14" s="42" t="s">
        <v>65</v>
      </c>
      <c r="B14" s="43">
        <f>PI()*B2*B3*B4</f>
        <v>10107.09262</v>
      </c>
      <c r="D14" s="32"/>
      <c r="F14" s="34"/>
      <c r="I14" s="32"/>
      <c r="K14" s="44" t="s">
        <v>66</v>
      </c>
      <c r="L14" s="45">
        <f>O3/L12</f>
        <v>3.308126228</v>
      </c>
      <c r="M14" s="45"/>
      <c r="N14" s="45"/>
      <c r="O14" s="46"/>
    </row>
    <row r="15">
      <c r="A15" s="42" t="s">
        <v>67</v>
      </c>
      <c r="B15" s="43">
        <f>(PI()/4)*B3^2*B6+2*B2*PI()*B3*B5*B6</f>
        <v>2402.213914</v>
      </c>
      <c r="D15" s="32"/>
      <c r="F15" s="30" t="s">
        <v>68</v>
      </c>
      <c r="G15" s="12">
        <f>G13*G12*G9</f>
        <v>3744.582094</v>
      </c>
      <c r="I15" s="32"/>
    </row>
    <row r="16">
      <c r="A16" s="47"/>
      <c r="B16" s="43"/>
      <c r="D16" s="32"/>
      <c r="F16" s="48" t="s">
        <v>69</v>
      </c>
      <c r="G16" s="49">
        <f>(G15+B17)/G12</f>
        <v>102021.5</v>
      </c>
      <c r="I16" s="32"/>
    </row>
    <row r="17">
      <c r="A17" s="42" t="s">
        <v>70</v>
      </c>
      <c r="B17" s="43">
        <f>B14/B8</f>
        <v>1263.386577</v>
      </c>
      <c r="D17" s="32"/>
      <c r="F17" s="30"/>
      <c r="I17" s="32"/>
    </row>
    <row r="18">
      <c r="A18" s="42" t="s">
        <v>71</v>
      </c>
      <c r="B18" s="43">
        <f>PI()/4*B10^2</f>
        <v>0.04908738521</v>
      </c>
      <c r="D18" s="32"/>
      <c r="F18" s="34"/>
      <c r="I18" s="32"/>
    </row>
    <row r="19">
      <c r="A19" s="30" t="s">
        <v>72</v>
      </c>
      <c r="B19" s="12">
        <f>I21/(B17/B18)</f>
        <v>5.050995629</v>
      </c>
      <c r="D19" s="32"/>
      <c r="F19" s="34"/>
      <c r="I19" s="32"/>
    </row>
    <row r="20">
      <c r="A20" s="34"/>
      <c r="D20" s="32"/>
      <c r="F20" s="34"/>
      <c r="I20" s="32"/>
    </row>
    <row r="21">
      <c r="A21" s="50" t="s">
        <v>73</v>
      </c>
      <c r="B21" s="51">
        <f>B9*B17*B10</f>
        <v>63.16932885</v>
      </c>
      <c r="C21" s="52" t="s">
        <v>74</v>
      </c>
      <c r="D21" s="53">
        <f>B21/12</f>
        <v>5.264110737</v>
      </c>
      <c r="F21" s="30" t="s">
        <v>75</v>
      </c>
      <c r="G21" s="11">
        <v>150000.0</v>
      </c>
      <c r="H21" s="11" t="s">
        <v>76</v>
      </c>
      <c r="I21" s="31">
        <v>130000.0</v>
      </c>
    </row>
    <row r="22">
      <c r="A22" s="50"/>
      <c r="B22" s="51"/>
      <c r="D22" s="32"/>
      <c r="F22" s="48" t="s">
        <v>77</v>
      </c>
      <c r="G22" s="15">
        <f>G21/G16</f>
        <v>1.470278324</v>
      </c>
      <c r="H22" s="15" t="s">
        <v>78</v>
      </c>
      <c r="I22" s="54">
        <f>I21/G16</f>
        <v>1.274241214</v>
      </c>
    </row>
    <row r="23">
      <c r="A23" s="55"/>
      <c r="B23" s="56"/>
      <c r="C23" s="45"/>
      <c r="D23" s="46"/>
      <c r="F23" s="44"/>
      <c r="G23" s="45"/>
      <c r="H23" s="45"/>
      <c r="I23" s="46"/>
    </row>
  </sheetData>
  <hyperlinks>
    <hyperlink r:id="rId1" ref="D2"/>
    <hyperlink r:id="rId2" ref="D3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0"/>
    <col customWidth="1" min="2" max="2" width="72.88"/>
    <col customWidth="1" min="4" max="4" width="17.75"/>
  </cols>
  <sheetData>
    <row r="1">
      <c r="A1" s="11" t="s">
        <v>79</v>
      </c>
      <c r="B1" s="11">
        <v>2.35</v>
      </c>
      <c r="D1" s="11" t="s">
        <v>80</v>
      </c>
      <c r="G1" s="11" t="s">
        <v>81</v>
      </c>
    </row>
    <row r="2">
      <c r="A2" s="11" t="s">
        <v>82</v>
      </c>
      <c r="B2" s="11">
        <v>1.5</v>
      </c>
      <c r="D2" s="11" t="s">
        <v>36</v>
      </c>
      <c r="E2" s="11">
        <v>36000.0</v>
      </c>
      <c r="G2" s="11" t="s">
        <v>36</v>
      </c>
      <c r="H2" s="11">
        <v>187000.0</v>
      </c>
      <c r="J2" s="12">
        <f t="shared" ref="J2:J3" si="1">H2/G8</f>
        <v>124666.6667</v>
      </c>
    </row>
    <row r="3">
      <c r="A3" s="11" t="s">
        <v>83</v>
      </c>
      <c r="B3" s="11">
        <v>0.28</v>
      </c>
      <c r="D3" s="11" t="s">
        <v>41</v>
      </c>
      <c r="E3" s="11">
        <v>58000.0</v>
      </c>
      <c r="G3" s="11" t="s">
        <v>41</v>
      </c>
      <c r="H3" s="11">
        <v>240000.0</v>
      </c>
      <c r="J3" s="12">
        <f t="shared" si="1"/>
        <v>120000</v>
      </c>
    </row>
    <row r="4">
      <c r="A4" s="11" t="s">
        <v>84</v>
      </c>
      <c r="B4" s="11" t="str">
        <f>'Tie Rod Force'!B13</f>
        <v>#REF!</v>
      </c>
    </row>
    <row r="5">
      <c r="A5" s="11" t="s">
        <v>85</v>
      </c>
      <c r="B5" s="11">
        <f>H2/G8</f>
        <v>124666.6667</v>
      </c>
    </row>
    <row r="7">
      <c r="F7" s="11" t="s">
        <v>86</v>
      </c>
    </row>
    <row r="8">
      <c r="A8" s="11" t="s">
        <v>87</v>
      </c>
      <c r="B8" s="12" t="str">
        <f>B4/(PI()*2*B1)</f>
        <v>#REF!</v>
      </c>
      <c r="D8" s="11" t="s">
        <v>88</v>
      </c>
      <c r="F8" s="11" t="s">
        <v>89</v>
      </c>
      <c r="G8" s="11">
        <v>1.5</v>
      </c>
    </row>
    <row r="9">
      <c r="A9" s="11" t="s">
        <v>90</v>
      </c>
      <c r="B9" s="12">
        <f>(B2/B1)*(((1+B3)/2)*LN(B1/B2)+(1-B3)/4*(1-(B2/B1)^2))</f>
        <v>0.251484121</v>
      </c>
      <c r="F9" s="11" t="s">
        <v>41</v>
      </c>
      <c r="G9" s="11">
        <v>2.0</v>
      </c>
    </row>
    <row r="10">
      <c r="A10" s="11" t="s">
        <v>91</v>
      </c>
      <c r="B10" s="12">
        <f>0.5*(1-B3^2)*(B1/B2-B2/B1)</f>
        <v>0.4277923404</v>
      </c>
    </row>
    <row r="12">
      <c r="A12" s="11" t="s">
        <v>92</v>
      </c>
      <c r="B12" s="12" t="str">
        <f>B8*(B1^3)/(B2^2)*(1-B3^2)*B9/B10</f>
        <v>#REF!</v>
      </c>
    </row>
    <row r="14">
      <c r="A14" s="11" t="s">
        <v>93</v>
      </c>
      <c r="B14" s="12" t="str">
        <f>SQRT(6*B12/B5)</f>
        <v>#REF!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63"/>
    <col customWidth="1" min="8" max="8" width="29.38"/>
  </cols>
  <sheetData>
    <row r="1">
      <c r="A1" s="57" t="s">
        <v>94</v>
      </c>
      <c r="B1" s="57" t="s">
        <v>95</v>
      </c>
      <c r="C1" s="57" t="s">
        <v>96</v>
      </c>
      <c r="D1" s="57" t="s">
        <v>97</v>
      </c>
      <c r="E1" s="57" t="s">
        <v>98</v>
      </c>
      <c r="F1" s="11" t="s">
        <v>99</v>
      </c>
      <c r="H1" s="11" t="s">
        <v>100</v>
      </c>
    </row>
    <row r="2">
      <c r="A2" s="58"/>
      <c r="B2" s="58"/>
      <c r="C2" s="58"/>
      <c r="D2" s="58"/>
      <c r="E2" s="58"/>
      <c r="H2" s="59" t="s">
        <v>101</v>
      </c>
    </row>
    <row r="3">
      <c r="A3" s="57" t="s">
        <v>102</v>
      </c>
      <c r="B3" s="57" t="s">
        <v>103</v>
      </c>
      <c r="C3" s="57">
        <v>3.5</v>
      </c>
      <c r="D3" s="57">
        <v>0.05</v>
      </c>
      <c r="E3" s="58">
        <f>C3-D3</f>
        <v>3.45</v>
      </c>
      <c r="F3" s="12" t="str">
        <f>IF(E3&gt;E4,"FITS")</f>
        <v>FITS</v>
      </c>
      <c r="H3" s="60"/>
    </row>
    <row r="4">
      <c r="A4" s="57" t="s">
        <v>104</v>
      </c>
      <c r="B4" s="57" t="s">
        <v>105</v>
      </c>
      <c r="C4" s="57">
        <v>3.44</v>
      </c>
      <c r="D4" s="57">
        <v>0.005</v>
      </c>
      <c r="E4" s="58">
        <f>C4+D4</f>
        <v>3.445</v>
      </c>
    </row>
    <row r="5">
      <c r="A5" s="58"/>
      <c r="B5" s="58"/>
      <c r="C5" s="58"/>
      <c r="D5" s="58"/>
      <c r="E5" s="58"/>
    </row>
    <row r="6">
      <c r="A6" s="57" t="s">
        <v>102</v>
      </c>
      <c r="B6" s="57" t="s">
        <v>103</v>
      </c>
      <c r="C6" s="57">
        <v>3.5</v>
      </c>
      <c r="D6" s="57">
        <v>0.05</v>
      </c>
      <c r="E6" s="58">
        <f>C6-D6</f>
        <v>3.45</v>
      </c>
      <c r="F6" s="12" t="str">
        <f>IF(E6&gt;E7,"FITS")</f>
        <v>FITS</v>
      </c>
    </row>
    <row r="7">
      <c r="A7" s="57" t="s">
        <v>106</v>
      </c>
      <c r="B7" s="57" t="s">
        <v>105</v>
      </c>
      <c r="C7" s="57">
        <v>3.44</v>
      </c>
      <c r="D7" s="57">
        <v>0.005</v>
      </c>
      <c r="E7" s="57">
        <f>C7+D7</f>
        <v>3.445</v>
      </c>
    </row>
    <row r="8">
      <c r="A8" s="58"/>
      <c r="B8" s="58"/>
      <c r="C8" s="58"/>
      <c r="D8" s="58"/>
      <c r="E8" s="58"/>
    </row>
    <row r="9">
      <c r="A9" s="58"/>
      <c r="B9" s="58"/>
      <c r="C9" s="58"/>
      <c r="D9" s="58"/>
      <c r="E9" s="58"/>
    </row>
    <row r="10">
      <c r="A10" s="58"/>
      <c r="B10" s="58"/>
      <c r="C10" s="58"/>
      <c r="D10" s="58"/>
      <c r="E10" s="58"/>
    </row>
    <row r="11">
      <c r="A11" s="58"/>
      <c r="B11" s="58"/>
      <c r="C11" s="58"/>
      <c r="D11" s="58"/>
      <c r="E11" s="58"/>
    </row>
    <row r="12">
      <c r="A12" s="58"/>
      <c r="B12" s="58"/>
      <c r="C12" s="58"/>
      <c r="D12" s="58"/>
      <c r="E12" s="58"/>
    </row>
    <row r="13">
      <c r="A13" s="58"/>
      <c r="B13" s="58"/>
      <c r="C13" s="58"/>
      <c r="D13" s="58"/>
      <c r="E13" s="58"/>
    </row>
    <row r="14">
      <c r="A14" s="58"/>
      <c r="B14" s="58"/>
      <c r="C14" s="58"/>
      <c r="D14" s="58"/>
      <c r="E14" s="58"/>
    </row>
    <row r="15">
      <c r="A15" s="58"/>
      <c r="B15" s="58"/>
      <c r="C15" s="58"/>
      <c r="D15" s="58"/>
      <c r="E15" s="58"/>
    </row>
  </sheetData>
  <hyperlinks>
    <hyperlink r:id="rId1" ref="H2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0"/>
    <col customWidth="1" min="2" max="2" width="72.88"/>
    <col customWidth="1" min="4" max="4" width="17.75"/>
  </cols>
  <sheetData>
    <row r="1">
      <c r="A1" s="11" t="s">
        <v>79</v>
      </c>
      <c r="B1" s="11">
        <f>8.5/2</f>
        <v>4.25</v>
      </c>
      <c r="D1" s="11" t="s">
        <v>107</v>
      </c>
      <c r="E1" s="11">
        <v>5.0</v>
      </c>
    </row>
    <row r="2">
      <c r="A2" s="11" t="s">
        <v>82</v>
      </c>
      <c r="B2" s="11">
        <f>3.5/2</f>
        <v>1.75</v>
      </c>
      <c r="D2" s="11" t="s">
        <v>108</v>
      </c>
      <c r="E2" s="12">
        <f>E1*1920</f>
        <v>9600</v>
      </c>
    </row>
    <row r="3">
      <c r="A3" s="11" t="s">
        <v>83</v>
      </c>
      <c r="B3" s="11">
        <v>0.31</v>
      </c>
    </row>
    <row r="4">
      <c r="A4" s="11" t="s">
        <v>84</v>
      </c>
      <c r="B4" s="11">
        <v>45.0</v>
      </c>
    </row>
    <row r="5">
      <c r="A5" s="11" t="s">
        <v>85</v>
      </c>
      <c r="B5" s="11">
        <v>20000.0</v>
      </c>
    </row>
    <row r="6">
      <c r="A6" s="11" t="s">
        <v>109</v>
      </c>
      <c r="B6" s="11">
        <v>1.75</v>
      </c>
    </row>
    <row r="7">
      <c r="A7" s="11" t="s">
        <v>110</v>
      </c>
      <c r="B7" s="11">
        <v>1.0E7</v>
      </c>
    </row>
    <row r="8">
      <c r="A8" s="11" t="s">
        <v>111</v>
      </c>
      <c r="B8" s="11">
        <v>0.07</v>
      </c>
      <c r="D8" s="11" t="s">
        <v>88</v>
      </c>
    </row>
    <row r="11">
      <c r="A11" s="11" t="s">
        <v>87</v>
      </c>
      <c r="B11" s="12">
        <f>B4/(PI()*2*B6)</f>
        <v>4.09255568</v>
      </c>
    </row>
    <row r="12">
      <c r="A12" s="11" t="s">
        <v>112</v>
      </c>
      <c r="B12" s="12">
        <f>B6/B1*((1+B3)/2*LN(B1/B6)+(1-B3)/4*(1-(B6/B1)^2))</f>
        <v>0.2982972538</v>
      </c>
    </row>
    <row r="13">
      <c r="A13" s="11" t="s">
        <v>91</v>
      </c>
      <c r="B13" s="12">
        <f>0.5*(1-B3^2)*(B1/B2-B2/B1)</f>
        <v>0.9114957983</v>
      </c>
    </row>
    <row r="14">
      <c r="A14" s="11" t="s">
        <v>113</v>
      </c>
      <c r="B14" s="12">
        <f>B7*B8^3/(12*(1-B3^2))</f>
        <v>316.222296</v>
      </c>
    </row>
    <row r="16">
      <c r="A16" s="11" t="s">
        <v>114</v>
      </c>
      <c r="B16" s="12">
        <f>B11*B1^2*B12/(B14*B13)</f>
        <v>0.07650231078</v>
      </c>
    </row>
    <row r="17">
      <c r="A17" s="11" t="s">
        <v>115</v>
      </c>
      <c r="B17" s="12">
        <f>B16*B14*(1-B3^2)/B2</f>
        <v>12.49537743</v>
      </c>
    </row>
    <row r="18">
      <c r="A18" s="11" t="s">
        <v>116</v>
      </c>
      <c r="B18" s="12">
        <f>6*B17/B8^2</f>
        <v>15300.46216</v>
      </c>
    </row>
  </sheetData>
  <drawing r:id="rId1"/>
</worksheet>
</file>