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OP" sheetId="1" state="visible" r:id="rId2"/>
    <sheet name="MATERIALES E INSUMOS" sheetId="2" state="visible" r:id="rId3"/>
    <sheet name="CONSUMO MATERIALES E INSUMOS" sheetId="3" state="visible" r:id="rId4"/>
    <sheet name="CUADRO PCC" sheetId="4" state="visible" r:id="rId5"/>
    <sheet name="EXISTENCIAS BODEGA" sheetId="5" state="visible" r:id="rId6"/>
    <sheet name="RESUMEN" sheetId="6" state="visible" r:id="rId7"/>
  </sheets>
  <definedNames>
    <definedName function="false" hidden="false" localSheetId="3" name="_xlnm._FilterDatabase" vbProcedure="false">'CUADRO PCC'!$A$2:$K$15</definedName>
    <definedName function="false" hidden="false" localSheetId="4" name="_xlnm._FilterDatabase" vbProcedure="false">'EXISTENCIAS BODEGA'!$A$3:$J$3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<sst xmlns="http://schemas.openxmlformats.org/spreadsheetml/2006/main" count="1152" uniqueCount="335">
  <si>
    <t>PROGRAMACIÓN SERVICIOS TECNOLÓGICOS</t>
  </si>
  <si>
    <t>FECHA PROG.</t>
  </si>
  <si>
    <t>FECHA CORTE</t>
  </si>
  <si>
    <t>FECHA TIQUETEADA</t>
  </si>
  <si>
    <t>CLIENTE</t>
  </si>
  <si>
    <t>OP</t>
  </si>
  <si>
    <t>PRENDA</t>
  </si>
  <si>
    <t>REFERENCIA</t>
  </si>
  <si>
    <t>CANTIDAD PROG.</t>
  </si>
  <si>
    <t>CANTIDAD CORTADA</t>
  </si>
  <si>
    <t>CORTADOR</t>
  </si>
  <si>
    <t>PROMEDIO TELA PPAL</t>
  </si>
  <si>
    <t>PROMEDIO TELA SCD</t>
  </si>
  <si>
    <t>PROMEDIO ENTRETELA</t>
  </si>
  <si>
    <t>PROMEDIO RIB</t>
  </si>
  <si>
    <t>PROMEDIO GUATA</t>
  </si>
  <si>
    <t>PROMEDIO MALLA</t>
  </si>
  <si>
    <t>COSTO PREPRODUCCIÓN</t>
  </si>
  <si>
    <t>COSTO MATERIALES E INSUMOS</t>
  </si>
  <si>
    <t>COSTO ESTAMPADO</t>
  </si>
  <si>
    <t>COSTO BORDADO</t>
  </si>
  <si>
    <t>COSTO LAVADO</t>
  </si>
  <si>
    <t>COSTO POR UND</t>
  </si>
  <si>
    <t>PLOTEO</t>
  </si>
  <si>
    <t>PAPEL PERFORADO</t>
  </si>
  <si>
    <t>PLÁSTICO</t>
  </si>
  <si>
    <t>IMPRESIÓN</t>
  </si>
  <si>
    <t>TIQUETEADA</t>
  </si>
  <si>
    <t>CFDCYM</t>
  </si>
  <si>
    <t>´001</t>
  </si>
  <si>
    <t>OVEROL</t>
  </si>
  <si>
    <t>OVEROL-MAS</t>
  </si>
  <si>
    <t>NELSON</t>
  </si>
  <si>
    <t>TOTAL MES</t>
  </si>
  <si>
    <t>´005</t>
  </si>
  <si>
    <t>SUDADERA</t>
  </si>
  <si>
    <t>SUDADERA-002</t>
  </si>
  <si>
    <t>NELSON - OVIDIO</t>
  </si>
  <si>
    <t>N/A</t>
  </si>
  <si>
    <t>´003</t>
  </si>
  <si>
    <t>JUEGO CAMA</t>
  </si>
  <si>
    <t>DOBLE</t>
  </si>
  <si>
    <t>´006</t>
  </si>
  <si>
    <t>BERMUDA</t>
  </si>
  <si>
    <t>BERM-001</t>
  </si>
  <si>
    <t>OVIDIO</t>
  </si>
  <si>
    <t>´007</t>
  </si>
  <si>
    <t>CAMISA</t>
  </si>
  <si>
    <t>CAM-MASC-004</t>
  </si>
  <si>
    <t>´004</t>
  </si>
  <si>
    <t>´002</t>
  </si>
  <si>
    <t>PIJAMA</t>
  </si>
  <si>
    <t>PIJ-MASC</t>
  </si>
  <si>
    <t>´010</t>
  </si>
  <si>
    <t>EJERC. ESPEC</t>
  </si>
  <si>
    <t>TEJIDO PUNTO</t>
  </si>
  <si>
    <t>´011</t>
  </si>
  <si>
    <t>JEAN</t>
  </si>
  <si>
    <t>JEAN-MASC-001</t>
  </si>
  <si>
    <t>NELSON-RAMIRO</t>
  </si>
  <si>
    <t>´009</t>
  </si>
  <si>
    <t>DELANTAL</t>
  </si>
  <si>
    <t>DELANT-POP</t>
  </si>
  <si>
    <t>´016</t>
  </si>
  <si>
    <t>TEJIDO PLANO</t>
  </si>
  <si>
    <t>´017</t>
  </si>
  <si>
    <t>EJERC. BÁS</t>
  </si>
  <si>
    <t>´019</t>
  </si>
  <si>
    <t>´008</t>
  </si>
  <si>
    <t>TOGA</t>
  </si>
  <si>
    <t>´018</t>
  </si>
  <si>
    <t>PANTALÓN</t>
  </si>
  <si>
    <t>PANT-MASC-001</t>
  </si>
  <si>
    <t>´021</t>
  </si>
  <si>
    <t>´022</t>
  </si>
  <si>
    <t>CTM - CFDCYM</t>
  </si>
  <si>
    <t>´012</t>
  </si>
  <si>
    <t>CAMISETA POLO</t>
  </si>
  <si>
    <t>MASC Y FEM</t>
  </si>
  <si>
    <t>´014</t>
  </si>
  <si>
    <t>CACHET - BOXER</t>
  </si>
  <si>
    <t>´023</t>
  </si>
  <si>
    <t>´015</t>
  </si>
  <si>
    <t>BOXER</t>
  </si>
  <si>
    <t>MASC-001</t>
  </si>
  <si>
    <t>CASA NAZARETH</t>
  </si>
  <si>
    <t>´020</t>
  </si>
  <si>
    <t>SHORT</t>
  </si>
  <si>
    <t>SHORT-001</t>
  </si>
  <si>
    <t>´029</t>
  </si>
  <si>
    <t>SENCILL0</t>
  </si>
  <si>
    <t>OVIDIO-NELSON</t>
  </si>
  <si>
    <t>´013</t>
  </si>
  <si>
    <t>PIJ-FEM-001</t>
  </si>
  <si>
    <t>´027</t>
  </si>
  <si>
    <t>NELSON-OVIDIO</t>
  </si>
  <si>
    <t>´031</t>
  </si>
  <si>
    <t>´032</t>
  </si>
  <si>
    <t>´030</t>
  </si>
  <si>
    <t>´025</t>
  </si>
  <si>
    <t>CARTUCHERA</t>
  </si>
  <si>
    <t>SENA</t>
  </si>
  <si>
    <t>´028</t>
  </si>
  <si>
    <t>´033</t>
  </si>
  <si>
    <t>GORRA</t>
  </si>
  <si>
    <t>SIN PROTECTOR</t>
  </si>
  <si>
    <t>´035</t>
  </si>
  <si>
    <t>´036</t>
  </si>
  <si>
    <t>´024</t>
  </si>
  <si>
    <t>CHALECO</t>
  </si>
  <si>
    <t>APRENDÍZ</t>
  </si>
  <si>
    <t>MARIBEL TUBERQUIA</t>
  </si>
  <si>
    <t>´034</t>
  </si>
  <si>
    <t>´026</t>
  </si>
  <si>
    <t>JEAN NIÑO</t>
  </si>
  <si>
    <t>JEAN-NIÑO-001</t>
  </si>
  <si>
    <t>´037</t>
  </si>
  <si>
    <t>CONJ. INTER</t>
  </si>
  <si>
    <t>´038</t>
  </si>
  <si>
    <t>JEAN FEMENINO</t>
  </si>
  <si>
    <t>´039</t>
  </si>
  <si>
    <t>´040</t>
  </si>
  <si>
    <t>TANGA</t>
  </si>
  <si>
    <t>´041</t>
  </si>
  <si>
    <t>MATERIALES E INSUMOS</t>
  </si>
  <si>
    <t>TELA</t>
  </si>
  <si>
    <t>HILO</t>
  </si>
  <si>
    <t>BOTONES</t>
  </si>
  <si>
    <t>DESCRIPCIÓN</t>
  </si>
  <si>
    <t>UND DE MEDIDA</t>
  </si>
  <si>
    <t>COSTO/UND</t>
  </si>
  <si>
    <t>COSTO/M</t>
  </si>
  <si>
    <t>Naútica y Antifluido</t>
  </si>
  <si>
    <t>m</t>
  </si>
  <si>
    <t>Polyester Spun 75</t>
  </si>
  <si>
    <t>Cono 2500 m</t>
  </si>
  <si>
    <t>De nylon 24 líneas</t>
  </si>
  <si>
    <t>Und</t>
  </si>
  <si>
    <t>Dril (Dotación)</t>
  </si>
  <si>
    <t>Polyester Spun 120</t>
  </si>
  <si>
    <t>Cono 5000 m</t>
  </si>
  <si>
    <t>De nylon 18 líneas</t>
  </si>
  <si>
    <t>Malla</t>
  </si>
  <si>
    <t>Polyester Spun 25</t>
  </si>
  <si>
    <t>De nylon 15 líneas</t>
  </si>
  <si>
    <t>Género</t>
  </si>
  <si>
    <t>Polyester Spun 50</t>
  </si>
  <si>
    <t>De golpe 24 líneas</t>
  </si>
  <si>
    <t>Dril 10 oz</t>
  </si>
  <si>
    <t>Polyester polyester 120</t>
  </si>
  <si>
    <t>De golpe 22 líneas</t>
  </si>
  <si>
    <t>Dril camisero 125 gr</t>
  </si>
  <si>
    <t>Entretela no tejida</t>
  </si>
  <si>
    <t>Tejido punto sencillo</t>
  </si>
  <si>
    <t>Rib</t>
  </si>
  <si>
    <t>Indigo 14 oz</t>
  </si>
  <si>
    <t>Dacrón chino</t>
  </si>
  <si>
    <t>Gabardina</t>
  </si>
  <si>
    <t>Solvent</t>
  </si>
  <si>
    <t>Tejido punto Piqué</t>
  </si>
  <si>
    <t>Licra algodón</t>
  </si>
  <si>
    <t>Blonda Elástica</t>
  </si>
  <si>
    <t>CIERRE</t>
  </si>
  <si>
    <t>ELÁSTICO</t>
  </si>
  <si>
    <t>MARQUILLA</t>
  </si>
  <si>
    <t>COSTO/TOTAL</t>
  </si>
  <si>
    <t>Cremallera nylon cadena continua</t>
  </si>
  <si>
    <t>Elástico encarterar 4 cm</t>
  </si>
  <si>
    <t>De talla tejida</t>
  </si>
  <si>
    <t>Carreta 50 m (1666 Und)</t>
  </si>
  <si>
    <t>Deslizador para cremallera continua</t>
  </si>
  <si>
    <t>Elástico encarterar 1 cm</t>
  </si>
  <si>
    <t>Sena</t>
  </si>
  <si>
    <t>Caja de 440 und</t>
  </si>
  <si>
    <t>Cierre de cobre</t>
  </si>
  <si>
    <t>Expuesto 2 cm</t>
  </si>
  <si>
    <t>Cierre nylon 35, 40, 45</t>
  </si>
  <si>
    <t>Expuesto 4 cm</t>
  </si>
  <si>
    <t>Sesgo elástico</t>
  </si>
  <si>
    <t>VARIOS</t>
  </si>
  <si>
    <t>Ploteo (papel + tinta)</t>
  </si>
  <si>
    <t>Rollo 218 m</t>
  </si>
  <si>
    <t>Papel perforado</t>
  </si>
  <si>
    <t>Plástico</t>
  </si>
  <si>
    <t>Rollo 400 m</t>
  </si>
  <si>
    <t>Bolsa empaque</t>
  </si>
  <si>
    <t>Paq de 100 und</t>
  </si>
  <si>
    <t>Impresión</t>
  </si>
  <si>
    <t>Borla</t>
  </si>
  <si>
    <t>Velcro</t>
  </si>
  <si>
    <t>Juego puños y cuello</t>
  </si>
  <si>
    <t>Hiladilla de algodón</t>
  </si>
  <si>
    <t>Cordón</t>
  </si>
  <si>
    <t>Cinta decorativa</t>
  </si>
  <si>
    <t>Moño</t>
  </si>
  <si>
    <t>CONSUMOS POR PRENDA</t>
  </si>
  <si>
    <t>UND</t>
  </si>
  <si>
    <t>CONSUMO</t>
  </si>
  <si>
    <t>COSTO</t>
  </si>
  <si>
    <t>Naútica (Ppal)</t>
  </si>
  <si>
    <t>Hilo Polyester Spun 75</t>
  </si>
  <si>
    <t>Naútica (Sec)</t>
  </si>
  <si>
    <t>Hilo Polyester Spun 120</t>
  </si>
  <si>
    <t>Elástico 4 cm</t>
  </si>
  <si>
    <t>Cierre nylon cadena continua</t>
  </si>
  <si>
    <t>Deslizador cierre cadena continua</t>
  </si>
  <si>
    <t>und</t>
  </si>
  <si>
    <t>Marquilla Sena</t>
  </si>
  <si>
    <t>Talla tejida</t>
  </si>
  <si>
    <t>Bolsa</t>
  </si>
  <si>
    <t>TOTAL</t>
  </si>
  <si>
    <t>JUEGO CAMA DOBLE</t>
  </si>
  <si>
    <t>BERMUDA MASCULINA</t>
  </si>
  <si>
    <t>Botón nylon 24 líneas</t>
  </si>
  <si>
    <t>CAMISA MANGA LARGA</t>
  </si>
  <si>
    <t>PIJAMA MASCULINA (CORTA)</t>
  </si>
  <si>
    <t>Botón nylon 18 líneas</t>
  </si>
  <si>
    <t>Elástico encarterar de 4 cm</t>
  </si>
  <si>
    <t>Botón nylon 15 líneas</t>
  </si>
  <si>
    <t>JEAN MASCULINO (5 BOLSILLOS)</t>
  </si>
  <si>
    <t>DELANTAL INSTRUCTOR (A)</t>
  </si>
  <si>
    <t>Hilo Polyester Spun 25</t>
  </si>
  <si>
    <t>Hilo Polyester Spun 50</t>
  </si>
  <si>
    <t>Botón golpe 24 líneas</t>
  </si>
  <si>
    <t>TOGA ADULTO</t>
  </si>
  <si>
    <t>PANTALÓN MASCULINO (6 BOLSILLOS)</t>
  </si>
  <si>
    <t>CAMISETA POLO (MASCULINA Y FEMENINA)</t>
  </si>
  <si>
    <t>CACHETERO Y BOXER FEMENINO</t>
  </si>
  <si>
    <t>Tejido punto Licra algodón</t>
  </si>
  <si>
    <t>Elástico expuesto 2 cm</t>
  </si>
  <si>
    <t>Hilo Polyester Polyester 120</t>
  </si>
  <si>
    <t>Hiladilla de aLgodón</t>
  </si>
  <si>
    <t>CHALECO APRENDÍZ</t>
  </si>
  <si>
    <t>Poliéster</t>
  </si>
  <si>
    <t>Cierre nylon</t>
  </si>
  <si>
    <t>BOXER MASCULINO</t>
  </si>
  <si>
    <t>Indigo 10 oz</t>
  </si>
  <si>
    <t>Elástico expuesto 4 cm</t>
  </si>
  <si>
    <t>JUEGO CAMA SENCILLO</t>
  </si>
  <si>
    <t>SÁBANA SENCILLA + FUNDA</t>
  </si>
  <si>
    <t>PIJAMA FEMENINA (LARGA)</t>
  </si>
  <si>
    <t>GORRA SIN PROTECTOR</t>
  </si>
  <si>
    <t>Dril</t>
  </si>
  <si>
    <t>Guata</t>
  </si>
  <si>
    <t>Visera</t>
  </si>
  <si>
    <t>CONJUNTO INTERIOR FEMENINO</t>
  </si>
  <si>
    <t>TANGA BRASILERA CON SESGO ELÁSTICO</t>
  </si>
  <si>
    <t>Blonda elástica</t>
  </si>
  <si>
    <t>PROGRAMACIÓN DE PRODUCCIÓN</t>
  </si>
  <si>
    <t>PRODUCTO</t>
  </si>
  <si>
    <t>ENTRADAS</t>
  </si>
  <si>
    <t>SALIDAS</t>
  </si>
  <si>
    <t>TIPO A</t>
  </si>
  <si>
    <t>TIPO B</t>
  </si>
  <si>
    <t>INSTRUCTOR</t>
  </si>
  <si>
    <t>CICLO CONFECCIÓN(DÍAS)</t>
  </si>
  <si>
    <t>ENTRADA CONFECCIÓN</t>
  </si>
  <si>
    <t>CANTIDAD</t>
  </si>
  <si>
    <t>SALIDA PT</t>
  </si>
  <si>
    <t>SALDO</t>
  </si>
  <si>
    <t>GUSTAVO CARVAJAL</t>
  </si>
  <si>
    <t>SUDADERA NAÚTICA</t>
  </si>
  <si>
    <t>CHAQUETA FEMENINA</t>
  </si>
  <si>
    <t>MAURICIO ECHEVERRI</t>
  </si>
  <si>
    <t>CHAQUETA MASCULINA</t>
  </si>
  <si>
    <t>JEAN MASCULINO</t>
  </si>
  <si>
    <t>AURA JARAMILLO</t>
  </si>
  <si>
    <t>18/036/2013</t>
  </si>
  <si>
    <t>NORA PAREJA</t>
  </si>
  <si>
    <t>CAMISA MGA LARGA</t>
  </si>
  <si>
    <t>DELANTAL INSTRUCTORA</t>
  </si>
  <si>
    <t>GLADIS PATIÑO</t>
  </si>
  <si>
    <t>BOXER FEMENINO</t>
  </si>
  <si>
    <t>AURA SÁNCHEZ</t>
  </si>
  <si>
    <t>PANTALONETA NIÑO</t>
  </si>
  <si>
    <t>PIJAMA MASCULINA</t>
  </si>
  <si>
    <t>POLO  FEMENINA</t>
  </si>
  <si>
    <t>CACHETERO</t>
  </si>
  <si>
    <t>CONJUNTO INTERIOR</t>
  </si>
  <si>
    <t>PIJAMA NIÑO</t>
  </si>
  <si>
    <t>MAYDE GUEVARA</t>
  </si>
  <si>
    <t>PIJAMA FEMENINA</t>
  </si>
  <si>
    <t>POLO FEMENINA</t>
  </si>
  <si>
    <t>APROVEC</t>
  </si>
  <si>
    <t>TANGA BRASILERA</t>
  </si>
  <si>
    <t>PAOLA ORTIZ</t>
  </si>
  <si>
    <t>BRASIER</t>
  </si>
  <si>
    <t>BABY DOLL</t>
  </si>
  <si>
    <t>JC DOBLE</t>
  </si>
  <si>
    <t>RUTH MESA</t>
  </si>
  <si>
    <t>SÁBANA SCILLA + FUNDA</t>
  </si>
  <si>
    <t>MARIA ELENA HERRERA</t>
  </si>
  <si>
    <t>CORTINAS</t>
  </si>
  <si>
    <t>COJÍN</t>
  </si>
  <si>
    <t>INGRID RODRÍGUEZ</t>
  </si>
  <si>
    <t>JC SENCILLO</t>
  </si>
  <si>
    <t>ANA LUCÍA LONDOÑO</t>
  </si>
  <si>
    <t>DELANTAL INSTRUCTOR</t>
  </si>
  <si>
    <t>YADIRA OCHOA</t>
  </si>
  <si>
    <t>BOLSO</t>
  </si>
  <si>
    <t>ANGELA ALVAREZ</t>
  </si>
  <si>
    <t>ANGELA GARCÍA</t>
  </si>
  <si>
    <t>MARÍA CORREA</t>
  </si>
  <si>
    <t>ANGELA QUINTERO</t>
  </si>
  <si>
    <t>PANTALÓN MASCULINO</t>
  </si>
  <si>
    <t>CARLOS CUERVO</t>
  </si>
  <si>
    <t>JOSÉ LUIS CARDONA</t>
  </si>
  <si>
    <t>MARÍA EUGENIA BEDOYA</t>
  </si>
  <si>
    <t>INVENTARIO PRODUCTO EN PROCESO Y PRODUCTO TERMINADO</t>
  </si>
  <si>
    <t>EXISTENCIAS PARA ENTRAR A CONFECCIÓN</t>
  </si>
  <si>
    <t>EXISTENCIAS PRODUCTO TERMINADO</t>
  </si>
  <si>
    <t>UND CORTADAS</t>
  </si>
  <si>
    <t>UND ENTREGADAS CONFECCIÓN</t>
  </si>
  <si>
    <t>UND CONFECCIONADAS</t>
  </si>
  <si>
    <t>APROVECH</t>
  </si>
  <si>
    <t>POLO MASCULINA</t>
  </si>
  <si>
    <t>CORTINA</t>
  </si>
  <si>
    <t>MES</t>
  </si>
  <si>
    <t>DÍAS LABORADOS</t>
  </si>
  <si>
    <t>UNIDADES CORTADAS</t>
  </si>
  <si>
    <t>PROMEDIO DÍA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</si>
  <si>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</si>
  <si>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</si>
  <si>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</si>
  <si>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</si>
  <si>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</si>
  <si>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</si>
  <si>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</si>
  <si>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</si>
  <si>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</si>
  <si>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</si>
  <si>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</si>
  <si>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</si>
  <si>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</si>
  <si>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r>
      <t xml:space="preserve">NOTA:</t>
    </r>
    <r>
      <rPr>
        <rFont val="Calibri"/>
        <charset val="1"/>
        <family val="2"/>
        <color rgb="00000000"/>
        <sz val="11"/>
      </rPr>
      <t xml:space="preserve"> La gráfica no incluye ejercicios de formación</t>
    </r>
  </si>
</sst>
</file>

<file path=xl/styles.xml><?xml version="1.0" encoding="utf-8"?>
<styleSheet xmlns="http://schemas.openxmlformats.org/spreadsheetml/2006/main">
  <numFmts count="6">
    <numFmt formatCode="GENERAL" numFmtId="164"/>
    <numFmt formatCode="DD/MM/YYYY" numFmtId="165"/>
    <numFmt formatCode="&quot;$ &quot;#,##0" numFmtId="166"/>
    <numFmt formatCode="0.00" numFmtId="167"/>
    <numFmt formatCode="0" numFmtId="168"/>
    <numFmt formatCode="#,##0" numFmtId="169"/>
  </numFmts>
  <fonts count="2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FF"/>
      <sz val="18"/>
    </font>
    <font>
      <name val="Calibri"/>
      <charset val="1"/>
      <family val="2"/>
      <b val="true"/>
      <color rgb="00FFFFFF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4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b val="true"/>
      <color rgb="00800000"/>
      <sz val="14"/>
    </font>
    <font>
      <name val="Calibri"/>
      <charset val="1"/>
      <family val="2"/>
      <b val="true"/>
      <sz val="11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color rgb="00000000"/>
      <sz val="14"/>
    </font>
    <font>
      <name val="Calibri"/>
      <charset val="1"/>
      <family val="2"/>
      <b val="true"/>
      <color rgb="00FFFFFF"/>
      <sz val="12"/>
    </font>
    <font>
      <name val="Calibri"/>
      <charset val="1"/>
      <family val="2"/>
      <sz val="11"/>
    </font>
    <font>
      <name val="Calibri"/>
      <charset val="1"/>
      <family val="2"/>
      <color rgb="00FFFFFF"/>
      <sz val="11"/>
    </font>
    <font>
      <name val="Calibri"/>
      <family val="2"/>
      <b val="true"/>
      <color rgb="00000000"/>
      <sz val="18"/>
    </font>
    <font>
      <name val="Arial"/>
      <family val="2"/>
      <sz val="10"/>
    </font>
  </fonts>
  <fills count="14">
    <fill>
      <patternFill patternType="none"/>
    </fill>
    <fill>
      <patternFill patternType="gray125"/>
    </fill>
    <fill>
      <patternFill patternType="solid">
        <fgColor rgb="000070C0"/>
        <bgColor rgb="00008080"/>
      </patternFill>
    </fill>
    <fill>
      <patternFill patternType="solid">
        <fgColor rgb="00BFBFBF"/>
        <bgColor rgb="00B3B3B3"/>
      </patternFill>
    </fill>
    <fill>
      <patternFill patternType="solid">
        <fgColor rgb="0000B0F0"/>
        <bgColor rgb="0033CCCC"/>
      </patternFill>
    </fill>
    <fill>
      <patternFill patternType="solid">
        <fgColor rgb="00E6E0EC"/>
        <bgColor rgb="00DCE6F2"/>
      </patternFill>
    </fill>
    <fill>
      <patternFill patternType="solid">
        <fgColor rgb="0092D050"/>
        <bgColor rgb="00B3B3B3"/>
      </patternFill>
    </fill>
    <fill>
      <patternFill patternType="solid">
        <fgColor rgb="00D9D9D9"/>
        <bgColor rgb="00E6E0EC"/>
      </patternFill>
    </fill>
    <fill>
      <patternFill patternType="solid">
        <fgColor rgb="00FFC000"/>
        <bgColor rgb="00F79646"/>
      </patternFill>
    </fill>
    <fill>
      <patternFill patternType="solid">
        <fgColor rgb="008064A2"/>
        <bgColor rgb="00878787"/>
      </patternFill>
    </fill>
    <fill>
      <patternFill patternType="solid">
        <fgColor rgb="00FFFFFF"/>
        <bgColor rgb="00FFFFCC"/>
      </patternFill>
    </fill>
    <fill>
      <patternFill patternType="solid">
        <fgColor rgb="00F79646"/>
        <bgColor rgb="00FF8080"/>
      </patternFill>
    </fill>
    <fill>
      <patternFill patternType="solid">
        <fgColor rgb="00558ED5"/>
        <bgColor rgb="00878787"/>
      </patternFill>
    </fill>
    <fill>
      <patternFill patternType="solid">
        <fgColor rgb="00DCE6F2"/>
        <bgColor rgb="00E6E0EC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4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</xf>
    <xf applyAlignment="true" applyBorder="true" applyFont="false" applyProtection="false" borderId="2" fillId="3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3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3" fontId="0" numFmtId="166" xfId="0">
      <alignment horizontal="center" indent="0" shrinkToFit="false" textRotation="0" vertical="bottom" wrapText="false"/>
    </xf>
    <xf applyAlignment="true" applyBorder="true" applyFont="true" applyProtection="false" borderId="2" fillId="3" fontId="6" numFmtId="166" xfId="0">
      <alignment horizontal="center" indent="0" shrinkToFit="false" textRotation="0" vertical="bottom" wrapText="false"/>
    </xf>
    <xf applyAlignment="true" applyBorder="true" applyFont="true" applyProtection="false" borderId="2" fillId="3" fontId="7" numFmtId="165" xfId="0">
      <alignment horizontal="right" indent="0" shrinkToFit="false" textRotation="0" vertical="bottom" wrapText="false"/>
    </xf>
    <xf applyAlignment="true" applyBorder="true" applyFont="true" applyProtection="false" borderId="2" fillId="2" fontId="8" numFmtId="164" xfId="0">
      <alignment horizontal="center" indent="0" shrinkToFit="false" textRotation="0" vertical="bottom" wrapText="false"/>
    </xf>
    <xf applyAlignment="true" applyBorder="true" applyFont="true" applyProtection="false" borderId="2" fillId="3" fontId="9" numFmtId="165" xfId="0">
      <alignment horizontal="right" indent="0" shrinkToFit="false" textRotation="0" vertical="bottom" wrapText="false"/>
    </xf>
    <xf applyAlignment="true" applyBorder="true" applyFont="false" applyProtection="false" borderId="2" fillId="3" fontId="0" numFmtId="167" xfId="0">
      <alignment horizontal="center" indent="0" shrinkToFit="false" textRotation="0" vertical="bottom" wrapText="false"/>
    </xf>
    <xf applyAlignment="false" applyBorder="true" applyFont="false" applyProtection="false" borderId="2" fillId="0" fontId="0" numFmtId="164" xfId="0"/>
    <xf applyAlignment="true" applyBorder="true" applyFont="true" applyProtection="false" borderId="2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2" fillId="4" fontId="11" numFmtId="164" xfId="0">
      <alignment horizontal="center" indent="0" shrinkToFit="false" textRotation="0" vertical="bottom" wrapText="false"/>
    </xf>
    <xf applyAlignment="true" applyBorder="true" applyFont="true" applyProtection="false" borderId="2" fillId="4" fontId="12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12" numFmtId="164" xfId="0">
      <alignment horizontal="center" indent="0" shrinkToFit="false" textRotation="0" vertical="bottom" wrapText="tru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5" fontId="0" numFmtId="167" xfId="0">
      <alignment horizontal="center" indent="0" shrinkToFit="false" textRotation="0" vertical="bottom" wrapText="false"/>
    </xf>
    <xf applyAlignment="true" applyBorder="true" applyFont="true" applyProtection="false" borderId="2" fillId="0" fontId="8" numFmtId="164" xfId="0">
      <alignment horizontal="general" indent="0" shrinkToFit="false" textRotation="0" vertical="bottom" wrapText="false"/>
    </xf>
    <xf applyAlignment="true" applyBorder="true" applyFont="false" applyProtection="false" borderId="2" fillId="5" fontId="0" numFmtId="168" xfId="0">
      <alignment horizontal="center" indent="0" shrinkToFit="false" textRotation="0" vertical="bottom" wrapText="false"/>
    </xf>
    <xf applyAlignment="true" applyBorder="true" applyFont="true" applyProtection="false" borderId="2" fillId="6" fontId="7" numFmtId="164" xfId="0">
      <alignment horizontal="center" indent="0" shrinkToFit="false" textRotation="0" vertical="bottom" wrapText="false"/>
    </xf>
    <xf applyAlignment="true" applyBorder="true" applyFont="true" applyProtection="false" borderId="2" fillId="6" fontId="12" numFmtId="164" xfId="0">
      <alignment horizontal="center" indent="0" shrinkToFit="false" textRotation="0" vertical="center" wrapText="false"/>
    </xf>
    <xf applyAlignment="true" applyBorder="true" applyFont="true" applyProtection="false" borderId="2" fillId="6" fontId="12" numFmtId="164" xfId="0">
      <alignment horizontal="center" indent="0" shrinkToFit="false" textRotation="0" vertical="bottom" wrapText="true"/>
    </xf>
    <xf applyAlignment="true" applyBorder="true" applyFont="true" applyProtection="false" borderId="2" fillId="7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7" fontId="0" numFmtId="166" xfId="0">
      <alignment horizontal="center" indent="0" shrinkToFit="false" textRotation="0" vertical="bottom" wrapText="false"/>
    </xf>
    <xf applyAlignment="true" applyBorder="true" applyFont="true" applyProtection="false" borderId="2" fillId="6" fontId="9" numFmtId="164" xfId="0">
      <alignment horizontal="right" indent="0" shrinkToFit="false" textRotation="0" vertical="bottom" wrapText="false"/>
    </xf>
    <xf applyAlignment="true" applyBorder="true" applyFont="true" applyProtection="false" borderId="2" fillId="6" fontId="9" numFmtId="166" xfId="0">
      <alignment horizontal="center" indent="0" shrinkToFit="false" textRotation="0" vertical="bottom" wrapText="false"/>
    </xf>
    <xf applyAlignment="true" applyBorder="true" applyFont="false" applyProtection="false" borderId="2" fillId="7" fontId="0" numFmtId="169" xfId="0">
      <alignment horizontal="center" indent="0" shrinkToFit="false" textRotation="0" vertical="bottom" wrapText="false"/>
    </xf>
    <xf applyAlignment="true" applyBorder="true" applyFont="true" applyProtection="false" borderId="2" fillId="0" fontId="13" numFmtId="164" xfId="0">
      <alignment horizontal="center" indent="0" shrinkToFit="false" textRotation="0" vertical="bottom" wrapText="false"/>
    </xf>
    <xf applyAlignment="true" applyBorder="true" applyFont="true" applyProtection="false" borderId="2" fillId="8" fontId="6" numFmtId="164" xfId="0">
      <alignment horizontal="center" indent="0" shrinkToFit="false" textRotation="0" vertical="center" wrapText="true"/>
    </xf>
    <xf applyAlignment="true" applyBorder="true" applyFont="true" applyProtection="false" borderId="2" fillId="9" fontId="9" numFmtId="164" xfId="0">
      <alignment horizontal="center" indent="0" shrinkToFit="false" textRotation="0" vertical="bottom" wrapText="false"/>
    </xf>
    <xf applyAlignment="true" applyBorder="true" applyFont="true" applyProtection="false" borderId="2" fillId="3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9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8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9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0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3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3" fontId="0" numFmtId="164" xfId="0">
      <alignment horizontal="general" indent="0" shrinkToFit="false" textRotation="0" vertical="center" wrapText="true"/>
    </xf>
    <xf applyAlignment="true" applyBorder="true" applyFont="false" applyProtection="false" borderId="2" fillId="3" fontId="0" numFmtId="165" xfId="0">
      <alignment horizontal="center" indent="0" shrinkToFit="false" textRotation="0" vertical="center" wrapText="true"/>
    </xf>
    <xf applyAlignment="true" applyBorder="true" applyFont="true" applyProtection="false" borderId="2" fillId="3" fontId="0" numFmtId="164" xfId="0">
      <alignment horizontal="center" indent="0" shrinkToFit="false" textRotation="0" vertical="center" wrapText="false"/>
    </xf>
    <xf applyAlignment="true" applyBorder="true" applyFont="false" applyProtection="false" borderId="2" fillId="3" fontId="0" numFmtId="165" xfId="0">
      <alignment horizontal="center" indent="0" shrinkToFit="false" textRotation="0" vertical="center" wrapText="false"/>
    </xf>
    <xf applyAlignment="true" applyBorder="true" applyFont="false" applyProtection="false" borderId="2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2" fillId="11" fontId="9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14" numFmtId="164" xfId="0"/>
    <xf applyAlignment="true" applyBorder="true" applyFont="true" applyProtection="false" borderId="2" fillId="12" fontId="15" numFmtId="164" xfId="0">
      <alignment horizontal="center" indent="0" shrinkToFit="false" textRotation="0" vertical="center" wrapText="true"/>
    </xf>
    <xf applyAlignment="false" applyBorder="true" applyFont="false" applyProtection="false" borderId="0" fillId="0" fontId="0" numFmtId="164" xfId="0"/>
    <xf applyAlignment="true" applyBorder="true" applyFont="false" applyProtection="false" borderId="2" fillId="13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3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3" fontId="12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3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11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11" fontId="12" numFmtId="164" xfId="0">
      <alignment horizontal="center" indent="0" shrinkToFit="false" textRotation="0" vertical="bottom" wrapText="false"/>
    </xf>
    <xf applyAlignment="true" applyBorder="true" applyFont="true" applyProtection="false" borderId="2" fillId="13" fontId="6" numFmtId="164" xfId="0">
      <alignment horizontal="center" indent="0" shrinkToFit="false" textRotation="0" vertical="bottom" wrapText="false"/>
    </xf>
    <xf applyAlignment="true" applyBorder="true" applyFont="false" applyProtection="false" borderId="2" fillId="12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3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11" fontId="16" numFmtId="164" xfId="0">
      <alignment horizontal="center" indent="0" shrinkToFit="false" textRotation="0" vertical="bottom" wrapText="false"/>
    </xf>
    <xf applyAlignment="true" applyBorder="true" applyFont="true" applyProtection="false" borderId="2" fillId="12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3" fontId="16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2" fillId="2" fontId="17" numFmtId="164" xfId="0"/>
    <xf applyAlignment="true" applyBorder="true" applyFont="false" applyProtection="false" borderId="2" fillId="3" fontId="0" numFmtId="168" xfId="0">
      <alignment horizontal="center" indent="0" shrinkToFit="false" textRotation="0" vertical="bottom" wrapText="false"/>
    </xf>
    <xf applyAlignment="false" applyBorder="true" applyFont="true" applyProtection="false" borderId="2" fillId="2" fontId="5" numFmtId="164" xfId="0"/>
    <xf applyAlignment="true" applyBorder="true" applyFont="true" applyProtection="false" borderId="2" fillId="3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3" fontId="6" numFmtId="168" xfId="0">
      <alignment horizontal="center" indent="0" shrinkToFit="false" textRotation="0" vertical="bottom" wrapText="false"/>
    </xf>
    <xf applyAlignment="false" applyBorder="true" applyFont="true" applyProtection="false" borderId="2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78787"/>
      <rgbColor rgb="009999FF"/>
      <rgbColor rgb="00993366"/>
      <rgbColor rgb="00FFFFCC"/>
      <rgbColor rgb="00DCE6F2"/>
      <rgbColor rgb="00660066"/>
      <rgbColor rgb="00FF8080"/>
      <rgbColor rgb="00007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E6E0EC"/>
      <rgbColor rgb="00CCFFCC"/>
      <rgbColor rgb="00FFFF99"/>
      <rgbColor rgb="0099CCFF"/>
      <rgbColor rgb="00FF99CC"/>
      <rgbColor rgb="00CC99FF"/>
      <rgbColor rgb="00FFCC99"/>
      <rgbColor rgb="00558ED5"/>
      <rgbColor rgb="0033CCCC"/>
      <rgbColor rgb="0092D050"/>
      <rgbColor rgb="00FFC000"/>
      <rgbColor rgb="00F79646"/>
      <rgbColor rgb="00FF6600"/>
      <rgbColor rgb="008064A2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UNIDADES CORTADAS</a:t>
            </a:r>
          </a:p>
        </c:rich>
      </c:tx>
    </c:title>
    <c:view3D>
      <c:rotX val="23"/>
      <c:rotY val="11"/>
      <c:perspective val="30"/>
      <c:rAngAx val="1"/>
    </c:view3D>
    <c:backWall>
      <c:spPr>
        <a:ln w="9360">
          <a:solidFill>
            <a:srgbClr val="878787"/>
          </a:solidFill>
          <a:round/>
        </a:ln>
      </c:spPr>
    </c:backWall>
    <c:floor>
      <c:spPr>
        <a:ln w="9360">
          <a:solidFill>
            <a:srgbClr val="878787"/>
          </a:solidFill>
          <a:round/>
        </a:ln>
      </c:spPr>
    </c:floor>
    <c:plotArea>
      <c:layout/>
      <c:bar3DChart>
        <c:barDir val="col"/>
        <c:grouping val="stacked"/>
        <c:ser>
          <c:idx val="0"/>
          <c:order val="0"/>
          <c:tx>
            <c:strRef>
              <c:f>RESUMEN!$C$1</c:f>
              <c:strCache>
                <c:ptCount val="1"/>
                <c:pt idx="0">
                  <c:v>UNIDADES CORTADAS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RESUMEN!$A$2:$A$13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RESUMEN!$C$2:$C$13</c:f>
              <c:numCache>
                <c:formatCode>General</c:formatCode>
                <c:ptCount val="12"/>
                <c:pt idx="0">
                  <c:v>56</c:v>
                </c:pt>
                <c:pt idx="1">
                  <c:v>1071</c:v>
                </c:pt>
                <c:pt idx="2">
                  <c:v>3583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</c:numCache>
            </c:numRef>
          </c:val>
        </c:ser>
        <c:shape val="box"/>
        <c:gapWidth val="55"/>
        <c:axId val="32517183"/>
        <c:axId val="49886882"/>
        <c:axId val="0"/>
      </c:bar3DChart>
      <c:catAx>
        <c:axId val="32517183"/>
        <c:scaling>
          <c:orientation val="minMax"/>
        </c:scaling>
        <c:axPos val="b"/>
        <c:majorTickMark val="none"/>
        <c:minorTickMark val="none"/>
        <c:tickLblPos val="nextTo"/>
        <c:crossAx val="4988688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9886882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32517183"/>
        <c:crossesAt val="0"/>
        <c:spPr>
          <a:ln w="9360">
            <a:solidFill>
              <a:srgbClr val="878787"/>
            </a:solidFill>
            <a:round/>
          </a:ln>
        </c:spPr>
      </c:valAx>
      <c:spPr>
        <a:ln w="9360">
          <a:solidFill>
            <a:srgbClr val="878787"/>
          </a:solidFill>
          <a:round/>
        </a:ln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18720</xdr:colOff>
      <xdr:row>0</xdr:row>
      <xdr:rowOff>360</xdr:rowOff>
    </xdr:from>
    <xdr:to>
      <xdr:col>14</xdr:col>
      <xdr:colOff>15840</xdr:colOff>
      <xdr:row>20</xdr:row>
      <xdr:rowOff>156600</xdr:rowOff>
    </xdr:to>
    <xdr:graphicFrame>
      <xdr:nvGraphicFramePr>
        <xdr:cNvPr id="0" name="1 Gráfico"/>
        <xdr:cNvGraphicFramePr/>
      </xdr:nvGraphicFramePr>
      <xdr:xfrm>
        <a:off x="5002200" y="360"/>
        <a:ext cx="8700840" cy="401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0" activeCellId="0" pane="topLeft" sqref="G10"/>
    </sheetView>
  </sheetViews>
  <cols>
    <col collapsed="false" hidden="false" max="1" min="1" style="0" width="13.3372549019608"/>
    <col collapsed="false" hidden="false" max="2" min="2" style="0" width="10.921568627451"/>
    <col collapsed="false" hidden="false" max="3" min="3" style="0" width="12.5921568627451"/>
    <col collapsed="false" hidden="false" max="4" min="4" style="0" width="20.1490196078431"/>
    <col collapsed="false" hidden="false" max="5" min="5" style="0" width="8.5921568627451"/>
    <col collapsed="false" hidden="false" max="6" min="6" style="0" width="15.8627450980392"/>
    <col collapsed="false" hidden="false" max="7" min="7" style="0" width="15.4313725490196"/>
    <col collapsed="false" hidden="false" max="8" min="8" style="0" width="10.6705882352941"/>
    <col collapsed="false" hidden="false" max="9" min="9" style="0" width="11.5294117647059"/>
    <col collapsed="false" hidden="false" max="10" min="10" style="0" width="16.0039215686275"/>
    <col collapsed="false" hidden="false" max="11" min="11" style="0" width="11.8588235294118"/>
    <col collapsed="false" hidden="false" max="15" min="12" style="0" width="10.921568627451"/>
    <col collapsed="false" hidden="false" max="25" min="16" style="0" width="14.0823529411765"/>
    <col collapsed="false" hidden="false" max="1025" min="26" style="0" width="10.921568627451"/>
  </cols>
  <sheetData>
    <row collapsed="false" customFormat="false" customHeight="true" hidden="false" ht="23.2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ollapsed="false" customFormat="false" customHeight="true" hidden="false" ht="1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collapsed="false" customFormat="false" customHeight="true" hidden="false" ht="15" outlineLevel="0" r="3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4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5" t="s">
        <v>17</v>
      </c>
      <c r="R3" s="5"/>
      <c r="S3" s="5"/>
      <c r="T3" s="5"/>
      <c r="U3" s="5"/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</row>
    <row collapsed="false" customFormat="false" customHeight="true" hidden="false" ht="30" outlineLevel="0" r="4">
      <c r="A4" s="3"/>
      <c r="B4" s="3"/>
      <c r="C4" s="3"/>
      <c r="D4" s="3"/>
      <c r="E4" s="4"/>
      <c r="F4" s="4"/>
      <c r="G4" s="4"/>
      <c r="H4" s="3"/>
      <c r="I4" s="3"/>
      <c r="J4" s="4"/>
      <c r="K4" s="3"/>
      <c r="L4" s="3"/>
      <c r="M4" s="3"/>
      <c r="N4" s="3"/>
      <c r="O4" s="3"/>
      <c r="P4" s="3"/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/>
      <c r="W4" s="3"/>
      <c r="X4" s="3"/>
      <c r="Y4" s="3"/>
      <c r="Z4" s="3"/>
    </row>
    <row collapsed="false" customFormat="false" customHeight="true" hidden="false" ht="15" outlineLevel="0" r="5">
      <c r="A5" s="6" t="n">
        <v>41304</v>
      </c>
      <c r="B5" s="6" t="n">
        <v>41305</v>
      </c>
      <c r="C5" s="6" t="n">
        <v>41306</v>
      </c>
      <c r="D5" s="7" t="s">
        <v>28</v>
      </c>
      <c r="E5" s="7" t="s">
        <v>29</v>
      </c>
      <c r="F5" s="7" t="s">
        <v>30</v>
      </c>
      <c r="G5" s="7" t="s">
        <v>31</v>
      </c>
      <c r="H5" s="7" t="n">
        <v>50</v>
      </c>
      <c r="I5" s="7" t="n">
        <v>56</v>
      </c>
      <c r="J5" s="7" t="s">
        <v>32</v>
      </c>
      <c r="K5" s="7" t="n">
        <v>2.36</v>
      </c>
      <c r="L5" s="7"/>
      <c r="M5" s="7"/>
      <c r="N5" s="7"/>
      <c r="O5" s="7"/>
      <c r="P5" s="7"/>
      <c r="Q5" s="8" t="n">
        <f aca="false">+(5.09/I5)*'MATERIALES E INSUMOS'!H43</f>
        <v>45.8633682830931</v>
      </c>
      <c r="R5" s="8" t="n">
        <f aca="false">+(4.79/I5)*'MATERIALES E INSUMOS'!H44</f>
        <v>35.3129095674967</v>
      </c>
      <c r="S5" s="8" t="n">
        <f aca="false">+(5.09/I5)*'MATERIALES E INSUMOS'!H45</f>
        <v>19.3147321428571</v>
      </c>
      <c r="T5" s="8" t="n">
        <f aca="false">+I5/'MATERIALES E INSUMOS'!H47</f>
        <v>1.12</v>
      </c>
      <c r="U5" s="8" t="n">
        <v>40</v>
      </c>
      <c r="V5" s="8" t="n">
        <f aca="false">+'CONSUMO MATERIALES E INSUMOS'!D13</f>
        <v>40826.1</v>
      </c>
      <c r="W5" s="8"/>
      <c r="X5" s="8"/>
      <c r="Y5" s="8"/>
      <c r="Z5" s="9" t="n">
        <f aca="false">SUM(Q5:Y5)</f>
        <v>40967.7110099934</v>
      </c>
    </row>
    <row collapsed="false" customFormat="false" customHeight="true" hidden="false" ht="18.75" outlineLevel="0" r="6">
      <c r="A6" s="10" t="s">
        <v>33</v>
      </c>
      <c r="B6" s="10"/>
      <c r="C6" s="10"/>
      <c r="D6" s="10"/>
      <c r="E6" s="10"/>
      <c r="F6" s="10"/>
      <c r="G6" s="10"/>
      <c r="H6" s="10"/>
      <c r="I6" s="11" t="n">
        <f aca="false">SUM(I5)</f>
        <v>56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collapsed="false" customFormat="false" customHeight="true" hidden="false" ht="15" outlineLevel="0" r="7">
      <c r="A7" s="6" t="n">
        <v>41305</v>
      </c>
      <c r="B7" s="6" t="n">
        <v>41313</v>
      </c>
      <c r="C7" s="6" t="n">
        <v>41313</v>
      </c>
      <c r="D7" s="7" t="s">
        <v>28</v>
      </c>
      <c r="E7" s="7" t="s">
        <v>34</v>
      </c>
      <c r="F7" s="7" t="s">
        <v>35</v>
      </c>
      <c r="G7" s="7" t="s">
        <v>36</v>
      </c>
      <c r="H7" s="7" t="n">
        <v>9</v>
      </c>
      <c r="I7" s="7" t="n">
        <v>14</v>
      </c>
      <c r="J7" s="7" t="s">
        <v>37</v>
      </c>
      <c r="K7" s="7" t="n">
        <v>1.36</v>
      </c>
      <c r="L7" s="7" t="n">
        <v>0.1</v>
      </c>
      <c r="M7" s="7"/>
      <c r="N7" s="7"/>
      <c r="O7" s="7"/>
      <c r="P7" s="7" t="n">
        <v>0.33</v>
      </c>
      <c r="Q7" s="8" t="n">
        <f aca="false">+(7.83/I7)*'MATERIALES E INSUMOS'!$H$43</f>
        <v>282.208387942333</v>
      </c>
      <c r="R7" s="8" t="n">
        <f aca="false">+(7.53/I7)*'MATERIALES E INSUMOS'!$H$44</f>
        <v>222.051114023591</v>
      </c>
      <c r="S7" s="8" t="n">
        <f aca="false">+(7.83/I7)*'MATERIALES E INSUMOS'!$H$45</f>
        <v>118.848214285714</v>
      </c>
      <c r="T7" s="8" t="n">
        <f aca="false">+'MATERIALES E INSUMOS'!$H$47/OP!I7</f>
        <v>3.57142857142857</v>
      </c>
      <c r="U7" s="8" t="n">
        <v>40</v>
      </c>
      <c r="V7" s="8" t="n">
        <f aca="false">+'CONSUMO MATERIALES E INSUMOS'!I13</f>
        <v>19669.8</v>
      </c>
      <c r="W7" s="8"/>
      <c r="X7" s="8"/>
      <c r="Y7" s="8"/>
      <c r="Z7" s="9" t="n">
        <f aca="false">SUM(Q7:Y7)</f>
        <v>20336.4791448231</v>
      </c>
    </row>
    <row collapsed="false" customFormat="false" customHeight="true" hidden="false" ht="15" outlineLevel="0" r="8">
      <c r="A8" s="6" t="n">
        <v>41305</v>
      </c>
      <c r="B8" s="6" t="n">
        <v>41318</v>
      </c>
      <c r="C8" s="6" t="s">
        <v>38</v>
      </c>
      <c r="D8" s="7" t="s">
        <v>28</v>
      </c>
      <c r="E8" s="7" t="s">
        <v>39</v>
      </c>
      <c r="F8" s="7" t="s">
        <v>40</v>
      </c>
      <c r="G8" s="7" t="s">
        <v>41</v>
      </c>
      <c r="H8" s="7" t="n">
        <v>100</v>
      </c>
      <c r="I8" s="7" t="n">
        <v>39</v>
      </c>
      <c r="J8" s="7" t="s">
        <v>32</v>
      </c>
      <c r="K8" s="7" t="n">
        <v>4.6</v>
      </c>
      <c r="L8" s="7"/>
      <c r="M8" s="7"/>
      <c r="N8" s="7"/>
      <c r="O8" s="7"/>
      <c r="P8" s="7"/>
      <c r="Q8" s="8" t="n">
        <v>0</v>
      </c>
      <c r="R8" s="8" t="n">
        <v>0</v>
      </c>
      <c r="S8" s="8" t="n">
        <v>0</v>
      </c>
      <c r="T8" s="8" t="n">
        <f aca="false">+'MATERIALES E INSUMOS'!$H$47/OP!I8</f>
        <v>1.28205128205128</v>
      </c>
      <c r="U8" s="8" t="n">
        <v>0</v>
      </c>
      <c r="V8" s="8" t="n">
        <f aca="false">'CONSUMO MATERIALES E INSUMOS'!D25</f>
        <v>19040.2</v>
      </c>
      <c r="W8" s="8"/>
      <c r="X8" s="8"/>
      <c r="Y8" s="8"/>
      <c r="Z8" s="9" t="n">
        <f aca="false">SUM(Q8:Y8)</f>
        <v>19041.4820512821</v>
      </c>
    </row>
    <row collapsed="false" customFormat="false" customHeight="true" hidden="false" ht="15" outlineLevel="0" r="9">
      <c r="A9" s="6" t="n">
        <v>41316</v>
      </c>
      <c r="B9" s="6" t="n">
        <v>41319</v>
      </c>
      <c r="C9" s="6" t="n">
        <v>41319</v>
      </c>
      <c r="D9" s="7" t="s">
        <v>28</v>
      </c>
      <c r="E9" s="7" t="s">
        <v>42</v>
      </c>
      <c r="F9" s="7" t="s">
        <v>43</v>
      </c>
      <c r="G9" s="7" t="s">
        <v>44</v>
      </c>
      <c r="H9" s="7" t="n">
        <v>60</v>
      </c>
      <c r="I9" s="7" t="n">
        <v>80</v>
      </c>
      <c r="J9" s="7" t="s">
        <v>45</v>
      </c>
      <c r="K9" s="7" t="n">
        <v>1.16</v>
      </c>
      <c r="L9" s="7"/>
      <c r="M9" s="7"/>
      <c r="N9" s="7"/>
      <c r="O9" s="7"/>
      <c r="P9" s="7"/>
      <c r="Q9" s="8" t="n">
        <f aca="false">+(5.02/I9)*'MATERIALES E INSUMOS'!$H$43</f>
        <v>31.6628440366973</v>
      </c>
      <c r="R9" s="8" t="n">
        <f aca="false">+(4.72/I9)*'MATERIALES E INSUMOS'!$H$44</f>
        <v>24.3577981651376</v>
      </c>
      <c r="S9" s="8" t="n">
        <f aca="false">+(5.02/I9)*'MATERIALES E INSUMOS'!$H$45</f>
        <v>13.334375</v>
      </c>
      <c r="T9" s="8" t="n">
        <f aca="false">+'MATERIALES E INSUMOS'!$H$47/OP!I9</f>
        <v>0.625</v>
      </c>
      <c r="U9" s="8" t="n">
        <v>40</v>
      </c>
      <c r="V9" s="8" t="n">
        <f aca="false">'CONSUMO MATERIALES E INSUMOS'!I25</f>
        <v>18488.4</v>
      </c>
      <c r="W9" s="8"/>
      <c r="X9" s="8"/>
      <c r="Y9" s="8"/>
      <c r="Z9" s="9" t="n">
        <f aca="false">SUM(Q9:Y9)</f>
        <v>18598.3800172018</v>
      </c>
    </row>
    <row collapsed="false" customFormat="false" customHeight="true" hidden="false" ht="15" outlineLevel="0" r="10">
      <c r="A10" s="6" t="n">
        <v>41317</v>
      </c>
      <c r="B10" s="6" t="n">
        <v>41319</v>
      </c>
      <c r="C10" s="6" t="n">
        <v>41319</v>
      </c>
      <c r="D10" s="7" t="s">
        <v>28</v>
      </c>
      <c r="E10" s="7" t="s">
        <v>46</v>
      </c>
      <c r="F10" s="7" t="s">
        <v>47</v>
      </c>
      <c r="G10" s="7" t="s">
        <v>48</v>
      </c>
      <c r="H10" s="7" t="n">
        <v>60</v>
      </c>
      <c r="I10" s="7" t="n">
        <v>28</v>
      </c>
      <c r="J10" s="7" t="s">
        <v>32</v>
      </c>
      <c r="K10" s="7" t="n">
        <v>1.32</v>
      </c>
      <c r="L10" s="7"/>
      <c r="M10" s="7" t="n">
        <v>0.1</v>
      </c>
      <c r="N10" s="7"/>
      <c r="O10" s="7"/>
      <c r="P10" s="7"/>
      <c r="Q10" s="8" t="n">
        <f aca="false">+(3.01/I10)*'MATERIALES E INSUMOS'!$H$43</f>
        <v>54.2431192660551</v>
      </c>
      <c r="R10" s="8" t="n">
        <f aca="false">+(2.71/I10)*'MATERIALES E INSUMOS'!$H$44</f>
        <v>39.9574049803408</v>
      </c>
      <c r="S10" s="8" t="n">
        <f aca="false">+(3.01/I10)*'MATERIALES E INSUMOS'!$H$45</f>
        <v>22.84375</v>
      </c>
      <c r="T10" s="8" t="n">
        <f aca="false">+'MATERIALES E INSUMOS'!$H$47/OP!I10</f>
        <v>1.78571428571429</v>
      </c>
      <c r="U10" s="8" t="n">
        <v>40</v>
      </c>
      <c r="V10" s="8" t="n">
        <f aca="false">+'CONSUMO MATERIALES E INSUMOS'!D37</f>
        <v>23089.4</v>
      </c>
      <c r="W10" s="8"/>
      <c r="X10" s="8"/>
      <c r="Y10" s="8"/>
      <c r="Z10" s="9" t="n">
        <f aca="false">SUM(Q10:Y10)</f>
        <v>23248.2299885321</v>
      </c>
    </row>
    <row collapsed="false" customFormat="false" customHeight="true" hidden="false" ht="15" outlineLevel="0" r="11">
      <c r="A11" s="6" t="n">
        <v>41305</v>
      </c>
      <c r="B11" s="6" t="n">
        <v>41320</v>
      </c>
      <c r="C11" s="6" t="s">
        <v>38</v>
      </c>
      <c r="D11" s="7" t="s">
        <v>28</v>
      </c>
      <c r="E11" s="7" t="s">
        <v>49</v>
      </c>
      <c r="F11" s="7" t="s">
        <v>40</v>
      </c>
      <c r="G11" s="7" t="s">
        <v>41</v>
      </c>
      <c r="H11" s="7" t="n">
        <v>100</v>
      </c>
      <c r="I11" s="7" t="n">
        <v>78</v>
      </c>
      <c r="J11" s="7" t="s">
        <v>45</v>
      </c>
      <c r="K11" s="7" t="n">
        <v>4.6</v>
      </c>
      <c r="L11" s="7"/>
      <c r="M11" s="7"/>
      <c r="N11" s="7"/>
      <c r="O11" s="7"/>
      <c r="P11" s="7"/>
      <c r="Q11" s="8" t="n">
        <v>0</v>
      </c>
      <c r="R11" s="8" t="n">
        <v>0</v>
      </c>
      <c r="S11" s="8" t="n">
        <v>0</v>
      </c>
      <c r="T11" s="8" t="n">
        <f aca="false">+'MATERIALES E INSUMOS'!$H$47/OP!I11</f>
        <v>0.641025641025641</v>
      </c>
      <c r="U11" s="8" t="n">
        <v>0</v>
      </c>
      <c r="V11" s="8" t="n">
        <f aca="false">+V8</f>
        <v>19040.2</v>
      </c>
      <c r="W11" s="8"/>
      <c r="X11" s="8"/>
      <c r="Y11" s="8"/>
      <c r="Z11" s="9" t="n">
        <f aca="false">SUM(Q11:Y11)</f>
        <v>19040.841025641</v>
      </c>
    </row>
    <row collapsed="false" customFormat="false" customHeight="true" hidden="false" ht="15" outlineLevel="0" r="12">
      <c r="A12" s="6" t="n">
        <v>41305</v>
      </c>
      <c r="B12" s="6" t="n">
        <v>41323</v>
      </c>
      <c r="C12" s="6" t="n">
        <v>41324</v>
      </c>
      <c r="D12" s="7" t="s">
        <v>28</v>
      </c>
      <c r="E12" s="7" t="s">
        <v>50</v>
      </c>
      <c r="F12" s="7" t="s">
        <v>51</v>
      </c>
      <c r="G12" s="7" t="s">
        <v>52</v>
      </c>
      <c r="H12" s="7" t="n">
        <v>200</v>
      </c>
      <c r="I12" s="7" t="n">
        <v>273</v>
      </c>
      <c r="J12" s="7" t="s">
        <v>32</v>
      </c>
      <c r="K12" s="7" t="n">
        <v>1.25</v>
      </c>
      <c r="L12" s="7"/>
      <c r="M12" s="7"/>
      <c r="N12" s="7"/>
      <c r="O12" s="7"/>
      <c r="P12" s="7"/>
      <c r="Q12" s="8" t="n">
        <f aca="false">+(11.07/I12)*'MATERIALES E INSUMOS'!$H$43</f>
        <v>20.4607319286218</v>
      </c>
      <c r="R12" s="8" t="n">
        <f aca="false">+(10.97/I12)*'MATERIALES E INSUMOS'!$H$44</f>
        <v>16.5893739288235</v>
      </c>
      <c r="S12" s="8" t="n">
        <f aca="false">+(11.87/I12)*'MATERIALES E INSUMOS'!$H$45</f>
        <v>9.23946886446886</v>
      </c>
      <c r="T12" s="8" t="n">
        <f aca="false">+'MATERIALES E INSUMOS'!$H$47/OP!I12</f>
        <v>0.183150183150183</v>
      </c>
      <c r="U12" s="8" t="n">
        <v>40</v>
      </c>
      <c r="V12" s="8" t="n">
        <f aca="false">+'CONSUMO MATERIALES E INSUMOS'!I37</f>
        <v>10786.5</v>
      </c>
      <c r="W12" s="8"/>
      <c r="X12" s="8"/>
      <c r="Y12" s="8"/>
      <c r="Z12" s="9" t="n">
        <f aca="false">SUM(Q12:Y12)</f>
        <v>10872.9727249051</v>
      </c>
    </row>
    <row collapsed="false" customFormat="false" customHeight="true" hidden="false" ht="15" outlineLevel="0" r="13">
      <c r="A13" s="6" t="n">
        <v>41323</v>
      </c>
      <c r="B13" s="6" t="n">
        <v>41324</v>
      </c>
      <c r="C13" s="6" t="s">
        <v>38</v>
      </c>
      <c r="D13" s="7" t="s">
        <v>28</v>
      </c>
      <c r="E13" s="7" t="s">
        <v>53</v>
      </c>
      <c r="F13" s="7" t="s">
        <v>54</v>
      </c>
      <c r="G13" s="7" t="s">
        <v>55</v>
      </c>
      <c r="H13" s="7" t="n">
        <v>60</v>
      </c>
      <c r="I13" s="7" t="n">
        <v>60</v>
      </c>
      <c r="J13" s="7" t="s">
        <v>32</v>
      </c>
      <c r="K13" s="7" t="n">
        <v>1.8</v>
      </c>
      <c r="L13" s="7"/>
      <c r="M13" s="7"/>
      <c r="N13" s="7" t="n">
        <v>0.05</v>
      </c>
      <c r="O13" s="7"/>
      <c r="P13" s="7"/>
      <c r="Q13" s="8" t="n">
        <v>0</v>
      </c>
      <c r="R13" s="8" t="n">
        <v>0</v>
      </c>
      <c r="S13" s="8" t="n">
        <v>0</v>
      </c>
      <c r="T13" s="8" t="n">
        <f aca="false">+'MATERIALES E INSUMOS'!$H$47/OP!I13</f>
        <v>0.833333333333333</v>
      </c>
      <c r="U13" s="8" t="n">
        <v>0</v>
      </c>
      <c r="V13" s="8" t="n">
        <v>0</v>
      </c>
      <c r="W13" s="8"/>
      <c r="X13" s="8"/>
      <c r="Y13" s="8"/>
      <c r="Z13" s="9" t="n">
        <f aca="false">SUM(Q13:Y13)</f>
        <v>0.833333333333333</v>
      </c>
    </row>
    <row collapsed="false" customFormat="false" customHeight="true" hidden="false" ht="15" outlineLevel="0" r="14">
      <c r="A14" s="6" t="n">
        <v>41323</v>
      </c>
      <c r="B14" s="6" t="n">
        <v>41326</v>
      </c>
      <c r="C14" s="6" t="n">
        <v>41326</v>
      </c>
      <c r="D14" s="7" t="s">
        <v>28</v>
      </c>
      <c r="E14" s="7" t="s">
        <v>56</v>
      </c>
      <c r="F14" s="7" t="s">
        <v>57</v>
      </c>
      <c r="G14" s="7" t="s">
        <v>58</v>
      </c>
      <c r="H14" s="7" t="n">
        <v>240</v>
      </c>
      <c r="I14" s="7" t="n">
        <v>240</v>
      </c>
      <c r="J14" s="7" t="s">
        <v>59</v>
      </c>
      <c r="K14" s="7" t="n">
        <v>1.2</v>
      </c>
      <c r="L14" s="7" t="n">
        <v>0.17</v>
      </c>
      <c r="M14" s="7"/>
      <c r="N14" s="7"/>
      <c r="O14" s="7"/>
      <c r="P14" s="7"/>
      <c r="Q14" s="8" t="n">
        <f aca="false">+(9.01/I14)*'MATERIALES E INSUMOS'!$H$43</f>
        <v>18.9430428134557</v>
      </c>
      <c r="R14" s="8" t="n">
        <f aca="false">+(8.91/I14)*'MATERIALES E INSUMOS'!$H$44</f>
        <v>15.3268348623853</v>
      </c>
      <c r="S14" s="8" t="n">
        <f aca="false">+(9.81/I14)*'MATERIALES E INSUMOS'!$H$45</f>
        <v>8.6859375</v>
      </c>
      <c r="T14" s="8" t="n">
        <f aca="false">+'MATERIALES E INSUMOS'!$H$47/OP!I14</f>
        <v>0.208333333333333</v>
      </c>
      <c r="U14" s="8" t="n">
        <v>40</v>
      </c>
      <c r="V14" s="8" t="n">
        <f aca="false">+'CONSUMO MATERIALES E INSUMOS'!D51</f>
        <v>24193.88</v>
      </c>
      <c r="W14" s="8"/>
      <c r="X14" s="8"/>
      <c r="Y14" s="8" t="n">
        <v>1800</v>
      </c>
      <c r="Z14" s="9" t="n">
        <f aca="false">SUM(Q14:Y14)</f>
        <v>26077.0441485092</v>
      </c>
    </row>
    <row collapsed="false" customFormat="false" customHeight="true" hidden="false" ht="15" outlineLevel="0" r="15">
      <c r="A15" s="6" t="n">
        <v>41323</v>
      </c>
      <c r="B15" s="6" t="n">
        <v>41327</v>
      </c>
      <c r="C15" s="6" t="n">
        <v>41330</v>
      </c>
      <c r="D15" s="7" t="s">
        <v>28</v>
      </c>
      <c r="E15" s="7" t="s">
        <v>60</v>
      </c>
      <c r="F15" s="7" t="s">
        <v>61</v>
      </c>
      <c r="G15" s="7" t="s">
        <v>62</v>
      </c>
      <c r="H15" s="7" t="n">
        <v>100</v>
      </c>
      <c r="I15" s="7" t="n">
        <v>202</v>
      </c>
      <c r="J15" s="7" t="s">
        <v>32</v>
      </c>
      <c r="K15" s="7" t="n">
        <v>1.29</v>
      </c>
      <c r="L15" s="7"/>
      <c r="M15" s="7"/>
      <c r="N15" s="7"/>
      <c r="O15" s="7"/>
      <c r="P15" s="7"/>
      <c r="Q15" s="8" t="n">
        <f aca="false">+(10.61/I15)*'MATERIALES E INSUMOS'!$H$43</f>
        <v>26.5033154691616</v>
      </c>
      <c r="R15" s="8" t="n">
        <f aca="false">+(10.51/I15)*'MATERIALES E INSUMOS'!$H$44</f>
        <v>21.4801526024162</v>
      </c>
      <c r="S15" s="8" t="n">
        <f aca="false">+(11.41/I15)*'MATERIALES E INSUMOS'!$H$45</f>
        <v>12.0030940594059</v>
      </c>
      <c r="T15" s="8" t="n">
        <f aca="false">+'MATERIALES E INSUMOS'!$H$47/OP!I15</f>
        <v>0.247524752475248</v>
      </c>
      <c r="U15" s="8" t="n">
        <v>40</v>
      </c>
      <c r="V15" s="8" t="n">
        <f aca="false">+'CONSUMO MATERIALES E INSUMOS'!I51</f>
        <v>21891.8</v>
      </c>
      <c r="W15" s="8"/>
      <c r="X15" s="8"/>
      <c r="Y15" s="8"/>
      <c r="Z15" s="9" t="n">
        <f aca="false">SUM(Q15:Y15)</f>
        <v>21992.0340868835</v>
      </c>
    </row>
    <row collapsed="false" customFormat="false" customHeight="true" hidden="false" ht="15" outlineLevel="0" r="16">
      <c r="A16" s="6" t="n">
        <v>41331</v>
      </c>
      <c r="B16" s="6" t="n">
        <v>41331</v>
      </c>
      <c r="C16" s="6" t="s">
        <v>38</v>
      </c>
      <c r="D16" s="7" t="s">
        <v>28</v>
      </c>
      <c r="E16" s="7" t="s">
        <v>63</v>
      </c>
      <c r="F16" s="7" t="s">
        <v>54</v>
      </c>
      <c r="G16" s="7" t="s">
        <v>64</v>
      </c>
      <c r="H16" s="7" t="n">
        <v>186</v>
      </c>
      <c r="I16" s="7" t="n">
        <v>186</v>
      </c>
      <c r="J16" s="7" t="s">
        <v>32</v>
      </c>
      <c r="K16" s="7" t="n">
        <v>1.06</v>
      </c>
      <c r="L16" s="7"/>
      <c r="M16" s="7"/>
      <c r="N16" s="7"/>
      <c r="O16" s="7"/>
      <c r="P16" s="7"/>
      <c r="Q16" s="8" t="n">
        <v>0</v>
      </c>
      <c r="R16" s="8" t="n">
        <v>0</v>
      </c>
      <c r="S16" s="8" t="n">
        <v>0</v>
      </c>
      <c r="T16" s="8" t="n">
        <f aca="false">+'MATERIALES E INSUMOS'!$H$47/OP!I16</f>
        <v>0.268817204301075</v>
      </c>
      <c r="U16" s="8" t="n">
        <v>0</v>
      </c>
      <c r="V16" s="8" t="n">
        <v>0</v>
      </c>
      <c r="W16" s="8"/>
      <c r="X16" s="8"/>
      <c r="Y16" s="8"/>
      <c r="Z16" s="9" t="n">
        <f aca="false">SUM(Q16:Y16)</f>
        <v>0.268817204301075</v>
      </c>
    </row>
    <row collapsed="false" customFormat="false" customHeight="true" hidden="false" ht="15" outlineLevel="0" r="17">
      <c r="A17" s="6" t="n">
        <v>41331</v>
      </c>
      <c r="B17" s="6" t="n">
        <v>41331</v>
      </c>
      <c r="C17" s="6" t="s">
        <v>38</v>
      </c>
      <c r="D17" s="7" t="s">
        <v>28</v>
      </c>
      <c r="E17" s="7" t="s">
        <v>65</v>
      </c>
      <c r="F17" s="7" t="s">
        <v>66</v>
      </c>
      <c r="G17" s="7" t="s">
        <v>64</v>
      </c>
      <c r="H17" s="7" t="n">
        <v>54</v>
      </c>
      <c r="I17" s="7" t="n">
        <v>54</v>
      </c>
      <c r="J17" s="7" t="s">
        <v>32</v>
      </c>
      <c r="K17" s="7" t="n">
        <v>2.15</v>
      </c>
      <c r="L17" s="7"/>
      <c r="M17" s="7"/>
      <c r="N17" s="7"/>
      <c r="O17" s="7"/>
      <c r="P17" s="7"/>
      <c r="Q17" s="8" t="n">
        <v>0</v>
      </c>
      <c r="R17" s="8" t="n">
        <v>0</v>
      </c>
      <c r="S17" s="8" t="n">
        <v>0</v>
      </c>
      <c r="T17" s="8" t="n">
        <f aca="false">+'MATERIALES E INSUMOS'!$H$47/OP!I17</f>
        <v>0.925925925925926</v>
      </c>
      <c r="U17" s="8" t="n">
        <v>0</v>
      </c>
      <c r="V17" s="8" t="n">
        <v>0</v>
      </c>
      <c r="W17" s="8"/>
      <c r="X17" s="8"/>
      <c r="Y17" s="8"/>
      <c r="Z17" s="9" t="n">
        <f aca="false">SUM(Q17:Y17)</f>
        <v>0.925925925925926</v>
      </c>
    </row>
    <row collapsed="false" customFormat="false" customHeight="true" hidden="false" ht="15" outlineLevel="0" r="18">
      <c r="A18" s="6" t="n">
        <v>41332</v>
      </c>
      <c r="B18" s="6" t="n">
        <v>41332</v>
      </c>
      <c r="C18" s="6" t="s">
        <v>38</v>
      </c>
      <c r="D18" s="7" t="s">
        <v>28</v>
      </c>
      <c r="E18" s="7" t="s">
        <v>67</v>
      </c>
      <c r="F18" s="7" t="s">
        <v>66</v>
      </c>
      <c r="G18" s="7" t="s">
        <v>64</v>
      </c>
      <c r="H18" s="7" t="n">
        <v>120</v>
      </c>
      <c r="I18" s="7" t="n">
        <v>120</v>
      </c>
      <c r="J18" s="7" t="s">
        <v>32</v>
      </c>
      <c r="K18" s="7" t="n">
        <v>0.67</v>
      </c>
      <c r="L18" s="7"/>
      <c r="M18" s="7"/>
      <c r="N18" s="7"/>
      <c r="O18" s="7"/>
      <c r="P18" s="7"/>
      <c r="Q18" s="8" t="n">
        <v>0</v>
      </c>
      <c r="R18" s="8" t="n">
        <v>0</v>
      </c>
      <c r="S18" s="8" t="n">
        <v>0</v>
      </c>
      <c r="T18" s="8" t="n">
        <f aca="false">+'MATERIALES E INSUMOS'!$H$47/OP!I18</f>
        <v>0.416666666666667</v>
      </c>
      <c r="U18" s="8" t="n">
        <v>0</v>
      </c>
      <c r="V18" s="8" t="n">
        <v>0</v>
      </c>
      <c r="W18" s="8"/>
      <c r="X18" s="8"/>
      <c r="Y18" s="8"/>
      <c r="Z18" s="9" t="n">
        <f aca="false">SUM(Q18:Y18)</f>
        <v>0.416666666666667</v>
      </c>
    </row>
    <row collapsed="false" customFormat="false" customHeight="true" hidden="false" ht="15" outlineLevel="0" r="19">
      <c r="A19" s="6" t="n">
        <v>41318</v>
      </c>
      <c r="B19" s="6" t="n">
        <v>41333</v>
      </c>
      <c r="C19" s="6" t="n">
        <v>41333</v>
      </c>
      <c r="D19" s="7" t="s">
        <v>28</v>
      </c>
      <c r="E19" s="7" t="s">
        <v>68</v>
      </c>
      <c r="F19" s="7" t="s">
        <v>69</v>
      </c>
      <c r="G19" s="7" t="s">
        <v>69</v>
      </c>
      <c r="H19" s="7" t="n">
        <v>120</v>
      </c>
      <c r="I19" s="7" t="n">
        <v>117</v>
      </c>
      <c r="J19" s="7" t="s">
        <v>32</v>
      </c>
      <c r="K19" s="7" t="n">
        <v>3.31</v>
      </c>
      <c r="L19" s="7" t="n">
        <v>1.01</v>
      </c>
      <c r="M19" s="7" t="n">
        <v>0.21</v>
      </c>
      <c r="N19" s="7"/>
      <c r="O19" s="7"/>
      <c r="P19" s="7"/>
      <c r="Q19" s="8" t="n">
        <f aca="false">+(21.06/I19)*'MATERIALES E INSUMOS'!$H$43</f>
        <v>90.8256880733945</v>
      </c>
      <c r="R19" s="8" t="n">
        <f aca="false">+(21.36/I19)*'MATERIALES E INSUMOS'!$H$44</f>
        <v>75.3705010585745</v>
      </c>
      <c r="S19" s="8" t="n">
        <f aca="false">+(23.46/I19)*'MATERIALES E INSUMOS'!$H$45</f>
        <v>42.6089743589744</v>
      </c>
      <c r="T19" s="8" t="n">
        <f aca="false">+'MATERIALES E INSUMOS'!$H$47/OP!I19</f>
        <v>0.427350427350427</v>
      </c>
      <c r="U19" s="8" t="n">
        <v>40</v>
      </c>
      <c r="V19" s="8" t="n">
        <f aca="false">+'CONSUMO MATERIALES E INSUMOS'!D65</f>
        <v>43413</v>
      </c>
      <c r="W19" s="8"/>
      <c r="X19" s="8" t="n">
        <v>1200</v>
      </c>
      <c r="Y19" s="8"/>
      <c r="Z19" s="9" t="n">
        <f aca="false">SUM(Q19:Y19)</f>
        <v>44862.2325139183</v>
      </c>
    </row>
    <row collapsed="false" customFormat="false" customHeight="true" hidden="false" ht="18.75" outlineLevel="0" r="20">
      <c r="A20" s="12" t="s">
        <v>33</v>
      </c>
      <c r="B20" s="12"/>
      <c r="C20" s="12"/>
      <c r="D20" s="12"/>
      <c r="E20" s="12"/>
      <c r="F20" s="12"/>
      <c r="G20" s="12"/>
      <c r="H20" s="12"/>
      <c r="I20" s="11" t="n">
        <f aca="false">SUM(I7:I12,I14:I15,I19)</f>
        <v>1071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collapsed="false" customFormat="false" customHeight="true" hidden="false" ht="15" outlineLevel="0" r="21">
      <c r="A21" s="6" t="n">
        <v>41332</v>
      </c>
      <c r="B21" s="6" t="n">
        <v>41334</v>
      </c>
      <c r="C21" s="6" t="n">
        <v>41334</v>
      </c>
      <c r="D21" s="7" t="s">
        <v>28</v>
      </c>
      <c r="E21" s="7" t="s">
        <v>70</v>
      </c>
      <c r="F21" s="7" t="s">
        <v>71</v>
      </c>
      <c r="G21" s="7" t="s">
        <v>72</v>
      </c>
      <c r="H21" s="7" t="n">
        <v>96</v>
      </c>
      <c r="I21" s="7" t="n">
        <v>126</v>
      </c>
      <c r="J21" s="7" t="s">
        <v>32</v>
      </c>
      <c r="K21" s="7" t="n">
        <v>1.24</v>
      </c>
      <c r="L21" s="7" t="n">
        <v>0.18</v>
      </c>
      <c r="M21" s="7"/>
      <c r="N21" s="7"/>
      <c r="O21" s="7"/>
      <c r="P21" s="7"/>
      <c r="Q21" s="8" t="n">
        <f aca="false">+(7.89/I21)*'MATERIALES E INSUMOS'!$H$43</f>
        <v>31.5967671472259</v>
      </c>
      <c r="R21" s="8" t="n">
        <f aca="false">+(7.79/I21)*'MATERIALES E INSUMOS'!$H$44</f>
        <v>25.524246395806</v>
      </c>
      <c r="S21" s="8" t="n">
        <f aca="false">+(8.69/I21)*'MATERIALES E INSUMOS'!$H$45</f>
        <v>14.655753968254</v>
      </c>
      <c r="T21" s="8" t="n">
        <f aca="false">+'MATERIALES E INSUMOS'!$H$47/OP!I21</f>
        <v>0.396825396825397</v>
      </c>
      <c r="U21" s="8" t="n">
        <v>40</v>
      </c>
      <c r="V21" s="8" t="n">
        <f aca="false">+'CONSUMO MATERIALES E INSUMOS'!I65</f>
        <v>21373.2</v>
      </c>
      <c r="W21" s="8"/>
      <c r="X21" s="8"/>
      <c r="Y21" s="8"/>
      <c r="Z21" s="9" t="n">
        <f aca="false">SUM(Q21:Y21)</f>
        <v>21485.3735929081</v>
      </c>
    </row>
    <row collapsed="false" customFormat="false" customHeight="true" hidden="false" ht="15" outlineLevel="0" r="22">
      <c r="A22" s="6" t="n">
        <v>41337</v>
      </c>
      <c r="B22" s="6" t="n">
        <v>41337</v>
      </c>
      <c r="C22" s="6" t="s">
        <v>38</v>
      </c>
      <c r="D22" s="7" t="s">
        <v>28</v>
      </c>
      <c r="E22" s="7" t="s">
        <v>73</v>
      </c>
      <c r="F22" s="7" t="s">
        <v>66</v>
      </c>
      <c r="G22" s="7" t="s">
        <v>64</v>
      </c>
      <c r="H22" s="7" t="n">
        <v>33</v>
      </c>
      <c r="I22" s="7" t="n">
        <v>33</v>
      </c>
      <c r="J22" s="7" t="s">
        <v>32</v>
      </c>
      <c r="K22" s="7" t="n">
        <v>1.9</v>
      </c>
      <c r="L22" s="7"/>
      <c r="M22" s="7"/>
      <c r="N22" s="7"/>
      <c r="O22" s="7"/>
      <c r="P22" s="7"/>
      <c r="Q22" s="8" t="n">
        <v>0</v>
      </c>
      <c r="R22" s="8" t="n">
        <v>0</v>
      </c>
      <c r="S22" s="8" t="n">
        <v>0</v>
      </c>
      <c r="T22" s="8" t="n">
        <f aca="false">+'MATERIALES E INSUMOS'!$H$47/OP!I27</f>
        <v>0.0367647058823529</v>
      </c>
      <c r="U22" s="8" t="n">
        <v>0</v>
      </c>
      <c r="V22" s="8" t="n">
        <v>0</v>
      </c>
      <c r="W22" s="8"/>
      <c r="X22" s="8"/>
      <c r="Y22" s="8"/>
      <c r="Z22" s="9" t="n">
        <f aca="false">SUM(Q22:Y22)</f>
        <v>0.0367647058823529</v>
      </c>
    </row>
    <row collapsed="false" customFormat="false" customHeight="true" hidden="false" ht="15" outlineLevel="0" r="23">
      <c r="A23" s="6" t="n">
        <v>41337</v>
      </c>
      <c r="B23" s="6" t="n">
        <v>41338</v>
      </c>
      <c r="C23" s="6" t="s">
        <v>38</v>
      </c>
      <c r="D23" s="7" t="s">
        <v>28</v>
      </c>
      <c r="E23" s="7" t="s">
        <v>74</v>
      </c>
      <c r="F23" s="7" t="s">
        <v>66</v>
      </c>
      <c r="G23" s="7" t="s">
        <v>64</v>
      </c>
      <c r="H23" s="7" t="n">
        <v>35</v>
      </c>
      <c r="I23" s="7" t="n">
        <v>35</v>
      </c>
      <c r="J23" s="7" t="s">
        <v>32</v>
      </c>
      <c r="K23" s="7" t="n">
        <v>1.6</v>
      </c>
      <c r="L23" s="7"/>
      <c r="M23" s="7"/>
      <c r="N23" s="7"/>
      <c r="O23" s="7"/>
      <c r="P23" s="7"/>
      <c r="Q23" s="8" t="n">
        <v>0</v>
      </c>
      <c r="R23" s="8" t="n">
        <v>0</v>
      </c>
      <c r="S23" s="8" t="n">
        <v>0</v>
      </c>
      <c r="T23" s="8" t="n">
        <f aca="false">+'MATERIALES E INSUMOS'!$H$47/OP!I28</f>
        <v>3.33333333333333</v>
      </c>
      <c r="U23" s="8" t="n">
        <v>0</v>
      </c>
      <c r="V23" s="8" t="n">
        <v>0</v>
      </c>
      <c r="W23" s="8"/>
      <c r="X23" s="8"/>
      <c r="Y23" s="8"/>
      <c r="Z23" s="9" t="n">
        <f aca="false">SUM(Q23:Y23)</f>
        <v>3.33333333333333</v>
      </c>
    </row>
    <row collapsed="false" customFormat="false" customHeight="true" hidden="false" ht="15" outlineLevel="0" r="24">
      <c r="A24" s="6" t="n">
        <v>41326</v>
      </c>
      <c r="B24" s="6" t="n">
        <v>41339</v>
      </c>
      <c r="C24" s="6" t="n">
        <v>41339</v>
      </c>
      <c r="D24" s="7" t="s">
        <v>75</v>
      </c>
      <c r="E24" s="7" t="s">
        <v>76</v>
      </c>
      <c r="F24" s="7" t="s">
        <v>77</v>
      </c>
      <c r="G24" s="7" t="s">
        <v>78</v>
      </c>
      <c r="H24" s="7" t="n">
        <v>700</v>
      </c>
      <c r="I24" s="7" t="n">
        <v>711</v>
      </c>
      <c r="J24" s="7" t="s">
        <v>32</v>
      </c>
      <c r="K24" s="7" t="n">
        <v>0.64</v>
      </c>
      <c r="L24" s="7"/>
      <c r="M24" s="7" t="n">
        <v>0.05</v>
      </c>
      <c r="N24" s="7"/>
      <c r="O24" s="7"/>
      <c r="P24" s="7"/>
      <c r="Q24" s="8" t="n">
        <f aca="false">+(7.93/I24)*'MATERIALES E INSUMOS'!$H$43</f>
        <v>5.62781455244584</v>
      </c>
      <c r="R24" s="8" t="n">
        <f aca="false">+(7.83/I24)*'MATERIALES E INSUMOS'!$H$44</f>
        <v>4.54651027755197</v>
      </c>
      <c r="S24" s="8" t="n">
        <f aca="false">+(8.73/I24)*'MATERIALES E INSUMOS'!$H$45</f>
        <v>2.60917721518987</v>
      </c>
      <c r="T24" s="8" t="n">
        <f aca="false">+'MATERIALES E INSUMOS'!$H$47/OP!I22</f>
        <v>1.51515151515152</v>
      </c>
      <c r="U24" s="8" t="n">
        <v>40</v>
      </c>
      <c r="V24" s="8" t="n">
        <f aca="false">+'CONSUMO MATERIALES E INSUMOS'!D78</f>
        <v>8351</v>
      </c>
      <c r="W24" s="8"/>
      <c r="X24" s="8" t="n">
        <v>1200</v>
      </c>
      <c r="Y24" s="8"/>
      <c r="Z24" s="9" t="n">
        <f aca="false">SUM(Q24:Y24)</f>
        <v>9605.29865356034</v>
      </c>
    </row>
    <row collapsed="false" customFormat="false" customHeight="true" hidden="false" ht="15" outlineLevel="0" r="25">
      <c r="A25" s="6" t="n">
        <v>41327</v>
      </c>
      <c r="B25" s="6" t="n">
        <v>41339</v>
      </c>
      <c r="C25" s="6" t="n">
        <v>41340</v>
      </c>
      <c r="D25" s="7" t="s">
        <v>28</v>
      </c>
      <c r="E25" s="7" t="s">
        <v>79</v>
      </c>
      <c r="F25" s="7" t="s">
        <v>80</v>
      </c>
      <c r="G25" s="7" t="s">
        <v>29</v>
      </c>
      <c r="H25" s="7" t="n">
        <v>448</v>
      </c>
      <c r="I25" s="7" t="n">
        <v>512</v>
      </c>
      <c r="J25" s="7" t="s">
        <v>32</v>
      </c>
      <c r="K25" s="7" t="n">
        <v>0.13</v>
      </c>
      <c r="L25" s="7"/>
      <c r="M25" s="7"/>
      <c r="N25" s="7"/>
      <c r="O25" s="7"/>
      <c r="P25" s="7"/>
      <c r="Q25" s="8" t="n">
        <f aca="false">+(2.52/I25)*'MATERIALES E INSUMOS'!$H$43</f>
        <v>2.48351490825688</v>
      </c>
      <c r="R25" s="8" t="n">
        <f aca="false">+(2.22/I25)*'MATERIALES E INSUMOS'!$H$44</f>
        <v>1.79006594036697</v>
      </c>
      <c r="S25" s="8" t="n">
        <f aca="false">+(2.52/I25)*'MATERIALES E INSUMOS'!$H$45</f>
        <v>1.0458984375</v>
      </c>
      <c r="T25" s="8" t="n">
        <f aca="false">+'MATERIALES E INSUMOS'!$H$47/OP!I24</f>
        <v>0.070323488045007</v>
      </c>
      <c r="U25" s="8" t="n">
        <v>40</v>
      </c>
      <c r="V25" s="8" t="n">
        <f aca="false">+'CONSUMO MATERIALES E INSUMOS'!I77</f>
        <v>3037.2</v>
      </c>
      <c r="W25" s="8"/>
      <c r="X25" s="8"/>
      <c r="Y25" s="8"/>
      <c r="Z25" s="9" t="n">
        <f aca="false">SUM(Q25:Y25)</f>
        <v>3082.58980277417</v>
      </c>
    </row>
    <row collapsed="false" customFormat="false" customHeight="true" hidden="false" ht="15" outlineLevel="0" r="26">
      <c r="A26" s="6" t="n">
        <v>41339</v>
      </c>
      <c r="B26" s="6" t="n">
        <v>41339</v>
      </c>
      <c r="C26" s="6" t="s">
        <v>38</v>
      </c>
      <c r="D26" s="7" t="s">
        <v>28</v>
      </c>
      <c r="E26" s="7" t="s">
        <v>81</v>
      </c>
      <c r="F26" s="7" t="s">
        <v>66</v>
      </c>
      <c r="G26" s="7" t="s">
        <v>64</v>
      </c>
      <c r="H26" s="7" t="n">
        <v>11</v>
      </c>
      <c r="I26" s="7" t="n">
        <v>11</v>
      </c>
      <c r="J26" s="7" t="s">
        <v>32</v>
      </c>
      <c r="K26" s="7" t="n">
        <v>2.21</v>
      </c>
      <c r="L26" s="7"/>
      <c r="M26" s="7"/>
      <c r="N26" s="7"/>
      <c r="O26" s="7"/>
      <c r="P26" s="7"/>
      <c r="Q26" s="8" t="n">
        <v>0</v>
      </c>
      <c r="R26" s="8" t="n">
        <v>0</v>
      </c>
      <c r="S26" s="8" t="n">
        <v>0</v>
      </c>
      <c r="T26" s="8" t="n">
        <f aca="false">+'MATERIALES E INSUMOS'!$H$47/OP!I29</f>
        <v>0.25</v>
      </c>
      <c r="U26" s="8" t="n">
        <v>0</v>
      </c>
      <c r="V26" s="8" t="n">
        <v>0</v>
      </c>
      <c r="W26" s="8"/>
      <c r="X26" s="8"/>
      <c r="Y26" s="8"/>
      <c r="Z26" s="9" t="n">
        <f aca="false">SUM(Q26:Y26)</f>
        <v>0.25</v>
      </c>
    </row>
    <row collapsed="false" customFormat="false" customHeight="true" hidden="false" ht="15" outlineLevel="0" r="27">
      <c r="A27" s="6" t="n">
        <v>41327</v>
      </c>
      <c r="B27" s="6" t="n">
        <v>41344</v>
      </c>
      <c r="C27" s="6" t="n">
        <v>41345</v>
      </c>
      <c r="D27" s="7" t="s">
        <v>28</v>
      </c>
      <c r="E27" s="7" t="s">
        <v>82</v>
      </c>
      <c r="F27" s="7" t="s">
        <v>83</v>
      </c>
      <c r="G27" s="7" t="s">
        <v>84</v>
      </c>
      <c r="H27" s="7" t="n">
        <v>720</v>
      </c>
      <c r="I27" s="7" t="n">
        <v>1360</v>
      </c>
      <c r="J27" s="7" t="s">
        <v>32</v>
      </c>
      <c r="K27" s="7" t="n">
        <v>0.25</v>
      </c>
      <c r="L27" s="7"/>
      <c r="M27" s="7"/>
      <c r="N27" s="7"/>
      <c r="O27" s="7"/>
      <c r="P27" s="7"/>
      <c r="Q27" s="8" t="n">
        <f aca="false">+(6.34/I27)*'MATERIALES E INSUMOS'!$H$43</f>
        <v>2.35226659471128</v>
      </c>
      <c r="R27" s="8" t="n">
        <f aca="false">+(6.54/I27)*'MATERIALES E INSUMOS'!$H$44</f>
        <v>1.98529411764706</v>
      </c>
      <c r="S27" s="8" t="n">
        <f aca="false">+(7.14/I27)*'MATERIALES E INSUMOS'!$H$45</f>
        <v>1.115625</v>
      </c>
      <c r="T27" s="8" t="n">
        <f aca="false">+'MATERIALES E INSUMOS'!$H$47/OP!I25</f>
        <v>0.09765625</v>
      </c>
      <c r="U27" s="8" t="n">
        <v>40</v>
      </c>
      <c r="V27" s="8" t="n">
        <f aca="false">+'CONSUMO MATERIALES E INSUMOS'!D103</f>
        <v>4711.2</v>
      </c>
      <c r="W27" s="8"/>
      <c r="X27" s="8"/>
      <c r="Y27" s="8"/>
      <c r="Z27" s="9" t="n">
        <f aca="false">SUM(Q27:Y27)</f>
        <v>4756.75084196236</v>
      </c>
    </row>
    <row collapsed="false" customFormat="false" customHeight="true" hidden="false" ht="15" outlineLevel="0" r="28">
      <c r="A28" s="6" t="n">
        <v>41337</v>
      </c>
      <c r="B28" s="6" t="n">
        <v>41344</v>
      </c>
      <c r="C28" s="6" t="n">
        <v>41345</v>
      </c>
      <c r="D28" s="7" t="s">
        <v>85</v>
      </c>
      <c r="E28" s="7" t="s">
        <v>86</v>
      </c>
      <c r="F28" s="7" t="s">
        <v>87</v>
      </c>
      <c r="G28" s="7" t="s">
        <v>88</v>
      </c>
      <c r="H28" s="7" t="n">
        <v>15</v>
      </c>
      <c r="I28" s="7" t="n">
        <v>15</v>
      </c>
      <c r="J28" s="7" t="s">
        <v>45</v>
      </c>
      <c r="K28" s="7" t="n">
        <v>0.55</v>
      </c>
      <c r="L28" s="7"/>
      <c r="M28" s="7"/>
      <c r="N28" s="7"/>
      <c r="O28" s="7"/>
      <c r="P28" s="7"/>
      <c r="Q28" s="8" t="n">
        <f aca="false">+(2.04/I28)*'MATERIALES E INSUMOS'!$H$43</f>
        <v>68.6238532110092</v>
      </c>
      <c r="R28" s="8" t="n">
        <f aca="false">+(1.84/I28)*'MATERIALES E INSUMOS'!$H$44</f>
        <v>50.6422018348624</v>
      </c>
      <c r="S28" s="8" t="n">
        <f aca="false">+(2.04/I28)*'MATERIALES E INSUMOS'!$H$45</f>
        <v>28.9</v>
      </c>
      <c r="T28" s="8" t="n">
        <f aca="false">+'MATERIALES E INSUMOS'!$H$47/OP!I26</f>
        <v>4.54545454545455</v>
      </c>
      <c r="U28" s="8" t="n">
        <v>40</v>
      </c>
      <c r="V28" s="8" t="n">
        <f aca="false">+'CONSUMO MATERIALES E INSUMOS'!I103</f>
        <v>74.4</v>
      </c>
      <c r="W28" s="8"/>
      <c r="X28" s="8"/>
      <c r="Y28" s="8"/>
      <c r="Z28" s="9" t="n">
        <f aca="false">SUM(Q28:Y28)</f>
        <v>267.111509591326</v>
      </c>
    </row>
    <row collapsed="false" customFormat="false" customHeight="true" hidden="false" ht="15" outlineLevel="0" r="29">
      <c r="A29" s="6" t="n">
        <v>41346</v>
      </c>
      <c r="B29" s="6" t="n">
        <v>41347</v>
      </c>
      <c r="C29" s="7" t="s">
        <v>38</v>
      </c>
      <c r="D29" s="7" t="s">
        <v>28</v>
      </c>
      <c r="E29" s="7" t="s">
        <v>89</v>
      </c>
      <c r="F29" s="7" t="s">
        <v>40</v>
      </c>
      <c r="G29" s="7" t="s">
        <v>90</v>
      </c>
      <c r="H29" s="7" t="n">
        <v>200</v>
      </c>
      <c r="I29" s="7" t="n">
        <v>200</v>
      </c>
      <c r="J29" s="7" t="s">
        <v>91</v>
      </c>
      <c r="K29" s="7" t="n">
        <v>3.48</v>
      </c>
      <c r="L29" s="7"/>
      <c r="M29" s="7"/>
      <c r="N29" s="7"/>
      <c r="O29" s="7"/>
      <c r="P29" s="7"/>
      <c r="Q29" s="8" t="n">
        <v>0</v>
      </c>
      <c r="R29" s="8" t="n">
        <v>0</v>
      </c>
      <c r="S29" s="8" t="n">
        <v>0</v>
      </c>
      <c r="T29" s="8" t="n">
        <f aca="false">+'MATERIALES E INSUMOS'!$H$47/OP!I35</f>
        <v>0.263157894736842</v>
      </c>
      <c r="U29" s="8" t="n">
        <v>0</v>
      </c>
      <c r="V29" s="8" t="n">
        <f aca="false">+'CONSUMO MATERIALES E INSUMOS'!D82</f>
        <v>15048</v>
      </c>
      <c r="W29" s="8"/>
      <c r="X29" s="8"/>
      <c r="Y29" s="8"/>
      <c r="Z29" s="9" t="n">
        <f aca="false">SUM(Q29:Y29)</f>
        <v>15048.2631578947</v>
      </c>
    </row>
    <row collapsed="false" customFormat="false" customHeight="true" hidden="false" ht="15" outlineLevel="0" r="30">
      <c r="A30" s="6" t="n">
        <v>41327</v>
      </c>
      <c r="B30" s="6" t="n">
        <v>41348</v>
      </c>
      <c r="C30" s="6" t="n">
        <v>41348</v>
      </c>
      <c r="D30" s="7" t="s">
        <v>28</v>
      </c>
      <c r="E30" s="7" t="s">
        <v>92</v>
      </c>
      <c r="F30" s="7" t="s">
        <v>51</v>
      </c>
      <c r="G30" s="7" t="s">
        <v>93</v>
      </c>
      <c r="H30" s="7" t="n">
        <v>102</v>
      </c>
      <c r="I30" s="7" t="n">
        <v>126</v>
      </c>
      <c r="J30" s="7" t="s">
        <v>32</v>
      </c>
      <c r="K30" s="7" t="n">
        <v>1.17</v>
      </c>
      <c r="L30" s="7" t="n">
        <v>0.46</v>
      </c>
      <c r="M30" s="7"/>
      <c r="N30" s="7"/>
      <c r="O30" s="7"/>
      <c r="P30" s="7"/>
      <c r="Q30" s="8" t="n">
        <f aca="false">+(7.16/I30)*'MATERIALES E INSUMOS'!$H$43</f>
        <v>28.6733653706131</v>
      </c>
      <c r="R30" s="8" t="n">
        <f aca="false">+(6.76/I30)*'MATERIALES E INSUMOS'!$H$44</f>
        <v>22.1494102228047</v>
      </c>
      <c r="S30" s="8" t="n">
        <f aca="false">+(7.16/I30)*'MATERIALES E INSUMOS'!$H$45</f>
        <v>12.0753968253968</v>
      </c>
      <c r="T30" s="8" t="n">
        <f aca="false">+'MATERIALES E INSUMOS'!$H$47/OP!I23</f>
        <v>1.42857142857143</v>
      </c>
      <c r="U30" s="8" t="n">
        <v>40</v>
      </c>
      <c r="V30" s="8" t="n">
        <f aca="false">+'CONSUMO MATERIALES E INSUMOS'!D128</f>
        <v>15223.4</v>
      </c>
      <c r="W30" s="8"/>
      <c r="X30" s="8"/>
      <c r="Y30" s="8"/>
      <c r="Z30" s="9" t="n">
        <f aca="false">SUM(Q30:Y30)</f>
        <v>15327.7267438474</v>
      </c>
    </row>
    <row collapsed="false" customFormat="false" customHeight="true" hidden="false" ht="15" outlineLevel="0" r="31">
      <c r="A31" s="6" t="n">
        <v>41346</v>
      </c>
      <c r="B31" s="6" t="n">
        <v>41348</v>
      </c>
      <c r="C31" s="6" t="n">
        <v>41349</v>
      </c>
      <c r="D31" s="7" t="s">
        <v>28</v>
      </c>
      <c r="E31" s="7" t="s">
        <v>94</v>
      </c>
      <c r="F31" s="7" t="s">
        <v>47</v>
      </c>
      <c r="G31" s="7" t="s">
        <v>48</v>
      </c>
      <c r="H31" s="7" t="n">
        <v>40</v>
      </c>
      <c r="I31" s="7" t="n">
        <v>32</v>
      </c>
      <c r="J31" s="7" t="s">
        <v>95</v>
      </c>
      <c r="K31" s="7" t="n">
        <v>1.23</v>
      </c>
      <c r="L31" s="7"/>
      <c r="M31" s="7" t="n">
        <v>0.1</v>
      </c>
      <c r="N31" s="7"/>
      <c r="O31" s="7"/>
      <c r="P31" s="7"/>
      <c r="Q31" s="8" t="n">
        <f aca="false">+(2.83/I31)*'MATERIALES E INSUMOS'!$H$43</f>
        <v>44.6244266055046</v>
      </c>
      <c r="R31" s="8" t="n">
        <f aca="false">+(2.63/I31)*'MATERIALES E INSUMOS'!$H$44</f>
        <v>33.9306192660551</v>
      </c>
      <c r="S31" s="8" t="n">
        <f aca="false">+(2.83/I31)*'MATERIALES E INSUMOS'!$H$45</f>
        <v>18.79296875</v>
      </c>
      <c r="T31" s="8" t="n">
        <f aca="false">+'MATERIALES E INSUMOS'!$H$47/OP!I33</f>
        <v>0.675675675675676</v>
      </c>
      <c r="U31" s="8" t="n">
        <v>40</v>
      </c>
      <c r="V31" s="8" t="n">
        <f aca="false">+'CONSUMO MATERIALES E INSUMOS'!D37</f>
        <v>23089.4</v>
      </c>
      <c r="W31" s="8"/>
      <c r="X31" s="8"/>
      <c r="Y31" s="8"/>
      <c r="Z31" s="9" t="n">
        <f aca="false">SUM(Q31:Y31)</f>
        <v>23227.4236902972</v>
      </c>
    </row>
    <row collapsed="false" customFormat="false" customHeight="true" hidden="false" ht="15" outlineLevel="0" r="32">
      <c r="A32" s="6" t="n">
        <v>41347</v>
      </c>
      <c r="B32" s="6" t="n">
        <v>41348</v>
      </c>
      <c r="C32" s="7" t="s">
        <v>38</v>
      </c>
      <c r="D32" s="7" t="s">
        <v>28</v>
      </c>
      <c r="E32" s="7" t="s">
        <v>96</v>
      </c>
      <c r="F32" s="7" t="s">
        <v>54</v>
      </c>
      <c r="G32" s="7" t="s">
        <v>64</v>
      </c>
      <c r="H32" s="7" t="n">
        <v>48</v>
      </c>
      <c r="I32" s="7" t="n">
        <v>48</v>
      </c>
      <c r="J32" s="7" t="s">
        <v>32</v>
      </c>
      <c r="K32" s="7" t="n">
        <v>2.06</v>
      </c>
      <c r="L32" s="7"/>
      <c r="M32" s="7"/>
      <c r="N32" s="7"/>
      <c r="O32" s="7"/>
      <c r="P32" s="7"/>
      <c r="Q32" s="8" t="n">
        <f aca="false">+(7.83/I32)*'MATERIALES E INSUMOS'!$H$43</f>
        <v>82.3107798165138</v>
      </c>
      <c r="R32" s="8" t="n">
        <f aca="false">+(7.53/I32)*'MATERIALES E INSUMOS'!$H$44</f>
        <v>64.7649082568808</v>
      </c>
      <c r="S32" s="8" t="n">
        <f aca="false">+(7.83/I32)*'MATERIALES E INSUMOS'!$H$45</f>
        <v>34.6640625</v>
      </c>
      <c r="T32" s="8" t="n">
        <f aca="false">+'MATERIALES E INSUMOS'!$H$47/OP!I37</f>
        <v>0.961538461538462</v>
      </c>
      <c r="U32" s="8" t="n">
        <v>40</v>
      </c>
      <c r="V32" s="8" t="n">
        <f aca="false">+'CONSUMO MATERIALES E INSUMOS'!D84</f>
        <v>364.8</v>
      </c>
      <c r="W32" s="8"/>
      <c r="X32" s="8"/>
      <c r="Y32" s="8"/>
      <c r="Z32" s="9" t="n">
        <f aca="false">SUM(Q32:Y32)</f>
        <v>587.501289034933</v>
      </c>
    </row>
    <row collapsed="false" customFormat="false" customHeight="true" hidden="false" ht="15" outlineLevel="0" r="33">
      <c r="A33" s="6" t="n">
        <v>41347</v>
      </c>
      <c r="B33" s="6" t="n">
        <v>41348</v>
      </c>
      <c r="C33" s="7" t="s">
        <v>38</v>
      </c>
      <c r="D33" s="7" t="s">
        <v>28</v>
      </c>
      <c r="E33" s="7" t="s">
        <v>97</v>
      </c>
      <c r="F33" s="7" t="s">
        <v>54</v>
      </c>
      <c r="G33" s="7" t="s">
        <v>55</v>
      </c>
      <c r="H33" s="7" t="n">
        <v>74</v>
      </c>
      <c r="I33" s="7" t="n">
        <v>74</v>
      </c>
      <c r="J33" s="7" t="s">
        <v>32</v>
      </c>
      <c r="K33" s="7" t="n">
        <v>0.93</v>
      </c>
      <c r="L33" s="7"/>
      <c r="M33" s="7"/>
      <c r="N33" s="7"/>
      <c r="O33" s="7"/>
      <c r="P33" s="7"/>
      <c r="Q33" s="8" t="n">
        <f aca="false">+(7.83/I33)*'MATERIALES E INSUMOS'!$H$43</f>
        <v>53.3907760971981</v>
      </c>
      <c r="R33" s="8" t="n">
        <f aca="false">+(7.53/I33)*'MATERIALES E INSUMOS'!$H$44</f>
        <v>42.0096702206794</v>
      </c>
      <c r="S33" s="8" t="n">
        <f aca="false">+(7.83/I33)*'MATERIALES E INSUMOS'!$H$45</f>
        <v>22.4847972972973</v>
      </c>
      <c r="T33" s="8" t="n">
        <f aca="false">+'MATERIALES E INSUMOS'!$H$47/OP!I38</f>
        <v>0.5</v>
      </c>
      <c r="U33" s="8" t="n">
        <v>40</v>
      </c>
      <c r="V33" s="8" t="n">
        <f aca="false">+'CONSUMO MATERIALES E INSUMOS'!D85</f>
        <v>20</v>
      </c>
      <c r="W33" s="8"/>
      <c r="X33" s="8"/>
      <c r="Y33" s="8"/>
      <c r="Z33" s="9" t="n">
        <f aca="false">SUM(Q33:Y33)</f>
        <v>178.385243615175</v>
      </c>
    </row>
    <row collapsed="false" customFormat="false" customHeight="true" hidden="false" ht="15" outlineLevel="0" r="34">
      <c r="A34" s="6" t="n">
        <v>41347</v>
      </c>
      <c r="B34" s="6" t="n">
        <v>41351</v>
      </c>
      <c r="C34" s="7" t="s">
        <v>38</v>
      </c>
      <c r="D34" s="7" t="s">
        <v>28</v>
      </c>
      <c r="E34" s="7" t="s">
        <v>98</v>
      </c>
      <c r="F34" s="7" t="s">
        <v>66</v>
      </c>
      <c r="G34" s="7" t="s">
        <v>64</v>
      </c>
      <c r="H34" s="7" t="n">
        <v>90</v>
      </c>
      <c r="I34" s="7" t="n">
        <v>90</v>
      </c>
      <c r="J34" s="7" t="s">
        <v>32</v>
      </c>
      <c r="K34" s="7" t="n">
        <v>1.63</v>
      </c>
      <c r="L34" s="7"/>
      <c r="M34" s="7"/>
      <c r="N34" s="7"/>
      <c r="O34" s="7"/>
      <c r="P34" s="7"/>
      <c r="Q34" s="8" t="n">
        <f aca="false">+(7.83/I34)*'MATERIALES E INSUMOS'!$H$43</f>
        <v>43.8990825688074</v>
      </c>
      <c r="R34" s="8" t="n">
        <f aca="false">+(7.53/I34)*'MATERIALES E INSUMOS'!$H$44</f>
        <v>34.5412844036697</v>
      </c>
      <c r="S34" s="8" t="n">
        <f aca="false">+(7.83/I34)*'MATERIALES E INSUMOS'!$H$45</f>
        <v>18.4875</v>
      </c>
      <c r="T34" s="8" t="n">
        <f aca="false">+'MATERIALES E INSUMOS'!$H$47/OP!I36</f>
        <v>0.347222222222222</v>
      </c>
      <c r="U34" s="8" t="n">
        <v>40</v>
      </c>
      <c r="V34" s="8" t="n">
        <f aca="false">+'CONSUMO MATERIALES E INSUMOS'!D83</f>
        <v>186</v>
      </c>
      <c r="W34" s="8"/>
      <c r="X34" s="8"/>
      <c r="Y34" s="8"/>
      <c r="Z34" s="9" t="n">
        <f aca="false">SUM(Q34:Y34)</f>
        <v>323.275089194699</v>
      </c>
    </row>
    <row collapsed="false" customFormat="false" customHeight="true" hidden="false" ht="15" outlineLevel="0" r="35">
      <c r="A35" s="6" t="n">
        <v>41342</v>
      </c>
      <c r="B35" s="6" t="n">
        <v>41352</v>
      </c>
      <c r="C35" s="7" t="s">
        <v>38</v>
      </c>
      <c r="D35" s="7" t="s">
        <v>28</v>
      </c>
      <c r="E35" s="7" t="s">
        <v>99</v>
      </c>
      <c r="F35" s="7" t="s">
        <v>100</v>
      </c>
      <c r="G35" s="7" t="s">
        <v>101</v>
      </c>
      <c r="H35" s="7" t="n">
        <v>190</v>
      </c>
      <c r="I35" s="7" t="n">
        <v>190</v>
      </c>
      <c r="J35" s="7" t="s">
        <v>32</v>
      </c>
      <c r="K35" s="7" t="n">
        <v>0.27</v>
      </c>
      <c r="L35" s="7"/>
      <c r="M35" s="7"/>
      <c r="N35" s="7"/>
      <c r="O35" s="7"/>
      <c r="P35" s="7"/>
      <c r="Q35" s="8" t="n">
        <f aca="false">+(0.8/I35)*'MATERIALES E INSUMOS'!$H$43</f>
        <v>2.12457749879285</v>
      </c>
      <c r="R35" s="8" t="n">
        <f aca="false">+(0.6/I35)*'MATERIALES E INSUMOS'!$H$44</f>
        <v>1.30371801062289</v>
      </c>
      <c r="S35" s="8" t="n">
        <f aca="false">+(0.8/I35)*'MATERIALES E INSUMOS'!$H$45</f>
        <v>0.894736842105263</v>
      </c>
      <c r="T35" s="8" t="n">
        <f aca="false">+'MATERIALES E INSUMOS'!$H$47/OP!I31</f>
        <v>1.5625</v>
      </c>
      <c r="U35" s="8" t="n">
        <v>0</v>
      </c>
      <c r="V35" s="8"/>
      <c r="W35" s="8"/>
      <c r="X35" s="8"/>
      <c r="Y35" s="8"/>
      <c r="Z35" s="9" t="n">
        <f aca="false">SUM(Q35:Y35)</f>
        <v>5.88553235152101</v>
      </c>
    </row>
    <row collapsed="false" customFormat="false" customHeight="true" hidden="false" ht="15" outlineLevel="0" r="36">
      <c r="A36" s="6" t="n">
        <v>41346</v>
      </c>
      <c r="B36" s="6" t="n">
        <v>41352</v>
      </c>
      <c r="C36" s="6" t="n">
        <v>41352</v>
      </c>
      <c r="D36" s="7" t="s">
        <v>28</v>
      </c>
      <c r="E36" s="7" t="s">
        <v>102</v>
      </c>
      <c r="F36" s="7" t="s">
        <v>43</v>
      </c>
      <c r="G36" s="7" t="s">
        <v>44</v>
      </c>
      <c r="H36" s="7" t="n">
        <v>120</v>
      </c>
      <c r="I36" s="7" t="n">
        <v>144</v>
      </c>
      <c r="J36" s="7" t="s">
        <v>32</v>
      </c>
      <c r="K36" s="7" t="n">
        <v>1.16</v>
      </c>
      <c r="L36" s="7"/>
      <c r="M36" s="7"/>
      <c r="N36" s="7"/>
      <c r="O36" s="7"/>
      <c r="P36" s="7"/>
      <c r="Q36" s="8" t="n">
        <f aca="false">+(5.02/I36)*'MATERIALES E INSUMOS'!$H$43</f>
        <v>17.5904689092763</v>
      </c>
      <c r="R36" s="8" t="n">
        <f aca="false">+(4.82/I36)*'MATERIALES E INSUMOS'!$H$44</f>
        <v>13.8188073394496</v>
      </c>
      <c r="S36" s="8" t="n">
        <f aca="false">+(5.02/I36)*'MATERIALES E INSUMOS'!$H$45</f>
        <v>7.40798611111111</v>
      </c>
      <c r="T36" s="8" t="n">
        <f aca="false">+'MATERIALES E INSUMOS'!$H$47/OP!I34</f>
        <v>0.555555555555556</v>
      </c>
      <c r="U36" s="8" t="n">
        <v>40</v>
      </c>
      <c r="V36" s="8" t="n">
        <f aca="false">'CONSUMO MATERIALES E INSUMOS'!I25</f>
        <v>18488.4</v>
      </c>
      <c r="W36" s="8"/>
      <c r="X36" s="8"/>
      <c r="Y36" s="8"/>
      <c r="Z36" s="9" t="n">
        <f aca="false">SUM(Q36:Y36)</f>
        <v>18567.7728179154</v>
      </c>
    </row>
    <row collapsed="false" customFormat="false" customHeight="true" hidden="false" ht="15" outlineLevel="0" r="37">
      <c r="A37" s="6" t="n">
        <v>41348</v>
      </c>
      <c r="B37" s="6" t="n">
        <v>41352</v>
      </c>
      <c r="C37" s="6" t="n">
        <v>41353</v>
      </c>
      <c r="D37" s="7" t="s">
        <v>28</v>
      </c>
      <c r="E37" s="7" t="s">
        <v>103</v>
      </c>
      <c r="F37" s="7" t="s">
        <v>104</v>
      </c>
      <c r="G37" s="7" t="s">
        <v>105</v>
      </c>
      <c r="H37" s="7" t="n">
        <v>88</v>
      </c>
      <c r="I37" s="7" t="n">
        <v>52</v>
      </c>
      <c r="J37" s="7" t="s">
        <v>32</v>
      </c>
      <c r="K37" s="7" t="n">
        <v>0.14</v>
      </c>
      <c r="L37" s="7"/>
      <c r="M37" s="7"/>
      <c r="N37" s="7"/>
      <c r="O37" s="7" t="n">
        <v>0.03</v>
      </c>
      <c r="P37" s="7"/>
      <c r="Q37" s="8" t="n">
        <f aca="false">+(0.92/I37)*'MATERIALES E INSUMOS'!$H$43</f>
        <v>8.92731122088921</v>
      </c>
      <c r="R37" s="8" t="n">
        <f aca="false">+(0.72/I37)*'MATERIALES E INSUMOS'!$H$44</f>
        <v>5.71630204657728</v>
      </c>
      <c r="S37" s="8" t="n">
        <f aca="false">+(0.92/I37)*'MATERIALES E INSUMOS'!$H$45</f>
        <v>3.75961538461538</v>
      </c>
      <c r="T37" s="8" t="n">
        <f aca="false">+'MATERIALES E INSUMOS'!$H$47/OP!I39</f>
        <v>0.0555555555555556</v>
      </c>
      <c r="U37" s="8" t="n">
        <v>40</v>
      </c>
      <c r="V37" s="8" t="n">
        <f aca="false">+'CONSUMO MATERIALES E INSUMOS'!I128</f>
        <v>3119</v>
      </c>
      <c r="W37" s="8"/>
      <c r="X37" s="8" t="n">
        <v>1200</v>
      </c>
      <c r="Y37" s="8"/>
      <c r="Z37" s="9" t="n">
        <f aca="false">SUM(Q37:Y37)</f>
        <v>4377.45878420764</v>
      </c>
    </row>
    <row collapsed="false" customFormat="false" customHeight="true" hidden="false" ht="15" outlineLevel="0" r="38">
      <c r="A38" s="6" t="n">
        <v>41353</v>
      </c>
      <c r="B38" s="6" t="n">
        <v>41353</v>
      </c>
      <c r="C38" s="7" t="s">
        <v>38</v>
      </c>
      <c r="D38" s="7" t="s">
        <v>28</v>
      </c>
      <c r="E38" s="7" t="s">
        <v>106</v>
      </c>
      <c r="F38" s="7" t="s">
        <v>54</v>
      </c>
      <c r="G38" s="7" t="s">
        <v>55</v>
      </c>
      <c r="H38" s="7" t="n">
        <v>100</v>
      </c>
      <c r="I38" s="7" t="n">
        <v>100</v>
      </c>
      <c r="J38" s="7" t="s">
        <v>32</v>
      </c>
      <c r="K38" s="7" t="n">
        <v>0.16</v>
      </c>
      <c r="L38" s="7"/>
      <c r="M38" s="7"/>
      <c r="N38" s="7"/>
      <c r="O38" s="7"/>
      <c r="P38" s="7"/>
      <c r="Q38" s="8" t="n">
        <v>0</v>
      </c>
      <c r="R38" s="8" t="n">
        <v>0</v>
      </c>
      <c r="S38" s="8" t="n">
        <v>0</v>
      </c>
      <c r="T38" s="8" t="n">
        <f aca="false">+'MATERIALES E INSUMOS'!$H$47/OP!I41</f>
        <v>0.666666666666667</v>
      </c>
      <c r="U38" s="8" t="n">
        <v>0</v>
      </c>
      <c r="V38" s="8" t="n">
        <v>0</v>
      </c>
      <c r="W38" s="8"/>
      <c r="X38" s="8"/>
      <c r="Y38" s="8"/>
      <c r="Z38" s="9" t="n">
        <f aca="false">SUM(Q38:Y38)</f>
        <v>0.666666666666667</v>
      </c>
    </row>
    <row collapsed="false" customFormat="false" customHeight="true" hidden="false" ht="15" outlineLevel="0" r="39">
      <c r="A39" s="6" t="n">
        <v>41353</v>
      </c>
      <c r="B39" s="6" t="n">
        <v>41353</v>
      </c>
      <c r="C39" s="7" t="s">
        <v>38</v>
      </c>
      <c r="D39" s="7" t="s">
        <v>28</v>
      </c>
      <c r="E39" s="7" t="s">
        <v>107</v>
      </c>
      <c r="F39" s="7" t="s">
        <v>54</v>
      </c>
      <c r="G39" s="7" t="s">
        <v>64</v>
      </c>
      <c r="H39" s="7" t="n">
        <v>900</v>
      </c>
      <c r="I39" s="7" t="n">
        <v>900</v>
      </c>
      <c r="J39" s="7" t="s">
        <v>32</v>
      </c>
      <c r="K39" s="13" t="n">
        <v>0.106</v>
      </c>
      <c r="L39" s="7"/>
      <c r="M39" s="7"/>
      <c r="N39" s="7"/>
      <c r="O39" s="7"/>
      <c r="P39" s="7"/>
      <c r="Q39" s="8" t="n">
        <v>0</v>
      </c>
      <c r="R39" s="8" t="n">
        <v>0</v>
      </c>
      <c r="S39" s="8" t="n">
        <v>0</v>
      </c>
      <c r="T39" s="8" t="e">
        <f aca="false">+'CONSUMO MATERIALES E INSUMOS'!$H$47/op!#ref!</f>
        <v>#VALUE!</v>
      </c>
      <c r="U39" s="8" t="n">
        <v>0</v>
      </c>
      <c r="V39" s="8" t="n">
        <f aca="false">+'CONSUMO MATERIALES E INSUMOS'!D88</f>
        <v>0</v>
      </c>
      <c r="W39" s="8"/>
      <c r="X39" s="8"/>
      <c r="Y39" s="8"/>
      <c r="Z39" s="9" t="e">
        <f aca="false">SUM(Q39:Y39)</f>
        <v>#VALUE!</v>
      </c>
    </row>
    <row collapsed="false" customFormat="false" customHeight="true" hidden="false" ht="15" outlineLevel="0" r="40">
      <c r="A40" s="6" t="n">
        <v>41372</v>
      </c>
      <c r="B40" s="6" t="n">
        <v>41354</v>
      </c>
      <c r="C40" s="6" t="n">
        <v>41355</v>
      </c>
      <c r="D40" s="7" t="s">
        <v>28</v>
      </c>
      <c r="E40" s="7" t="s">
        <v>108</v>
      </c>
      <c r="F40" s="7" t="s">
        <v>109</v>
      </c>
      <c r="G40" s="7" t="s">
        <v>110</v>
      </c>
      <c r="H40" s="7" t="n">
        <v>102</v>
      </c>
      <c r="I40" s="7" t="n">
        <v>40</v>
      </c>
      <c r="J40" s="7" t="s">
        <v>32</v>
      </c>
      <c r="K40" s="7" t="n">
        <v>0.9</v>
      </c>
      <c r="L40" s="7"/>
      <c r="M40" s="7"/>
      <c r="N40" s="7"/>
      <c r="O40" s="7"/>
      <c r="P40" s="7"/>
      <c r="Q40" s="8" t="n">
        <f aca="false">+(4.9/I40)*'MATERIALES E INSUMOS'!$H$43</f>
        <v>61.8119266055046</v>
      </c>
      <c r="R40" s="8" t="n">
        <f aca="false">+(4.7/I40)*'MATERIALES E INSUMOS'!$H$44</f>
        <v>48.5091743119266</v>
      </c>
      <c r="S40" s="8" t="n">
        <f aca="false">+(4.9/I40)*'MATERIALES E INSUMOS'!$H$45</f>
        <v>26.03125</v>
      </c>
      <c r="T40" s="8" t="n">
        <f aca="false">+'MATERIALES E INSUMOS'!$H$47/OP!I30</f>
        <v>0.396825396825397</v>
      </c>
      <c r="U40" s="8" t="n">
        <v>40</v>
      </c>
      <c r="V40" s="8" t="n">
        <f aca="false">+'CONSUMO MATERIALES E INSUMOS'!D91</f>
        <v>15696.2</v>
      </c>
      <c r="W40" s="8" t="n">
        <v>1500</v>
      </c>
      <c r="X40" s="8"/>
      <c r="Y40" s="8"/>
      <c r="Z40" s="9" t="n">
        <f aca="false">SUM(Q40:Y40)</f>
        <v>17372.9491763143</v>
      </c>
    </row>
    <row collapsed="false" customFormat="false" customHeight="true" hidden="false" ht="15" outlineLevel="0" r="41">
      <c r="A41" s="6" t="n">
        <v>41353</v>
      </c>
      <c r="B41" s="6" t="n">
        <v>41355</v>
      </c>
      <c r="C41" s="6" t="s">
        <v>38</v>
      </c>
      <c r="D41" s="7" t="s">
        <v>111</v>
      </c>
      <c r="E41" s="7" t="s">
        <v>112</v>
      </c>
      <c r="F41" s="7" t="s">
        <v>83</v>
      </c>
      <c r="G41" s="7" t="s">
        <v>84</v>
      </c>
      <c r="H41" s="7" t="n">
        <v>100</v>
      </c>
      <c r="I41" s="7" t="n">
        <v>75</v>
      </c>
      <c r="J41" s="7" t="s">
        <v>32</v>
      </c>
      <c r="K41" s="7" t="n">
        <v>0.24</v>
      </c>
      <c r="L41" s="7"/>
      <c r="M41" s="7"/>
      <c r="N41" s="7"/>
      <c r="O41" s="7"/>
      <c r="P41" s="7"/>
      <c r="Q41" s="8" t="n">
        <f aca="false">+(1.59/I41)*'MATERIALES E INSUMOS'!$H$43</f>
        <v>10.697247706422</v>
      </c>
      <c r="R41" s="8" t="n">
        <f aca="false">+(1.39/I41)*'MATERIALES E INSUMOS'!$H$44</f>
        <v>7.651376146789</v>
      </c>
      <c r="S41" s="8" t="n">
        <f aca="false">+(1.59/I41)*'MATERIALES E INSUMOS'!$H$45</f>
        <v>4.505</v>
      </c>
      <c r="T41" s="8" t="n">
        <f aca="false">+'MATERIALES E INSUMOS'!$H$47/OP!I31</f>
        <v>1.5625</v>
      </c>
      <c r="U41" s="8" t="n">
        <v>40</v>
      </c>
      <c r="V41" s="8" t="n">
        <f aca="false">+'CONSUMO MATERIALES E INSUMOS'!D103</f>
        <v>4711.2</v>
      </c>
      <c r="W41" s="8"/>
      <c r="X41" s="8"/>
      <c r="Y41" s="8"/>
      <c r="Z41" s="9" t="n">
        <f aca="false">SUM(Q41:Y41)</f>
        <v>4775.61612385321</v>
      </c>
    </row>
    <row collapsed="false" customFormat="false" customHeight="true" hidden="false" ht="18.75" outlineLevel="0" r="42">
      <c r="A42" s="12" t="s">
        <v>33</v>
      </c>
      <c r="B42" s="12"/>
      <c r="C42" s="12"/>
      <c r="D42" s="12"/>
      <c r="E42" s="12"/>
      <c r="F42" s="12"/>
      <c r="G42" s="12"/>
      <c r="H42" s="12"/>
      <c r="I42" s="11" t="n">
        <f aca="false">SUM(I21,I24,I25,I27,I28,I29,I30,I31,I35,I36,I37,I40,I41)</f>
        <v>3583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collapsed="false" customFormat="false" customHeight="true" hidden="false" ht="15" outlineLevel="0" r="43">
      <c r="A43" s="6" t="n">
        <v>41345</v>
      </c>
      <c r="B43" s="7"/>
      <c r="C43" s="7"/>
      <c r="D43" s="7" t="s">
        <v>28</v>
      </c>
      <c r="E43" s="7" t="s">
        <v>113</v>
      </c>
      <c r="F43" s="7" t="s">
        <v>114</v>
      </c>
      <c r="G43" s="7" t="s">
        <v>115</v>
      </c>
      <c r="H43" s="7" t="n">
        <v>360</v>
      </c>
      <c r="I43" s="7"/>
      <c r="J43" s="7"/>
      <c r="K43" s="7"/>
      <c r="L43" s="7"/>
      <c r="M43" s="7"/>
      <c r="N43" s="7"/>
      <c r="O43" s="7"/>
      <c r="P43" s="7"/>
      <c r="Q43" s="8" t="e">
        <f aca="false">+(7.83/I43)*'MATERIALES E INSUMOS'!$H$43</f>
        <v>#DIV/0!</v>
      </c>
      <c r="R43" s="8" t="e">
        <f aca="false">+(7.53/I43)*'MATERIALES E INSUMOS'!$H$44</f>
        <v>#DIV/0!</v>
      </c>
      <c r="S43" s="8" t="e">
        <f aca="false">+(7.83/I43)*'MATERIALES E INSUMOS'!$H$45</f>
        <v>#DIV/0!</v>
      </c>
      <c r="T43" s="8" t="n">
        <f aca="false">+'MATERIALES E INSUMOS'!$H$47/OP!I36</f>
        <v>0.347222222222222</v>
      </c>
      <c r="U43" s="8" t="n">
        <v>40</v>
      </c>
      <c r="V43" s="8" t="n">
        <f aca="false">+'CONSUMO MATERIALES E INSUMOS'!D83</f>
        <v>186</v>
      </c>
      <c r="W43" s="8"/>
      <c r="X43" s="8"/>
      <c r="Y43" s="8"/>
      <c r="Z43" s="9" t="e">
        <f aca="false">SUM(Q43:Y43)</f>
        <v>#DIV/0!</v>
      </c>
    </row>
    <row collapsed="false" customFormat="false" customHeight="true" hidden="false" ht="15" outlineLevel="0" r="44">
      <c r="A44" s="6" t="n">
        <v>41354</v>
      </c>
      <c r="B44" s="7"/>
      <c r="C44" s="7"/>
      <c r="D44" s="7" t="s">
        <v>28</v>
      </c>
      <c r="E44" s="7" t="s">
        <v>116</v>
      </c>
      <c r="F44" s="7" t="s">
        <v>117</v>
      </c>
      <c r="G44" s="7" t="s">
        <v>29</v>
      </c>
      <c r="H44" s="7" t="n">
        <v>60</v>
      </c>
      <c r="I44" s="7"/>
      <c r="J44" s="7"/>
      <c r="K44" s="7"/>
      <c r="L44" s="7"/>
      <c r="M44" s="7"/>
      <c r="N44" s="7"/>
      <c r="O44" s="7"/>
      <c r="P44" s="7"/>
      <c r="Q44" s="8" t="e">
        <f aca="false">+(7.83/I44)*'MATERIALES E INSUMOS'!$H$43</f>
        <v>#DIV/0!</v>
      </c>
      <c r="R44" s="8" t="e">
        <f aca="false">+(7.53/I44)*'MATERIALES E INSUMOS'!$H$44</f>
        <v>#DIV/0!</v>
      </c>
      <c r="S44" s="8" t="e">
        <f aca="false">+(7.83/I44)*'MATERIALES E INSUMOS'!$H$45</f>
        <v>#DIV/0!</v>
      </c>
      <c r="T44" s="8" t="e">
        <f aca="false">+'MATERIALES E INSUMOS'!$H$47/OP!I44</f>
        <v>#DIV/0!</v>
      </c>
      <c r="U44" s="8" t="n">
        <v>40</v>
      </c>
      <c r="V44" s="8" t="n">
        <f aca="false">+'CONSUMO MATERIALES E INSUMOS'!D93</f>
        <v>0</v>
      </c>
      <c r="W44" s="8"/>
      <c r="X44" s="8"/>
      <c r="Y44" s="8"/>
      <c r="Z44" s="9" t="e">
        <f aca="false">SUM(Q44:Y44)</f>
        <v>#DIV/0!</v>
      </c>
    </row>
    <row collapsed="false" customFormat="false" customHeight="true" hidden="false" ht="15" outlineLevel="0" r="45">
      <c r="A45" s="6" t="n">
        <v>41365</v>
      </c>
      <c r="B45" s="7"/>
      <c r="C45" s="7"/>
      <c r="D45" s="7" t="s">
        <v>28</v>
      </c>
      <c r="E45" s="7" t="s">
        <v>118</v>
      </c>
      <c r="F45" s="7" t="s">
        <v>119</v>
      </c>
      <c r="G45" s="7" t="s">
        <v>39</v>
      </c>
      <c r="H45" s="7" t="n">
        <v>150</v>
      </c>
      <c r="I45" s="7"/>
      <c r="J45" s="7"/>
      <c r="K45" s="7"/>
      <c r="L45" s="7"/>
      <c r="M45" s="7"/>
      <c r="N45" s="7"/>
      <c r="O45" s="7"/>
      <c r="P45" s="7"/>
      <c r="Q45" s="8" t="e">
        <f aca="false">+(7.83/I45)*'MATERIALES E INSUMOS'!$H$43</f>
        <v>#DIV/0!</v>
      </c>
      <c r="R45" s="8" t="e">
        <f aca="false">+(7.53/I45)*'MATERIALES E INSUMOS'!$H$44</f>
        <v>#DIV/0!</v>
      </c>
      <c r="S45" s="8" t="e">
        <f aca="false">+(7.83/I45)*'MATERIALES E INSUMOS'!$H$45</f>
        <v>#DIV/0!</v>
      </c>
      <c r="T45" s="8" t="e">
        <f aca="false">+'MATERIALES E INSUMOS'!$H$47/OP!I45</f>
        <v>#DIV/0!</v>
      </c>
      <c r="U45" s="8" t="n">
        <v>40</v>
      </c>
      <c r="V45" s="8" t="str">
        <f aca="false">+'CONSUMO MATERIALES E INSUMOS'!D94</f>
        <v>COSTO</v>
      </c>
      <c r="W45" s="8"/>
      <c r="X45" s="8"/>
      <c r="Y45" s="8"/>
      <c r="Z45" s="9" t="e">
        <f aca="false">SUM(Q45:Y45)</f>
        <v>#DIV/0!</v>
      </c>
    </row>
    <row collapsed="false" customFormat="false" customHeight="true" hidden="false" ht="15" outlineLevel="0" r="46">
      <c r="A46" s="6" t="n">
        <v>41366</v>
      </c>
      <c r="B46" s="7"/>
      <c r="C46" s="7"/>
      <c r="D46" s="7" t="s">
        <v>28</v>
      </c>
      <c r="E46" s="7" t="s">
        <v>120</v>
      </c>
      <c r="F46" s="7" t="s">
        <v>117</v>
      </c>
      <c r="G46" s="7" t="s">
        <v>29</v>
      </c>
      <c r="H46" s="7" t="n">
        <v>200</v>
      </c>
      <c r="I46" s="7"/>
      <c r="J46" s="7"/>
      <c r="K46" s="7"/>
      <c r="L46" s="7"/>
      <c r="M46" s="7"/>
      <c r="N46" s="7"/>
      <c r="O46" s="7"/>
      <c r="P46" s="7"/>
      <c r="Q46" s="8"/>
      <c r="R46" s="8"/>
      <c r="S46" s="8"/>
      <c r="T46" s="8"/>
      <c r="U46" s="8"/>
      <c r="V46" s="8"/>
      <c r="W46" s="8"/>
      <c r="X46" s="8"/>
      <c r="Y46" s="8"/>
      <c r="Z46" s="9"/>
    </row>
    <row collapsed="false" customFormat="false" customHeight="true" hidden="false" ht="15" outlineLevel="0" r="47">
      <c r="A47" s="6" t="n">
        <v>41366</v>
      </c>
      <c r="B47" s="7"/>
      <c r="C47" s="7"/>
      <c r="D47" s="7" t="s">
        <v>28</v>
      </c>
      <c r="E47" s="7" t="s">
        <v>121</v>
      </c>
      <c r="F47" s="7" t="s">
        <v>122</v>
      </c>
      <c r="G47" s="7" t="s">
        <v>50</v>
      </c>
      <c r="H47" s="7" t="n">
        <v>100</v>
      </c>
      <c r="I47" s="7"/>
      <c r="J47" s="7"/>
      <c r="K47" s="7"/>
      <c r="L47" s="7"/>
      <c r="M47" s="7"/>
      <c r="N47" s="7"/>
      <c r="O47" s="7"/>
      <c r="P47" s="7"/>
      <c r="Q47" s="8"/>
      <c r="R47" s="8"/>
      <c r="S47" s="8"/>
      <c r="T47" s="8"/>
      <c r="U47" s="8"/>
      <c r="V47" s="8"/>
      <c r="W47" s="8"/>
      <c r="X47" s="8"/>
      <c r="Y47" s="8"/>
      <c r="Z47" s="9"/>
    </row>
    <row collapsed="false" customFormat="false" customHeight="true" hidden="false" ht="15" outlineLevel="0" r="48">
      <c r="A48" s="6"/>
      <c r="B48" s="7"/>
      <c r="C48" s="7"/>
      <c r="D48" s="7" t="s">
        <v>28</v>
      </c>
      <c r="E48" s="7" t="s">
        <v>123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  <c r="R48" s="8"/>
      <c r="S48" s="8"/>
      <c r="T48" s="8"/>
      <c r="U48" s="8"/>
      <c r="V48" s="8"/>
      <c r="W48" s="8"/>
      <c r="X48" s="8"/>
      <c r="Y48" s="8"/>
      <c r="Z48" s="9"/>
    </row>
    <row collapsed="false" customFormat="false" customHeight="true" hidden="false" ht="15" outlineLevel="0" r="49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  <c r="R49" s="8"/>
      <c r="S49" s="8"/>
      <c r="T49" s="8"/>
      <c r="U49" s="8"/>
      <c r="V49" s="8"/>
      <c r="W49" s="8"/>
      <c r="X49" s="8"/>
      <c r="Y49" s="8"/>
      <c r="Z49" s="9"/>
    </row>
    <row collapsed="false" customFormat="false" customHeight="true" hidden="false" ht="15" outlineLevel="0" r="50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8"/>
      <c r="S50" s="8"/>
      <c r="T50" s="8"/>
      <c r="U50" s="8"/>
      <c r="V50" s="8"/>
      <c r="W50" s="8"/>
      <c r="X50" s="8"/>
      <c r="Y50" s="8"/>
      <c r="Z50" s="9"/>
    </row>
    <row collapsed="false" customFormat="false" customHeight="true" hidden="false" ht="15" outlineLevel="0" r="5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R51" s="8"/>
      <c r="S51" s="8"/>
      <c r="T51" s="8"/>
      <c r="U51" s="8"/>
      <c r="V51" s="8"/>
      <c r="W51" s="8"/>
      <c r="X51" s="8"/>
      <c r="Y51" s="8"/>
      <c r="Z51" s="9"/>
    </row>
    <row collapsed="false" customFormat="false" customHeight="true" hidden="false" ht="15" outlineLevel="0" r="5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8"/>
      <c r="S52" s="8"/>
      <c r="T52" s="8"/>
      <c r="U52" s="8"/>
      <c r="V52" s="8"/>
      <c r="W52" s="8"/>
      <c r="X52" s="8"/>
      <c r="Y52" s="8"/>
      <c r="Z52" s="9"/>
    </row>
    <row collapsed="false" customFormat="false" customHeight="true" hidden="false" ht="15" outlineLevel="0" r="5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8"/>
      <c r="S53" s="8"/>
      <c r="T53" s="8"/>
      <c r="U53" s="8"/>
      <c r="V53" s="8"/>
      <c r="W53" s="8"/>
      <c r="X53" s="8"/>
      <c r="Y53" s="8"/>
      <c r="Z53" s="9"/>
    </row>
    <row collapsed="false" customFormat="false" customHeight="true" hidden="false" ht="15" outlineLevel="0" r="54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8"/>
      <c r="S54" s="8"/>
      <c r="T54" s="8"/>
      <c r="U54" s="8"/>
      <c r="V54" s="8"/>
      <c r="W54" s="8"/>
      <c r="X54" s="8"/>
      <c r="Y54" s="8"/>
      <c r="Z54" s="9"/>
    </row>
    <row collapsed="false" customFormat="false" customHeight="true" hidden="false" ht="15" outlineLevel="0" r="5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8"/>
      <c r="S55" s="8"/>
      <c r="T55" s="8"/>
      <c r="U55" s="8"/>
      <c r="V55" s="8"/>
      <c r="W55" s="8"/>
      <c r="X55" s="8"/>
      <c r="Y55" s="8"/>
      <c r="Z55" s="9"/>
    </row>
    <row collapsed="false" customFormat="false" customHeight="true" hidden="false" ht="15" outlineLevel="0" r="56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8"/>
      <c r="S56" s="8"/>
      <c r="T56" s="8"/>
      <c r="U56" s="8"/>
      <c r="V56" s="8"/>
      <c r="W56" s="8"/>
      <c r="X56" s="8"/>
      <c r="Y56" s="8"/>
      <c r="Z56" s="9"/>
    </row>
    <row collapsed="false" customFormat="false" customHeight="true" hidden="false" ht="15" outlineLevel="0" r="57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  <c r="R57" s="8"/>
      <c r="S57" s="8"/>
      <c r="T57" s="8"/>
      <c r="U57" s="8"/>
      <c r="V57" s="8"/>
      <c r="W57" s="8"/>
      <c r="X57" s="8"/>
      <c r="Y57" s="8"/>
      <c r="Z57" s="9"/>
    </row>
    <row collapsed="false" customFormat="false" customHeight="true" hidden="false" ht="15" outlineLevel="0" r="58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  <c r="R58" s="8"/>
      <c r="S58" s="8"/>
      <c r="T58" s="8"/>
      <c r="U58" s="8"/>
      <c r="V58" s="8"/>
      <c r="W58" s="8"/>
      <c r="X58" s="8"/>
      <c r="Y58" s="8"/>
      <c r="Z58" s="9"/>
    </row>
    <row collapsed="false" customFormat="false" customHeight="true" hidden="false" ht="15" outlineLevel="0" r="59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  <c r="R59" s="8"/>
      <c r="S59" s="8"/>
      <c r="T59" s="8"/>
      <c r="U59" s="8"/>
      <c r="V59" s="8"/>
      <c r="W59" s="8"/>
      <c r="X59" s="8"/>
      <c r="Y59" s="8"/>
      <c r="Z59" s="9"/>
    </row>
    <row collapsed="false" customFormat="false" customHeight="true" hidden="false" ht="15" outlineLevel="0" r="60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  <c r="R60" s="8"/>
      <c r="S60" s="8"/>
      <c r="T60" s="8"/>
      <c r="U60" s="8"/>
      <c r="V60" s="8"/>
      <c r="W60" s="8"/>
      <c r="X60" s="8"/>
      <c r="Y60" s="8"/>
      <c r="Z60" s="9"/>
    </row>
    <row collapsed="false" customFormat="false" customHeight="true" hidden="false" ht="15" outlineLevel="0" r="6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8"/>
      <c r="S61" s="8"/>
      <c r="T61" s="8"/>
      <c r="U61" s="8"/>
      <c r="V61" s="8"/>
      <c r="W61" s="8"/>
      <c r="X61" s="8"/>
      <c r="Y61" s="8"/>
      <c r="Z61" s="9"/>
    </row>
    <row collapsed="false" customFormat="false" customHeight="true" hidden="false" ht="15" outlineLevel="0" r="6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8"/>
      <c r="S62" s="8"/>
      <c r="T62" s="8"/>
      <c r="U62" s="8"/>
      <c r="V62" s="8"/>
      <c r="W62" s="8"/>
      <c r="X62" s="8"/>
      <c r="Y62" s="8"/>
      <c r="Z62" s="9"/>
    </row>
    <row collapsed="false" customFormat="false" customHeight="true" hidden="false" ht="15" outlineLevel="0" r="6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R63" s="8"/>
      <c r="S63" s="8"/>
      <c r="T63" s="8"/>
      <c r="U63" s="8"/>
      <c r="V63" s="8"/>
      <c r="W63" s="8"/>
      <c r="X63" s="8"/>
      <c r="Y63" s="8"/>
      <c r="Z63" s="9"/>
    </row>
    <row collapsed="false" customFormat="false" customHeight="true" hidden="false" ht="15" outlineLevel="0" r="64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R64" s="8"/>
      <c r="S64" s="8"/>
      <c r="T64" s="8"/>
      <c r="U64" s="8"/>
      <c r="V64" s="8"/>
      <c r="W64" s="8"/>
      <c r="X64" s="8"/>
      <c r="Y64" s="8"/>
      <c r="Z64" s="9"/>
    </row>
    <row collapsed="false" customFormat="false" customHeight="true" hidden="false" ht="15" outlineLevel="0" r="6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8"/>
      <c r="S65" s="8"/>
      <c r="T65" s="8"/>
      <c r="U65" s="8"/>
      <c r="V65" s="8"/>
      <c r="W65" s="8"/>
      <c r="X65" s="8"/>
      <c r="Y65" s="8"/>
      <c r="Z65" s="9"/>
    </row>
    <row collapsed="false" customFormat="false" customHeight="true" hidden="false" ht="15" outlineLevel="0" r="66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8"/>
      <c r="S66" s="8"/>
      <c r="T66" s="8"/>
      <c r="U66" s="8"/>
      <c r="V66" s="8"/>
      <c r="W66" s="8"/>
      <c r="X66" s="8"/>
      <c r="Y66" s="8"/>
      <c r="Z66" s="9"/>
    </row>
    <row collapsed="false" customFormat="false" customHeight="true" hidden="false" ht="15" outlineLevel="0" r="67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8"/>
      <c r="S67" s="8"/>
      <c r="T67" s="8"/>
      <c r="U67" s="8"/>
      <c r="V67" s="8"/>
      <c r="W67" s="8"/>
      <c r="X67" s="8"/>
      <c r="Y67" s="8"/>
      <c r="Z67" s="9"/>
    </row>
    <row collapsed="false" customFormat="false" customHeight="true" hidden="false" ht="15" outlineLevel="0" r="68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8"/>
      <c r="S68" s="8"/>
      <c r="T68" s="8"/>
      <c r="U68" s="8"/>
      <c r="V68" s="8"/>
      <c r="W68" s="8"/>
      <c r="X68" s="8"/>
      <c r="Y68" s="8"/>
      <c r="Z68" s="9"/>
    </row>
    <row collapsed="false" customFormat="false" customHeight="true" hidden="false" ht="15" outlineLevel="0" r="69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  <c r="R69" s="8"/>
      <c r="S69" s="8"/>
      <c r="T69" s="8"/>
      <c r="U69" s="8"/>
      <c r="V69" s="8"/>
      <c r="W69" s="8"/>
      <c r="X69" s="8"/>
      <c r="Y69" s="8"/>
      <c r="Z69" s="9"/>
    </row>
    <row collapsed="false" customFormat="false" customHeight="true" hidden="false" ht="15" outlineLevel="0" r="70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  <c r="R70" s="8"/>
      <c r="S70" s="8"/>
      <c r="T70" s="8"/>
      <c r="U70" s="8"/>
      <c r="V70" s="8"/>
      <c r="W70" s="8"/>
      <c r="X70" s="8"/>
      <c r="Y70" s="8"/>
      <c r="Z70" s="9"/>
    </row>
    <row collapsed="false" customFormat="false" customHeight="true" hidden="false" ht="15" outlineLevel="0" r="7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/>
      <c r="R71" s="8"/>
      <c r="S71" s="8"/>
      <c r="T71" s="8"/>
      <c r="U71" s="8"/>
      <c r="V71" s="8"/>
      <c r="W71" s="8"/>
      <c r="X71" s="8"/>
      <c r="Y71" s="8"/>
      <c r="Z71" s="9"/>
    </row>
    <row collapsed="false" customFormat="false" customHeight="true" hidden="false" ht="15" outlineLevel="0" r="7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  <c r="R72" s="8"/>
      <c r="S72" s="8"/>
      <c r="T72" s="8"/>
      <c r="U72" s="8"/>
      <c r="V72" s="8"/>
      <c r="W72" s="8"/>
      <c r="X72" s="8"/>
      <c r="Y72" s="8"/>
      <c r="Z72" s="9"/>
    </row>
    <row collapsed="false" customFormat="false" customHeight="true" hidden="false" ht="15" outlineLevel="0" r="7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8"/>
      <c r="S73" s="8"/>
      <c r="T73" s="8"/>
      <c r="U73" s="8"/>
      <c r="V73" s="8"/>
      <c r="W73" s="8"/>
      <c r="X73" s="8"/>
      <c r="Y73" s="8"/>
      <c r="Z73" s="9"/>
    </row>
    <row collapsed="false" customFormat="false" customHeight="true" hidden="false" ht="15" outlineLevel="0" r="74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8"/>
      <c r="S74" s="8"/>
      <c r="T74" s="8"/>
      <c r="U74" s="8"/>
      <c r="V74" s="8"/>
      <c r="W74" s="8"/>
      <c r="X74" s="8"/>
      <c r="Y74" s="8"/>
      <c r="Z74" s="9"/>
    </row>
    <row collapsed="false" customFormat="false" customHeight="true" hidden="false" ht="15" outlineLevel="0" r="7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8"/>
      <c r="R75" s="8"/>
      <c r="S75" s="8"/>
      <c r="T75" s="8"/>
      <c r="U75" s="8"/>
      <c r="V75" s="8"/>
      <c r="W75" s="8"/>
      <c r="X75" s="8"/>
      <c r="Y75" s="8"/>
      <c r="Z75" s="9"/>
    </row>
    <row collapsed="false" customFormat="false" customHeight="true" hidden="false" ht="15" outlineLevel="0" r="76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  <c r="R76" s="8"/>
      <c r="S76" s="8"/>
      <c r="T76" s="8"/>
      <c r="U76" s="8"/>
      <c r="V76" s="8"/>
      <c r="W76" s="8"/>
      <c r="X76" s="8"/>
      <c r="Y76" s="8"/>
      <c r="Z76" s="9"/>
    </row>
    <row collapsed="false" customFormat="false" customHeight="true" hidden="false" ht="15" outlineLevel="0" r="77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8"/>
      <c r="S77" s="8"/>
      <c r="T77" s="8"/>
      <c r="U77" s="8"/>
      <c r="V77" s="8"/>
      <c r="W77" s="8"/>
      <c r="X77" s="8"/>
      <c r="Y77" s="8"/>
      <c r="Z77" s="9"/>
    </row>
    <row collapsed="false" customFormat="false" customHeight="true" hidden="false" ht="15" outlineLevel="0" r="78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8"/>
      <c r="S78" s="8"/>
      <c r="T78" s="8"/>
      <c r="U78" s="8"/>
      <c r="V78" s="8"/>
      <c r="W78" s="8"/>
      <c r="X78" s="8"/>
      <c r="Y78" s="8"/>
      <c r="Z78" s="9"/>
    </row>
    <row collapsed="false" customFormat="false" customHeight="true" hidden="false" ht="15" outlineLevel="0" r="79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  <c r="R79" s="8"/>
      <c r="S79" s="8"/>
      <c r="T79" s="8"/>
      <c r="U79" s="8"/>
      <c r="V79" s="8"/>
      <c r="W79" s="8"/>
      <c r="X79" s="8"/>
      <c r="Y79" s="8"/>
      <c r="Z79" s="9"/>
    </row>
    <row collapsed="false" customFormat="false" customHeight="true" hidden="false" ht="15" outlineLevel="0" r="80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8"/>
      <c r="S80" s="8"/>
      <c r="T80" s="8"/>
      <c r="U80" s="8"/>
      <c r="V80" s="8"/>
      <c r="W80" s="8"/>
      <c r="X80" s="8"/>
      <c r="Y80" s="8"/>
      <c r="Z80" s="9"/>
    </row>
    <row collapsed="false" customFormat="false" customHeight="true" hidden="false" ht="15" outlineLevel="0" r="8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8"/>
      <c r="S81" s="8"/>
      <c r="T81" s="8"/>
      <c r="U81" s="8"/>
      <c r="V81" s="8"/>
      <c r="W81" s="8"/>
      <c r="X81" s="8"/>
      <c r="Y81" s="8"/>
      <c r="Z81" s="9"/>
    </row>
    <row collapsed="false" customFormat="false" customHeight="true" hidden="false" ht="15" outlineLevel="0" r="8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8"/>
      <c r="S82" s="8"/>
      <c r="T82" s="8"/>
      <c r="U82" s="8"/>
      <c r="V82" s="8"/>
      <c r="W82" s="8"/>
      <c r="X82" s="8"/>
      <c r="Y82" s="8"/>
      <c r="Z82" s="9"/>
    </row>
    <row collapsed="false" customFormat="false" customHeight="true" hidden="false" ht="15" outlineLevel="0" r="8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8"/>
      <c r="R83" s="8"/>
      <c r="S83" s="8"/>
      <c r="T83" s="8"/>
      <c r="U83" s="8"/>
      <c r="V83" s="8"/>
      <c r="W83" s="8"/>
      <c r="X83" s="8"/>
      <c r="Y83" s="8"/>
      <c r="Z83" s="9"/>
    </row>
    <row collapsed="false" customFormat="false" customHeight="true" hidden="false" ht="15" outlineLevel="0" r="84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/>
      <c r="R84" s="8"/>
      <c r="S84" s="8"/>
      <c r="T84" s="8"/>
      <c r="U84" s="8"/>
      <c r="V84" s="8"/>
      <c r="W84" s="8"/>
      <c r="X84" s="8"/>
      <c r="Y84" s="8"/>
      <c r="Z84" s="9"/>
    </row>
    <row collapsed="false" customFormat="false" customHeight="true" hidden="false" ht="15" outlineLevel="0" r="8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8"/>
      <c r="R85" s="8"/>
      <c r="S85" s="8"/>
      <c r="T85" s="8"/>
      <c r="U85" s="8"/>
      <c r="V85" s="8"/>
      <c r="W85" s="8"/>
      <c r="X85" s="8"/>
      <c r="Y85" s="8"/>
      <c r="Z85" s="9"/>
    </row>
    <row collapsed="false" customFormat="false" customHeight="true" hidden="false" ht="15" outlineLevel="0" r="86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8"/>
      <c r="R86" s="8"/>
      <c r="S86" s="8"/>
      <c r="T86" s="8"/>
      <c r="U86" s="8"/>
      <c r="V86" s="8"/>
      <c r="W86" s="8"/>
      <c r="X86" s="8"/>
      <c r="Y86" s="8"/>
      <c r="Z86" s="9"/>
    </row>
    <row collapsed="false" customFormat="false" customHeight="true" hidden="false" ht="15" outlineLevel="0" r="87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8"/>
      <c r="R87" s="8"/>
      <c r="S87" s="8"/>
      <c r="T87" s="8"/>
      <c r="U87" s="8"/>
      <c r="V87" s="8"/>
      <c r="W87" s="8"/>
      <c r="X87" s="8"/>
      <c r="Y87" s="8"/>
      <c r="Z87" s="9"/>
    </row>
    <row collapsed="false" customFormat="false" customHeight="true" hidden="false" ht="15" outlineLevel="0" r="88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8"/>
      <c r="R88" s="8"/>
      <c r="S88" s="8"/>
      <c r="T88" s="8"/>
      <c r="U88" s="8"/>
      <c r="V88" s="8"/>
      <c r="W88" s="8"/>
      <c r="X88" s="8"/>
      <c r="Y88" s="8"/>
      <c r="Z88" s="9"/>
    </row>
    <row collapsed="false" customFormat="false" customHeight="true" hidden="false" ht="15" outlineLevel="0" r="89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8"/>
      <c r="R89" s="8"/>
      <c r="S89" s="8"/>
      <c r="T89" s="8"/>
      <c r="U89" s="8"/>
      <c r="V89" s="8"/>
      <c r="W89" s="8"/>
      <c r="X89" s="8"/>
      <c r="Y89" s="8"/>
      <c r="Z89" s="9"/>
    </row>
    <row collapsed="false" customFormat="false" customHeight="true" hidden="false" ht="15" outlineLevel="0" r="90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8"/>
      <c r="R90" s="8"/>
      <c r="S90" s="8"/>
      <c r="T90" s="8"/>
      <c r="U90" s="8"/>
      <c r="V90" s="8"/>
      <c r="W90" s="8"/>
      <c r="X90" s="8"/>
      <c r="Y90" s="8"/>
      <c r="Z90" s="9"/>
    </row>
    <row collapsed="false" customFormat="false" customHeight="true" hidden="false" ht="18.75" outlineLevel="0" r="91">
      <c r="A91" s="12" t="s">
        <v>33</v>
      </c>
      <c r="B91" s="12"/>
      <c r="C91" s="12"/>
      <c r="D91" s="12"/>
      <c r="E91" s="12"/>
      <c r="F91" s="12"/>
      <c r="G91" s="12"/>
      <c r="H91" s="12"/>
      <c r="I91" s="11" t="n">
        <f aca="false">SUM(I70,I73,I74,I76,I77,I78,I79,I80,I84,I85,I86,I89,I90)</f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</sheetData>
  <mergeCells count="32">
    <mergeCell ref="A1:Z1"/>
    <mergeCell ref="A2:Z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U3"/>
    <mergeCell ref="V3:V4"/>
    <mergeCell ref="W3:W4"/>
    <mergeCell ref="X3:X4"/>
    <mergeCell ref="Y3:Y4"/>
    <mergeCell ref="Z3:Z4"/>
    <mergeCell ref="A6:H6"/>
    <mergeCell ref="J6:Z6"/>
    <mergeCell ref="A20:H20"/>
    <mergeCell ref="J20:Z20"/>
    <mergeCell ref="A42:H42"/>
    <mergeCell ref="J42:Z42"/>
    <mergeCell ref="A91:H91"/>
    <mergeCell ref="J91:Z9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colorId="64" defaultGridColor="true" rightToLeft="false" showFormulas="false" showGridLines="true" showOutlineSymbols="true" showRowColHeaders="true" showZeros="true" tabSelected="true" topLeftCell="D40" view="normal" windowProtection="false" workbookViewId="0" zoomScale="100" zoomScaleNormal="100" zoomScalePageLayoutView="100">
      <selection activeCell="G23" activeCellId="0" pane="topLeft" sqref="G23"/>
    </sheetView>
  </sheetViews>
  <cols>
    <col collapsed="false" hidden="false" max="1" min="1" style="14" width="34.4"/>
    <col collapsed="false" hidden="false" max="2" min="2" style="14" width="9.1921568627451"/>
    <col collapsed="false" hidden="false" max="3" min="3" style="14" width="12.4549019607843"/>
    <col collapsed="false" hidden="false" max="4" min="4" style="14" width="2.83137254901961"/>
    <col collapsed="false" hidden="false" max="5" min="5" style="14" width="22.8392156862745"/>
    <col collapsed="false" hidden="false" max="6" min="6" style="14" width="14.8274509803922"/>
    <col collapsed="false" hidden="false" max="7" min="7" style="14" width="13.9333333333333"/>
    <col collapsed="false" hidden="false" max="8" min="8" style="14" width="12.4549019607843"/>
    <col collapsed="false" hidden="false" max="9" min="9" style="14" width="2.83137254901961"/>
    <col collapsed="false" hidden="false" max="10" min="10" style="14" width="18.5372549019608"/>
    <col collapsed="false" hidden="false" max="11" min="11" style="14" width="22.9843137254902"/>
    <col collapsed="false" hidden="false" max="12" min="12" style="14" width="13.9333333333333"/>
    <col collapsed="false" hidden="false" max="13" min="13" style="14" width="12.4549019607843"/>
    <col collapsed="false" hidden="false" max="1025" min="14" style="14" width="10.921568627451"/>
  </cols>
  <sheetData>
    <row collapsed="false" customFormat="false" customHeight="true" hidden="false" ht="21" outlineLevel="0" r="1">
      <c r="A1" s="15" t="s">
        <v>124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ollapsed="false" customFormat="false" customHeight="true" hidden="false" ht="18.75" outlineLevel="0" r="2">
      <c r="A2" s="16" t="s">
        <v>125</v>
      </c>
      <c r="B2" s="16"/>
      <c r="C2" s="16"/>
      <c r="E2" s="16" t="s">
        <v>126</v>
      </c>
      <c r="F2" s="16"/>
      <c r="G2" s="16"/>
      <c r="H2" s="16"/>
      <c r="J2" s="16" t="s">
        <v>127</v>
      </c>
      <c r="K2" s="16"/>
      <c r="L2" s="16"/>
    </row>
    <row collapsed="false" customFormat="false" customHeight="true" hidden="false" ht="30.75" outlineLevel="0" r="3">
      <c r="A3" s="17" t="s">
        <v>128</v>
      </c>
      <c r="B3" s="18" t="s">
        <v>129</v>
      </c>
      <c r="C3" s="17" t="s">
        <v>130</v>
      </c>
      <c r="D3" s="19"/>
      <c r="E3" s="17" t="s">
        <v>128</v>
      </c>
      <c r="F3" s="18" t="s">
        <v>129</v>
      </c>
      <c r="G3" s="17" t="s">
        <v>130</v>
      </c>
      <c r="H3" s="17" t="s">
        <v>131</v>
      </c>
      <c r="J3" s="17" t="s">
        <v>128</v>
      </c>
      <c r="K3" s="18" t="s">
        <v>129</v>
      </c>
      <c r="L3" s="17" t="s">
        <v>130</v>
      </c>
    </row>
    <row collapsed="false" customFormat="false" customHeight="true" hidden="false" ht="15" outlineLevel="0" r="4">
      <c r="A4" s="20" t="s">
        <v>132</v>
      </c>
      <c r="B4" s="20" t="s">
        <v>133</v>
      </c>
      <c r="C4" s="20" t="n">
        <v>9000</v>
      </c>
      <c r="D4" s="21"/>
      <c r="E4" s="20" t="s">
        <v>134</v>
      </c>
      <c r="F4" s="20" t="s">
        <v>135</v>
      </c>
      <c r="G4" s="20" t="n">
        <v>9300</v>
      </c>
      <c r="H4" s="20" t="n">
        <f aca="false">+G4/2500</f>
        <v>3.72</v>
      </c>
      <c r="I4" s="21"/>
      <c r="J4" s="20" t="s">
        <v>136</v>
      </c>
      <c r="K4" s="20" t="s">
        <v>137</v>
      </c>
      <c r="L4" s="20" t="n">
        <v>55</v>
      </c>
      <c r="M4" s="21"/>
    </row>
    <row collapsed="false" customFormat="false" customHeight="true" hidden="false" ht="15" outlineLevel="0" r="5">
      <c r="A5" s="20" t="s">
        <v>138</v>
      </c>
      <c r="B5" s="20" t="s">
        <v>133</v>
      </c>
      <c r="C5" s="20" t="n">
        <v>16720</v>
      </c>
      <c r="D5" s="21"/>
      <c r="E5" s="20" t="s">
        <v>139</v>
      </c>
      <c r="F5" s="20" t="s">
        <v>140</v>
      </c>
      <c r="G5" s="20" t="n">
        <v>4800</v>
      </c>
      <c r="H5" s="20" t="n">
        <f aca="false">+G5/5000</f>
        <v>0.96</v>
      </c>
      <c r="I5" s="21"/>
      <c r="J5" s="20" t="s">
        <v>141</v>
      </c>
      <c r="K5" s="20" t="s">
        <v>137</v>
      </c>
      <c r="L5" s="20" t="n">
        <v>28</v>
      </c>
      <c r="M5" s="21"/>
    </row>
    <row collapsed="false" customFormat="false" customHeight="true" hidden="false" ht="15" outlineLevel="0" r="6">
      <c r="A6" s="20" t="s">
        <v>142</v>
      </c>
      <c r="B6" s="20" t="s">
        <v>133</v>
      </c>
      <c r="C6" s="20" t="n">
        <v>3000</v>
      </c>
      <c r="D6" s="21"/>
      <c r="E6" s="20" t="s">
        <v>143</v>
      </c>
      <c r="F6" s="20" t="s">
        <v>135</v>
      </c>
      <c r="G6" s="20" t="n">
        <v>9720</v>
      </c>
      <c r="H6" s="22" t="n">
        <f aca="false">+G6/2500</f>
        <v>3.888</v>
      </c>
      <c r="I6" s="21"/>
      <c r="J6" s="20" t="s">
        <v>144</v>
      </c>
      <c r="K6" s="20" t="s">
        <v>137</v>
      </c>
      <c r="L6" s="20" t="n">
        <v>28</v>
      </c>
      <c r="M6" s="21"/>
    </row>
    <row collapsed="false" customFormat="false" customHeight="true" hidden="false" ht="15" outlineLevel="0" r="7">
      <c r="A7" s="20" t="s">
        <v>145</v>
      </c>
      <c r="B7" s="20" t="s">
        <v>133</v>
      </c>
      <c r="C7" s="20" t="n">
        <v>4000</v>
      </c>
      <c r="D7" s="21"/>
      <c r="E7" s="20" t="s">
        <v>146</v>
      </c>
      <c r="F7" s="20" t="s">
        <v>135</v>
      </c>
      <c r="G7" s="20" t="n">
        <v>9720</v>
      </c>
      <c r="H7" s="22" t="n">
        <f aca="false">+G7/2500</f>
        <v>3.888</v>
      </c>
      <c r="I7" s="21"/>
      <c r="J7" s="20" t="s">
        <v>147</v>
      </c>
      <c r="K7" s="20" t="s">
        <v>137</v>
      </c>
      <c r="L7" s="20" t="n">
        <v>40</v>
      </c>
      <c r="M7" s="21"/>
    </row>
    <row collapsed="false" customFormat="false" customHeight="true" hidden="false" ht="15" outlineLevel="0" r="8">
      <c r="A8" s="20" t="s">
        <v>148</v>
      </c>
      <c r="B8" s="20" t="s">
        <v>133</v>
      </c>
      <c r="C8" s="20" t="n">
        <v>15180</v>
      </c>
      <c r="D8" s="21"/>
      <c r="E8" s="20" t="s">
        <v>149</v>
      </c>
      <c r="F8" s="20" t="s">
        <v>135</v>
      </c>
      <c r="G8" s="20" t="n">
        <v>20400</v>
      </c>
      <c r="H8" s="22" t="n">
        <f aca="false">+G8/2500</f>
        <v>8.16</v>
      </c>
      <c r="I8" s="21"/>
      <c r="J8" s="20" t="s">
        <v>150</v>
      </c>
      <c r="K8" s="20" t="s">
        <v>137</v>
      </c>
      <c r="L8" s="20" t="n">
        <v>41</v>
      </c>
      <c r="M8" s="21"/>
    </row>
    <row collapsed="false" customFormat="false" customHeight="true" hidden="false" ht="15" outlineLevel="0" r="9">
      <c r="A9" s="20" t="s">
        <v>151</v>
      </c>
      <c r="B9" s="20" t="s">
        <v>133</v>
      </c>
      <c r="C9" s="20" t="n">
        <v>16720</v>
      </c>
      <c r="D9" s="21"/>
      <c r="E9" s="20"/>
      <c r="F9" s="20"/>
      <c r="G9" s="20"/>
      <c r="H9" s="22"/>
      <c r="I9" s="21"/>
      <c r="J9" s="20"/>
      <c r="K9" s="20"/>
      <c r="L9" s="20"/>
      <c r="M9" s="21"/>
    </row>
    <row collapsed="false" customFormat="false" customHeight="true" hidden="false" ht="15" outlineLevel="0" r="10">
      <c r="A10" s="20" t="s">
        <v>152</v>
      </c>
      <c r="B10" s="20" t="s">
        <v>133</v>
      </c>
      <c r="C10" s="20" t="n">
        <v>5280</v>
      </c>
      <c r="D10" s="21"/>
      <c r="E10" s="20"/>
      <c r="F10" s="20"/>
      <c r="G10" s="20"/>
      <c r="H10" s="22"/>
      <c r="I10" s="21"/>
      <c r="J10" s="20"/>
      <c r="K10" s="20"/>
      <c r="L10" s="20"/>
      <c r="M10" s="21"/>
    </row>
    <row collapsed="false" customFormat="false" customHeight="true" hidden="false" ht="15" outlineLevel="0" r="11">
      <c r="A11" s="20" t="s">
        <v>153</v>
      </c>
      <c r="B11" s="20" t="s">
        <v>133</v>
      </c>
      <c r="C11" s="20" t="n">
        <v>7590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collapsed="false" customFormat="false" customHeight="true" hidden="false" ht="15" outlineLevel="0" r="12">
      <c r="A12" s="20" t="s">
        <v>154</v>
      </c>
      <c r="B12" s="20" t="s">
        <v>133</v>
      </c>
      <c r="C12" s="20" t="n">
        <v>10560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collapsed="false" customFormat="false" customHeight="true" hidden="false" ht="15" outlineLevel="0" r="13">
      <c r="A13" s="20" t="s">
        <v>155</v>
      </c>
      <c r="B13" s="20" t="s">
        <v>133</v>
      </c>
      <c r="C13" s="20" t="n">
        <v>18000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collapsed="false" customFormat="false" customHeight="true" hidden="false" ht="15" outlineLevel="0" r="14">
      <c r="A14" s="20" t="s">
        <v>156</v>
      </c>
      <c r="B14" s="20" t="s">
        <v>133</v>
      </c>
      <c r="C14" s="20" t="n">
        <v>8500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collapsed="false" customFormat="false" customHeight="true" hidden="false" ht="15" outlineLevel="0" r="15">
      <c r="A15" s="20" t="s">
        <v>157</v>
      </c>
      <c r="B15" s="20" t="s">
        <v>133</v>
      </c>
      <c r="C15" s="20" t="n">
        <v>9500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collapsed="false" customFormat="false" customHeight="true" hidden="false" ht="15" outlineLevel="0" r="16">
      <c r="A16" s="20" t="s">
        <v>158</v>
      </c>
      <c r="B16" s="20" t="s">
        <v>133</v>
      </c>
      <c r="C16" s="20" t="n">
        <v>10000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collapsed="false" customFormat="false" customHeight="true" hidden="false" ht="15" outlineLevel="0" r="17">
      <c r="A17" s="20" t="s">
        <v>159</v>
      </c>
      <c r="B17" s="20" t="s">
        <v>133</v>
      </c>
      <c r="C17" s="20" t="n">
        <v>9790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collapsed="false" customFormat="false" customHeight="true" hidden="false" ht="15" outlineLevel="0" r="18">
      <c r="A18" s="20" t="s">
        <v>160</v>
      </c>
      <c r="B18" s="20" t="s">
        <v>133</v>
      </c>
      <c r="C18" s="20" t="n">
        <v>12100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collapsed="false" customFormat="false" customHeight="true" hidden="false" ht="15" outlineLevel="0" r="19">
      <c r="A19" s="20" t="s">
        <v>161</v>
      </c>
      <c r="B19" s="20" t="s">
        <v>133</v>
      </c>
      <c r="C19" s="20" t="n">
        <v>5000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collapsed="false" customFormat="false" customHeight="true" hidden="false" ht="15" outlineLevel="0" r="20">
      <c r="A20" s="20"/>
      <c r="B20" s="20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collapsed="false" customFormat="false" customHeight="true" hidden="false" ht="15" outlineLevel="0" r="21">
      <c r="A21" s="20"/>
      <c r="B21" s="20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collapsed="false" customFormat="false" customHeight="true" hidden="false" ht="15" outlineLevel="0" r="22">
      <c r="A22" s="20"/>
      <c r="B22" s="20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collapsed="false" customFormat="false" customHeight="true" hidden="false" ht="15" outlineLevel="0" r="23">
      <c r="A23" s="20"/>
      <c r="B23" s="20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collapsed="false" customFormat="false" customHeight="true" hidden="false" ht="15" outlineLevel="0" r="24">
      <c r="A24" s="20"/>
      <c r="B24" s="20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collapsed="false" customFormat="false" customHeight="true" hidden="false" ht="15" outlineLevel="0" r="25">
      <c r="A25" s="20"/>
      <c r="B25" s="20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collapsed="false" customFormat="false" customHeight="true" hidden="false" ht="15" outlineLevel="0" r="26">
      <c r="A26" s="20"/>
      <c r="B26" s="20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collapsed="false" customFormat="false" customHeight="true" hidden="false" ht="15" outlineLevel="0" r="27">
      <c r="A27" s="20"/>
      <c r="B27" s="20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collapsed="false" customFormat="false" customHeight="true" hidden="false" ht="15" outlineLevel="0" r="28">
      <c r="A28" s="20"/>
      <c r="B28" s="20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collapsed="false" customFormat="false" customHeight="true" hidden="false" ht="15" outlineLevel="0"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collapsed="false" customFormat="false" customHeight="true" hidden="false" ht="18.75" outlineLevel="0" r="30">
      <c r="A30" s="16" t="s">
        <v>162</v>
      </c>
      <c r="B30" s="16"/>
      <c r="C30" s="16"/>
      <c r="D30" s="21"/>
      <c r="E30" s="16" t="s">
        <v>163</v>
      </c>
      <c r="F30" s="16"/>
      <c r="G30" s="16"/>
      <c r="H30" s="23"/>
      <c r="I30" s="21"/>
      <c r="J30" s="16" t="s">
        <v>164</v>
      </c>
      <c r="K30" s="16"/>
      <c r="L30" s="16"/>
      <c r="M30" s="16"/>
    </row>
    <row collapsed="false" customFormat="false" customHeight="true" hidden="false" ht="30.75" outlineLevel="0" r="31">
      <c r="A31" s="17" t="s">
        <v>128</v>
      </c>
      <c r="B31" s="18" t="s">
        <v>129</v>
      </c>
      <c r="C31" s="17" t="s">
        <v>130</v>
      </c>
      <c r="D31" s="21"/>
      <c r="E31" s="17" t="s">
        <v>128</v>
      </c>
      <c r="F31" s="18" t="s">
        <v>129</v>
      </c>
      <c r="G31" s="17" t="s">
        <v>130</v>
      </c>
      <c r="I31" s="21"/>
      <c r="J31" s="17" t="s">
        <v>128</v>
      </c>
      <c r="K31" s="18" t="s">
        <v>129</v>
      </c>
      <c r="L31" s="17" t="s">
        <v>165</v>
      </c>
      <c r="M31" s="17" t="s">
        <v>130</v>
      </c>
    </row>
    <row collapsed="false" customFormat="false" customHeight="true" hidden="false" ht="15" outlineLevel="0" r="32">
      <c r="A32" s="20" t="s">
        <v>166</v>
      </c>
      <c r="B32" s="20" t="s">
        <v>133</v>
      </c>
      <c r="C32" s="20" t="n">
        <v>912</v>
      </c>
      <c r="D32" s="21"/>
      <c r="E32" s="20" t="s">
        <v>167</v>
      </c>
      <c r="F32" s="20" t="s">
        <v>133</v>
      </c>
      <c r="G32" s="20" t="n">
        <v>770</v>
      </c>
      <c r="I32" s="21"/>
      <c r="J32" s="20" t="s">
        <v>168</v>
      </c>
      <c r="K32" s="20" t="s">
        <v>169</v>
      </c>
      <c r="L32" s="20" t="n">
        <v>4998</v>
      </c>
      <c r="M32" s="20" t="n">
        <f aca="false">+L32/1666</f>
        <v>3</v>
      </c>
    </row>
    <row collapsed="false" customFormat="false" customHeight="true" hidden="false" ht="15" outlineLevel="0" r="33">
      <c r="A33" s="20" t="s">
        <v>170</v>
      </c>
      <c r="B33" s="20" t="s">
        <v>137</v>
      </c>
      <c r="C33" s="20" t="n">
        <v>240</v>
      </c>
      <c r="D33" s="21"/>
      <c r="E33" s="20" t="s">
        <v>171</v>
      </c>
      <c r="F33" s="20" t="s">
        <v>133</v>
      </c>
      <c r="G33" s="20" t="n">
        <v>517</v>
      </c>
      <c r="I33" s="21"/>
      <c r="J33" s="20" t="s">
        <v>172</v>
      </c>
      <c r="K33" s="20" t="s">
        <v>173</v>
      </c>
      <c r="L33" s="20" t="n">
        <v>8800</v>
      </c>
      <c r="M33" s="20" t="n">
        <f aca="false">+L33/440</f>
        <v>20</v>
      </c>
    </row>
    <row collapsed="false" customFormat="false" customHeight="true" hidden="false" ht="15" outlineLevel="0" r="34">
      <c r="A34" s="20" t="s">
        <v>174</v>
      </c>
      <c r="B34" s="20" t="s">
        <v>137</v>
      </c>
      <c r="C34" s="20" t="n">
        <v>540</v>
      </c>
      <c r="D34" s="21"/>
      <c r="E34" s="20" t="s">
        <v>175</v>
      </c>
      <c r="F34" s="20" t="s">
        <v>133</v>
      </c>
      <c r="G34" s="20" t="n">
        <v>1870</v>
      </c>
      <c r="I34" s="21"/>
      <c r="J34" s="20"/>
      <c r="K34" s="20"/>
      <c r="L34" s="20"/>
      <c r="M34" s="20"/>
    </row>
    <row collapsed="false" customFormat="false" customHeight="true" hidden="false" ht="15" outlineLevel="0" r="35">
      <c r="A35" s="20" t="s">
        <v>176</v>
      </c>
      <c r="B35" s="20" t="s">
        <v>137</v>
      </c>
      <c r="C35" s="20" t="n">
        <v>912</v>
      </c>
      <c r="D35" s="21"/>
      <c r="E35" s="20" t="s">
        <v>177</v>
      </c>
      <c r="F35" s="20" t="s">
        <v>133</v>
      </c>
      <c r="G35" s="20" t="n">
        <v>1920</v>
      </c>
      <c r="I35" s="21"/>
      <c r="J35" s="20"/>
      <c r="K35" s="20"/>
      <c r="L35" s="20"/>
      <c r="M35" s="20"/>
    </row>
    <row collapsed="false" customFormat="false" customHeight="true" hidden="false" ht="15" outlineLevel="0" r="36">
      <c r="A36" s="20"/>
      <c r="B36" s="20"/>
      <c r="C36" s="20"/>
      <c r="D36" s="21"/>
      <c r="E36" s="20" t="s">
        <v>178</v>
      </c>
      <c r="F36" s="20" t="s">
        <v>133</v>
      </c>
      <c r="G36" s="20" t="n">
        <v>1500</v>
      </c>
      <c r="I36" s="21"/>
      <c r="J36" s="20"/>
      <c r="K36" s="20"/>
      <c r="L36" s="20"/>
      <c r="M36" s="20"/>
    </row>
    <row collapsed="false" customFormat="false" customHeight="true" hidden="false" ht="15" outlineLevel="0" r="37">
      <c r="A37" s="20"/>
      <c r="B37" s="20"/>
      <c r="C37" s="20"/>
      <c r="D37" s="21"/>
      <c r="E37" s="20"/>
      <c r="F37" s="20"/>
      <c r="G37" s="20"/>
      <c r="I37" s="21"/>
      <c r="J37" s="20"/>
      <c r="K37" s="20"/>
      <c r="L37" s="20"/>
      <c r="M37" s="20"/>
    </row>
    <row collapsed="false" customFormat="false" customHeight="true" hidden="false" ht="15" outlineLevel="0" r="38">
      <c r="A38" s="20"/>
      <c r="B38" s="20"/>
      <c r="C38" s="20"/>
      <c r="D38" s="21"/>
      <c r="E38" s="20"/>
      <c r="F38" s="20"/>
      <c r="G38" s="20"/>
      <c r="I38" s="21"/>
      <c r="J38" s="20"/>
      <c r="K38" s="20"/>
      <c r="L38" s="20"/>
      <c r="M38" s="20"/>
    </row>
    <row collapsed="false" customFormat="false" customHeight="true" hidden="false" ht="18.75" outlineLevel="0" r="41">
      <c r="E41" s="16" t="s">
        <v>179</v>
      </c>
      <c r="F41" s="16"/>
      <c r="G41" s="16"/>
      <c r="H41" s="16"/>
    </row>
    <row collapsed="false" customFormat="false" customHeight="true" hidden="false" ht="30" outlineLevel="0" r="42">
      <c r="E42" s="17" t="s">
        <v>128</v>
      </c>
      <c r="F42" s="18" t="s">
        <v>129</v>
      </c>
      <c r="G42" s="17" t="s">
        <v>165</v>
      </c>
      <c r="H42" s="17" t="s">
        <v>130</v>
      </c>
    </row>
    <row collapsed="false" customFormat="false" customHeight="true" hidden="false" ht="15" outlineLevel="0" r="43">
      <c r="E43" s="20" t="s">
        <v>180</v>
      </c>
      <c r="F43" s="20" t="s">
        <v>181</v>
      </c>
      <c r="G43" s="20" t="n">
        <v>110000</v>
      </c>
      <c r="H43" s="24" t="n">
        <f aca="false">+G43/218</f>
        <v>504.587155963303</v>
      </c>
    </row>
    <row collapsed="false" customFormat="false" customHeight="true" hidden="false" ht="15" outlineLevel="0" r="44">
      <c r="E44" s="20" t="s">
        <v>182</v>
      </c>
      <c r="F44" s="20" t="s">
        <v>181</v>
      </c>
      <c r="G44" s="20" t="n">
        <v>90000</v>
      </c>
      <c r="H44" s="24" t="n">
        <f aca="false">+G44/218</f>
        <v>412.844036697248</v>
      </c>
    </row>
    <row collapsed="false" customFormat="false" customHeight="true" hidden="false" ht="15" outlineLevel="0" r="45">
      <c r="E45" s="20" t="s">
        <v>183</v>
      </c>
      <c r="F45" s="20" t="s">
        <v>184</v>
      </c>
      <c r="G45" s="20" t="n">
        <v>85000</v>
      </c>
      <c r="H45" s="24" t="n">
        <f aca="false">+G45/400</f>
        <v>212.5</v>
      </c>
    </row>
    <row collapsed="false" customFormat="false" customHeight="true" hidden="false" ht="15" outlineLevel="0" r="46">
      <c r="E46" s="20" t="s">
        <v>185</v>
      </c>
      <c r="F46" s="20" t="s">
        <v>186</v>
      </c>
      <c r="G46" s="20" t="n">
        <v>7440</v>
      </c>
      <c r="H46" s="24" t="n">
        <f aca="false">+G46/100</f>
        <v>74.4</v>
      </c>
    </row>
    <row collapsed="false" customFormat="false" customHeight="true" hidden="false" ht="15" outlineLevel="0" r="47">
      <c r="E47" s="20" t="s">
        <v>187</v>
      </c>
      <c r="F47" s="20" t="s">
        <v>137</v>
      </c>
      <c r="G47" s="20" t="n">
        <v>9000</v>
      </c>
      <c r="H47" s="24" t="n">
        <v>50</v>
      </c>
    </row>
    <row collapsed="false" customFormat="false" customHeight="true" hidden="false" ht="15" outlineLevel="0" r="48">
      <c r="E48" s="20" t="s">
        <v>188</v>
      </c>
      <c r="F48" s="20" t="s">
        <v>137</v>
      </c>
      <c r="G48" s="20"/>
      <c r="H48" s="24" t="n">
        <v>500</v>
      </c>
    </row>
    <row collapsed="false" customFormat="false" customHeight="true" hidden="false" ht="15" outlineLevel="0" r="49">
      <c r="E49" s="20" t="s">
        <v>189</v>
      </c>
      <c r="F49" s="20" t="s">
        <v>133</v>
      </c>
      <c r="G49" s="20"/>
      <c r="H49" s="24" t="n">
        <v>2500</v>
      </c>
    </row>
    <row collapsed="false" customFormat="false" customHeight="true" hidden="false" ht="15" outlineLevel="0" r="50">
      <c r="E50" s="20" t="s">
        <v>190</v>
      </c>
      <c r="F50" s="20" t="s">
        <v>137</v>
      </c>
      <c r="G50" s="20"/>
      <c r="H50" s="24" t="n">
        <v>1500</v>
      </c>
    </row>
    <row collapsed="false" customFormat="false" customHeight="true" hidden="false" ht="15" outlineLevel="0" r="51">
      <c r="E51" s="20" t="s">
        <v>191</v>
      </c>
      <c r="F51" s="20" t="s">
        <v>133</v>
      </c>
      <c r="G51" s="20"/>
      <c r="H51" s="24" t="n">
        <v>240</v>
      </c>
    </row>
    <row collapsed="false" customFormat="false" customHeight="true" hidden="false" ht="15" outlineLevel="0" r="52">
      <c r="E52" s="20" t="s">
        <v>192</v>
      </c>
      <c r="F52" s="20" t="s">
        <v>137</v>
      </c>
      <c r="G52" s="20"/>
      <c r="H52" s="24" t="n">
        <v>150</v>
      </c>
    </row>
    <row collapsed="false" customFormat="false" customHeight="true" hidden="false" ht="15" outlineLevel="0" r="53">
      <c r="E53" s="20" t="s">
        <v>193</v>
      </c>
      <c r="F53" s="20" t="s">
        <v>133</v>
      </c>
      <c r="G53" s="20"/>
      <c r="H53" s="24" t="n">
        <v>1500</v>
      </c>
    </row>
    <row collapsed="false" customFormat="false" customHeight="true" hidden="false" ht="15" outlineLevel="0" r="54">
      <c r="E54" s="20" t="s">
        <v>194</v>
      </c>
      <c r="F54" s="20" t="s">
        <v>137</v>
      </c>
      <c r="G54" s="20"/>
      <c r="H54" s="24" t="n">
        <v>20</v>
      </c>
    </row>
  </sheetData>
  <mergeCells count="8">
    <mergeCell ref="A1:M1"/>
    <mergeCell ref="A2:C2"/>
    <mergeCell ref="E2:H2"/>
    <mergeCell ref="J2:L2"/>
    <mergeCell ref="A30:C30"/>
    <mergeCell ref="E30:G30"/>
    <mergeCell ref="J30:M30"/>
    <mergeCell ref="E41:H4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1" min="1" style="14" width="32.3254901960784"/>
    <col collapsed="false" hidden="false" max="2" min="2" style="14" width="7.85882352941176"/>
    <col collapsed="false" hidden="false" max="4" min="3" style="14" width="10.921568627451"/>
    <col collapsed="false" hidden="false" max="5" min="5" style="14" width="4.74901960784314"/>
    <col collapsed="false" hidden="false" max="6" min="6" style="14" width="32.3254901960784"/>
    <col collapsed="false" hidden="false" max="9" min="7" style="14" width="10.921568627451"/>
    <col collapsed="false" hidden="false" max="10" min="10" style="14" width="11.8588235294118"/>
    <col collapsed="false" hidden="false" max="1025" min="11" style="14" width="10.921568627451"/>
  </cols>
  <sheetData>
    <row collapsed="false" customFormat="false" customHeight="true" hidden="false" ht="24.75" outlineLevel="0" r="1">
      <c r="A1" s="15" t="s">
        <v>195</v>
      </c>
      <c r="B1" s="15"/>
      <c r="C1" s="15"/>
      <c r="D1" s="15"/>
      <c r="E1" s="15"/>
      <c r="F1" s="15"/>
      <c r="G1" s="15"/>
      <c r="H1" s="15"/>
      <c r="I1" s="15"/>
    </row>
    <row collapsed="false" customFormat="false" customHeight="true" hidden="false" ht="18.75" outlineLevel="0" r="2">
      <c r="A2" s="25" t="s">
        <v>30</v>
      </c>
      <c r="B2" s="25"/>
      <c r="C2" s="25"/>
      <c r="D2" s="25"/>
      <c r="F2" s="25" t="s">
        <v>35</v>
      </c>
      <c r="G2" s="25"/>
      <c r="H2" s="25"/>
      <c r="I2" s="25"/>
    </row>
    <row collapsed="false" customFormat="false" customHeight="true" hidden="false" ht="15" outlineLevel="0" r="3">
      <c r="A3" s="26" t="s">
        <v>128</v>
      </c>
      <c r="B3" s="26" t="s">
        <v>196</v>
      </c>
      <c r="C3" s="27" t="s">
        <v>197</v>
      </c>
      <c r="D3" s="26" t="s">
        <v>198</v>
      </c>
      <c r="F3" s="26" t="s">
        <v>128</v>
      </c>
      <c r="G3" s="26" t="s">
        <v>196</v>
      </c>
      <c r="H3" s="27" t="s">
        <v>197</v>
      </c>
      <c r="I3" s="26" t="s">
        <v>198</v>
      </c>
    </row>
    <row collapsed="false" customFormat="false" customHeight="true" hidden="false" ht="15" outlineLevel="0" r="4">
      <c r="A4" s="28" t="s">
        <v>138</v>
      </c>
      <c r="B4" s="28" t="s">
        <v>133</v>
      </c>
      <c r="C4" s="28" t="n">
        <v>2.36</v>
      </c>
      <c r="D4" s="29" t="n">
        <f aca="false">+C4*'MATERIALES E INSUMOS'!C5</f>
        <v>39459.2</v>
      </c>
      <c r="F4" s="28" t="s">
        <v>199</v>
      </c>
      <c r="G4" s="28" t="s">
        <v>133</v>
      </c>
      <c r="H4" s="28" t="n">
        <v>1.36</v>
      </c>
      <c r="I4" s="29" t="n">
        <f aca="false">+H4*'MATERIALES E INSUMOS'!C4</f>
        <v>12240</v>
      </c>
    </row>
    <row collapsed="false" customFormat="false" customHeight="true" hidden="false" ht="15" outlineLevel="0" r="5">
      <c r="A5" s="28" t="s">
        <v>200</v>
      </c>
      <c r="B5" s="28" t="s">
        <v>133</v>
      </c>
      <c r="C5" s="28" t="n">
        <v>20</v>
      </c>
      <c r="D5" s="29" t="n">
        <f aca="false">+C5*'MATERIALES E INSUMOS'!H4</f>
        <v>74.4</v>
      </c>
      <c r="F5" s="28" t="s">
        <v>201</v>
      </c>
      <c r="G5" s="28" t="s">
        <v>133</v>
      </c>
      <c r="H5" s="28" t="n">
        <v>0.1</v>
      </c>
      <c r="I5" s="29" t="n">
        <f aca="false">+H5*'MATERIALES E INSUMOS'!C4</f>
        <v>900</v>
      </c>
    </row>
    <row collapsed="false" customFormat="false" customHeight="true" hidden="false" ht="15" outlineLevel="0" r="6">
      <c r="A6" s="28" t="s">
        <v>202</v>
      </c>
      <c r="B6" s="28" t="s">
        <v>133</v>
      </c>
      <c r="C6" s="28" t="n">
        <v>80</v>
      </c>
      <c r="D6" s="29" t="n">
        <f aca="false">+C6*'MATERIALES E INSUMOS'!H5</f>
        <v>76.8</v>
      </c>
      <c r="F6" s="28" t="s">
        <v>142</v>
      </c>
      <c r="G6" s="28" t="s">
        <v>133</v>
      </c>
      <c r="H6" s="28" t="n">
        <v>0.33</v>
      </c>
      <c r="I6" s="29" t="n">
        <f aca="false">+H6*'MATERIALES E INSUMOS'!C5</f>
        <v>5517.6</v>
      </c>
    </row>
    <row collapsed="false" customFormat="false" customHeight="true" hidden="false" ht="15" outlineLevel="0" r="7">
      <c r="A7" s="28" t="s">
        <v>203</v>
      </c>
      <c r="B7" s="28" t="s">
        <v>133</v>
      </c>
      <c r="C7" s="28" t="n">
        <v>0.43</v>
      </c>
      <c r="D7" s="29" t="n">
        <f aca="false">+C7*'MATERIALES E INSUMOS'!G32</f>
        <v>331.1</v>
      </c>
      <c r="F7" s="28" t="s">
        <v>202</v>
      </c>
      <c r="G7" s="28" t="s">
        <v>133</v>
      </c>
      <c r="H7" s="28" t="n">
        <v>40</v>
      </c>
      <c r="I7" s="29" t="n">
        <f aca="false">+H7*'MATERIALES E INSUMOS'!H4</f>
        <v>148.8</v>
      </c>
    </row>
    <row collapsed="false" customFormat="false" customHeight="true" hidden="false" ht="15" outlineLevel="0" r="8">
      <c r="A8" s="28" t="s">
        <v>204</v>
      </c>
      <c r="B8" s="28" t="s">
        <v>133</v>
      </c>
      <c r="C8" s="28" t="n">
        <v>0.6</v>
      </c>
      <c r="D8" s="29" t="n">
        <f aca="false">+C8*'MATERIALES E INSUMOS'!C32</f>
        <v>547.2</v>
      </c>
      <c r="F8" s="28" t="s">
        <v>167</v>
      </c>
      <c r="G8" s="28" t="s">
        <v>133</v>
      </c>
      <c r="H8" s="28" t="n">
        <v>0.8</v>
      </c>
      <c r="I8" s="29" t="n">
        <f aca="false">+H8*'MATERIALES E INSUMOS'!G32</f>
        <v>616</v>
      </c>
    </row>
    <row collapsed="false" customFormat="false" customHeight="true" hidden="false" ht="15" outlineLevel="0" r="9">
      <c r="A9" s="28" t="s">
        <v>205</v>
      </c>
      <c r="B9" s="28" t="s">
        <v>206</v>
      </c>
      <c r="C9" s="28" t="n">
        <v>1</v>
      </c>
      <c r="D9" s="29" t="n">
        <f aca="false">+C9*'MATERIALES E INSUMOS'!C33</f>
        <v>240</v>
      </c>
      <c r="F9" s="28" t="s">
        <v>192</v>
      </c>
      <c r="G9" s="28" t="s">
        <v>137</v>
      </c>
      <c r="H9" s="28" t="n">
        <v>1</v>
      </c>
      <c r="I9" s="29" t="n">
        <f aca="false">+H9*'MATERIALES E INSUMOS'!H52</f>
        <v>150</v>
      </c>
    </row>
    <row collapsed="false" customFormat="false" customHeight="true" hidden="false" ht="15" outlineLevel="0" r="10">
      <c r="A10" s="28" t="s">
        <v>207</v>
      </c>
      <c r="B10" s="28" t="s">
        <v>137</v>
      </c>
      <c r="C10" s="28" t="n">
        <v>1</v>
      </c>
      <c r="D10" s="29" t="n">
        <f aca="false">+C10*'MATERIALES E INSUMOS'!M33</f>
        <v>20</v>
      </c>
      <c r="F10" s="28" t="s">
        <v>207</v>
      </c>
      <c r="G10" s="28" t="s">
        <v>137</v>
      </c>
      <c r="H10" s="28" t="n">
        <v>1</v>
      </c>
      <c r="I10" s="29" t="n">
        <f aca="false">+H10*'MATERIALES E INSUMOS'!M33</f>
        <v>20</v>
      </c>
    </row>
    <row collapsed="false" customFormat="false" customHeight="true" hidden="false" ht="15" outlineLevel="0" r="11">
      <c r="A11" s="28" t="s">
        <v>208</v>
      </c>
      <c r="B11" s="28" t="s">
        <v>137</v>
      </c>
      <c r="C11" s="28" t="n">
        <v>1</v>
      </c>
      <c r="D11" s="29" t="n">
        <f aca="false">+C11*'MATERIALES E INSUMOS'!M32</f>
        <v>3</v>
      </c>
      <c r="F11" s="28" t="s">
        <v>208</v>
      </c>
      <c r="G11" s="28" t="s">
        <v>137</v>
      </c>
      <c r="H11" s="28" t="n">
        <v>1</v>
      </c>
      <c r="I11" s="29" t="n">
        <f aca="false">+H11*'MATERIALES E INSUMOS'!M32</f>
        <v>3</v>
      </c>
    </row>
    <row collapsed="false" customFormat="false" customHeight="true" hidden="false" ht="15" outlineLevel="0" r="12">
      <c r="A12" s="28" t="s">
        <v>209</v>
      </c>
      <c r="B12" s="28" t="s">
        <v>137</v>
      </c>
      <c r="C12" s="28" t="n">
        <v>1</v>
      </c>
      <c r="D12" s="29" t="n">
        <f aca="false">+C12*'MATERIALES E INSUMOS'!H46</f>
        <v>74.4</v>
      </c>
      <c r="F12" s="28" t="s">
        <v>209</v>
      </c>
      <c r="G12" s="28" t="s">
        <v>137</v>
      </c>
      <c r="H12" s="28" t="n">
        <v>1</v>
      </c>
      <c r="I12" s="29" t="n">
        <f aca="false">+H12*'MATERIALES E INSUMOS'!H46</f>
        <v>74.4</v>
      </c>
    </row>
    <row collapsed="false" customFormat="false" customHeight="true" hidden="false" ht="18.75" outlineLevel="0" r="13">
      <c r="A13" s="30" t="s">
        <v>210</v>
      </c>
      <c r="B13" s="30"/>
      <c r="C13" s="30"/>
      <c r="D13" s="31" t="n">
        <f aca="false">SUM(D4:D12)</f>
        <v>40826.1</v>
      </c>
      <c r="F13" s="30" t="s">
        <v>210</v>
      </c>
      <c r="G13" s="30"/>
      <c r="H13" s="30"/>
      <c r="I13" s="31" t="n">
        <f aca="false">SUM(I4:I12)</f>
        <v>19669.8</v>
      </c>
    </row>
    <row collapsed="false" customFormat="false" customHeight="true" hidden="false" ht="18.75" outlineLevel="0" r="15">
      <c r="A15" s="25" t="s">
        <v>211</v>
      </c>
      <c r="B15" s="25"/>
      <c r="C15" s="25"/>
      <c r="D15" s="25"/>
      <c r="F15" s="25" t="s">
        <v>212</v>
      </c>
      <c r="G15" s="25"/>
      <c r="H15" s="25"/>
      <c r="I15" s="25"/>
    </row>
    <row collapsed="false" customFormat="false" customHeight="true" hidden="false" ht="15" outlineLevel="0" r="16">
      <c r="A16" s="26" t="s">
        <v>128</v>
      </c>
      <c r="B16" s="26" t="s">
        <v>196</v>
      </c>
      <c r="C16" s="27" t="s">
        <v>197</v>
      </c>
      <c r="D16" s="26" t="s">
        <v>198</v>
      </c>
      <c r="F16" s="26" t="s">
        <v>128</v>
      </c>
      <c r="G16" s="26" t="s">
        <v>196</v>
      </c>
      <c r="H16" s="27" t="s">
        <v>197</v>
      </c>
      <c r="I16" s="26" t="s">
        <v>198</v>
      </c>
    </row>
    <row collapsed="false" customFormat="false" customHeight="true" hidden="false" ht="15" outlineLevel="0" r="17">
      <c r="A17" s="28" t="s">
        <v>145</v>
      </c>
      <c r="B17" s="28" t="s">
        <v>133</v>
      </c>
      <c r="C17" s="28" t="n">
        <v>4.6</v>
      </c>
      <c r="D17" s="29" t="n">
        <f aca="false">+C17*'MATERIALES E INSUMOS'!C7</f>
        <v>18400</v>
      </c>
      <c r="F17" s="28" t="s">
        <v>148</v>
      </c>
      <c r="G17" s="28" t="s">
        <v>133</v>
      </c>
      <c r="H17" s="28" t="n">
        <v>1.16</v>
      </c>
      <c r="I17" s="32" t="n">
        <f aca="false">H17*'MATERIALES E INSUMOS'!C8</f>
        <v>17608.8</v>
      </c>
    </row>
    <row collapsed="false" customFormat="false" customHeight="true" hidden="false" ht="15" outlineLevel="0" r="18">
      <c r="A18" s="28" t="s">
        <v>171</v>
      </c>
      <c r="B18" s="28" t="s">
        <v>133</v>
      </c>
      <c r="C18" s="28" t="n">
        <v>1</v>
      </c>
      <c r="D18" s="29" t="n">
        <f aca="false">C18*'MATERIALES E INSUMOS'!G33</f>
        <v>517</v>
      </c>
      <c r="F18" s="28" t="s">
        <v>200</v>
      </c>
      <c r="G18" s="28" t="s">
        <v>133</v>
      </c>
      <c r="H18" s="28" t="n">
        <v>40</v>
      </c>
      <c r="I18" s="29" t="n">
        <f aca="false">+H18*'MATERIALES E INSUMOS'!H4</f>
        <v>148.8</v>
      </c>
    </row>
    <row collapsed="false" customFormat="false" customHeight="true" hidden="false" ht="15" outlineLevel="0" r="19">
      <c r="A19" s="28" t="s">
        <v>202</v>
      </c>
      <c r="B19" s="28" t="s">
        <v>133</v>
      </c>
      <c r="C19" s="28" t="n">
        <v>30</v>
      </c>
      <c r="D19" s="29" t="n">
        <f aca="false">C19*'MATERIALES E INSUMOS'!H5</f>
        <v>28.8</v>
      </c>
      <c r="F19" s="28" t="s">
        <v>202</v>
      </c>
      <c r="G19" s="28" t="s">
        <v>133</v>
      </c>
      <c r="H19" s="28" t="n">
        <v>40</v>
      </c>
      <c r="I19" s="29" t="n">
        <f aca="false">+H19*'MATERIALES E INSUMOS'!$H$5</f>
        <v>38.4</v>
      </c>
    </row>
    <row collapsed="false" customFormat="false" customHeight="true" hidden="false" ht="15" outlineLevel="0" r="20">
      <c r="A20" s="28" t="s">
        <v>207</v>
      </c>
      <c r="B20" s="28" t="s">
        <v>137</v>
      </c>
      <c r="C20" s="28" t="n">
        <v>1</v>
      </c>
      <c r="D20" s="29" t="n">
        <f aca="false">C20*'MATERIALES E INSUMOS'!M33</f>
        <v>20</v>
      </c>
      <c r="F20" s="28" t="s">
        <v>174</v>
      </c>
      <c r="G20" s="28" t="s">
        <v>137</v>
      </c>
      <c r="H20" s="28" t="n">
        <v>1</v>
      </c>
      <c r="I20" s="29" t="n">
        <f aca="false">+H20*'MATERIALES E INSUMOS'!C34</f>
        <v>540</v>
      </c>
    </row>
    <row collapsed="false" customFormat="false" customHeight="true" hidden="false" ht="15" outlineLevel="0" r="21">
      <c r="A21" s="28" t="s">
        <v>209</v>
      </c>
      <c r="B21" s="28" t="s">
        <v>137</v>
      </c>
      <c r="C21" s="28" t="n">
        <v>1</v>
      </c>
      <c r="D21" s="29" t="n">
        <f aca="false">C21*'MATERIALES E INSUMOS'!H46</f>
        <v>74.4</v>
      </c>
      <c r="F21" s="28" t="s">
        <v>213</v>
      </c>
      <c r="G21" s="28" t="s">
        <v>137</v>
      </c>
      <c r="H21" s="28" t="n">
        <v>1</v>
      </c>
      <c r="I21" s="29" t="n">
        <f aca="false">+H21*'MATERIALES E INSUMOS'!L4</f>
        <v>55</v>
      </c>
    </row>
    <row collapsed="false" customFormat="false" customHeight="true" hidden="false" ht="15" outlineLevel="0" r="22">
      <c r="A22" s="28"/>
      <c r="B22" s="28"/>
      <c r="C22" s="28"/>
      <c r="D22" s="29"/>
      <c r="F22" s="28" t="s">
        <v>207</v>
      </c>
      <c r="G22" s="28" t="s">
        <v>137</v>
      </c>
      <c r="H22" s="28" t="n">
        <v>1</v>
      </c>
      <c r="I22" s="29" t="n">
        <f aca="false">H22*'MATERIALES E INSUMOS'!M33</f>
        <v>20</v>
      </c>
    </row>
    <row collapsed="false" customFormat="false" customHeight="true" hidden="false" ht="15" outlineLevel="0" r="23">
      <c r="A23" s="28"/>
      <c r="B23" s="28"/>
      <c r="C23" s="28"/>
      <c r="D23" s="29"/>
      <c r="F23" s="28" t="s">
        <v>208</v>
      </c>
      <c r="G23" s="28" t="s">
        <v>137</v>
      </c>
      <c r="H23" s="28" t="n">
        <v>1</v>
      </c>
      <c r="I23" s="29" t="n">
        <f aca="false">+H23*'MATERIALES E INSUMOS'!M32</f>
        <v>3</v>
      </c>
    </row>
    <row collapsed="false" customFormat="false" customHeight="true" hidden="false" ht="15" outlineLevel="0" r="24">
      <c r="A24" s="28"/>
      <c r="B24" s="28"/>
      <c r="C24" s="28"/>
      <c r="D24" s="29"/>
      <c r="F24" s="28" t="s">
        <v>209</v>
      </c>
      <c r="G24" s="28" t="s">
        <v>137</v>
      </c>
      <c r="H24" s="28" t="n">
        <v>1</v>
      </c>
      <c r="I24" s="29" t="n">
        <f aca="false">+H24*'MATERIALES E INSUMOS'!H46</f>
        <v>74.4</v>
      </c>
    </row>
    <row collapsed="false" customFormat="false" customHeight="true" hidden="false" ht="18.75" outlineLevel="0" r="25">
      <c r="A25" s="30" t="s">
        <v>210</v>
      </c>
      <c r="B25" s="30"/>
      <c r="C25" s="30"/>
      <c r="D25" s="31" t="n">
        <f aca="false">SUM(D17:D24)</f>
        <v>19040.2</v>
      </c>
      <c r="F25" s="30" t="s">
        <v>210</v>
      </c>
      <c r="G25" s="30"/>
      <c r="H25" s="30"/>
      <c r="I25" s="31" t="n">
        <f aca="false">SUM(I17:I24)</f>
        <v>18488.4</v>
      </c>
    </row>
    <row collapsed="false" customFormat="false" customHeight="true" hidden="false" ht="18.75" outlineLevel="0" r="27">
      <c r="A27" s="25" t="s">
        <v>214</v>
      </c>
      <c r="B27" s="25"/>
      <c r="C27" s="25"/>
      <c r="D27" s="25"/>
      <c r="F27" s="25" t="s">
        <v>215</v>
      </c>
      <c r="G27" s="25"/>
      <c r="H27" s="25"/>
      <c r="I27" s="25"/>
    </row>
    <row collapsed="false" customFormat="false" customHeight="true" hidden="false" ht="15" outlineLevel="0" r="28">
      <c r="A28" s="26" t="s">
        <v>128</v>
      </c>
      <c r="B28" s="26" t="s">
        <v>196</v>
      </c>
      <c r="C28" s="27" t="s">
        <v>197</v>
      </c>
      <c r="D28" s="26" t="s">
        <v>198</v>
      </c>
      <c r="F28" s="26" t="s">
        <v>128</v>
      </c>
      <c r="G28" s="26" t="s">
        <v>196</v>
      </c>
      <c r="H28" s="27" t="s">
        <v>197</v>
      </c>
      <c r="I28" s="26" t="s">
        <v>198</v>
      </c>
    </row>
    <row collapsed="false" customFormat="false" customHeight="true" hidden="false" ht="15" outlineLevel="0" r="29">
      <c r="A29" s="28" t="s">
        <v>151</v>
      </c>
      <c r="B29" s="28" t="s">
        <v>133</v>
      </c>
      <c r="C29" s="28" t="n">
        <v>1.32</v>
      </c>
      <c r="D29" s="29" t="n">
        <f aca="false">+C29*'MATERIALES E INSUMOS'!C9</f>
        <v>22070.4</v>
      </c>
      <c r="F29" s="28" t="s">
        <v>153</v>
      </c>
      <c r="G29" s="28" t="s">
        <v>133</v>
      </c>
      <c r="H29" s="28" t="n">
        <v>1.25</v>
      </c>
      <c r="I29" s="32" t="n">
        <f aca="false">H29*'MATERIALES E INSUMOS'!C11</f>
        <v>9487.5</v>
      </c>
    </row>
    <row collapsed="false" customFormat="false" customHeight="true" hidden="false" ht="15" outlineLevel="0" r="30">
      <c r="A30" s="28" t="s">
        <v>152</v>
      </c>
      <c r="B30" s="28" t="s">
        <v>133</v>
      </c>
      <c r="C30" s="28" t="n">
        <v>0.1</v>
      </c>
      <c r="D30" s="29" t="n">
        <f aca="false">+C30*'MATERIALES E INSUMOS'!$C$10</f>
        <v>528</v>
      </c>
      <c r="F30" s="28" t="s">
        <v>154</v>
      </c>
      <c r="G30" s="28" t="s">
        <v>133</v>
      </c>
      <c r="H30" s="28" t="n">
        <v>0.05</v>
      </c>
      <c r="I30" s="29" t="n">
        <f aca="false">+H30*'MATERIALES E INSUMOS'!C12</f>
        <v>528</v>
      </c>
    </row>
    <row collapsed="false" customFormat="false" customHeight="true" hidden="false" ht="15" outlineLevel="0" r="31">
      <c r="A31" s="28" t="s">
        <v>202</v>
      </c>
      <c r="B31" s="28" t="s">
        <v>133</v>
      </c>
      <c r="C31" s="28" t="n">
        <v>60</v>
      </c>
      <c r="D31" s="29" t="n">
        <f aca="false">+C31*'MATERIALES E INSUMOS'!$H$5</f>
        <v>57.6</v>
      </c>
      <c r="F31" s="28" t="s">
        <v>202</v>
      </c>
      <c r="G31" s="28" t="s">
        <v>133</v>
      </c>
      <c r="H31" s="28" t="n">
        <v>60</v>
      </c>
      <c r="I31" s="29" t="n">
        <f aca="false">+H31*'MATERIALES E INSUMOS'!H5</f>
        <v>57.6</v>
      </c>
    </row>
    <row collapsed="false" customFormat="false" customHeight="true" hidden="false" ht="15" outlineLevel="0" r="32">
      <c r="A32" s="28" t="s">
        <v>216</v>
      </c>
      <c r="B32" s="28" t="s">
        <v>137</v>
      </c>
      <c r="C32" s="28" t="n">
        <v>10</v>
      </c>
      <c r="D32" s="29" t="n">
        <f aca="false">+C32*'MATERIALES E INSUMOS'!L5</f>
        <v>280</v>
      </c>
      <c r="F32" s="28" t="s">
        <v>217</v>
      </c>
      <c r="G32" s="28" t="s">
        <v>133</v>
      </c>
      <c r="H32" s="28" t="n">
        <v>0.8</v>
      </c>
      <c r="I32" s="29" t="n">
        <f aca="false">+H32*'MATERIALES E INSUMOS'!G32</f>
        <v>616</v>
      </c>
    </row>
    <row collapsed="false" customFormat="false" customHeight="true" hidden="false" ht="15" outlineLevel="0" r="33">
      <c r="A33" s="28" t="s">
        <v>218</v>
      </c>
      <c r="B33" s="28" t="s">
        <v>137</v>
      </c>
      <c r="C33" s="28" t="n">
        <v>2</v>
      </c>
      <c r="D33" s="29" t="n">
        <f aca="false">+C33*'MATERIALES E INSUMOS'!L6</f>
        <v>56</v>
      </c>
      <c r="F33" s="28" t="s">
        <v>207</v>
      </c>
      <c r="G33" s="28" t="s">
        <v>137</v>
      </c>
      <c r="H33" s="28" t="n">
        <v>1</v>
      </c>
      <c r="I33" s="29" t="n">
        <f aca="false">+H33*'MATERIALES E INSUMOS'!M33</f>
        <v>20</v>
      </c>
    </row>
    <row collapsed="false" customFormat="false" customHeight="true" hidden="false" ht="15" outlineLevel="0" r="34">
      <c r="A34" s="28" t="s">
        <v>207</v>
      </c>
      <c r="B34" s="28" t="s">
        <v>137</v>
      </c>
      <c r="C34" s="28" t="n">
        <v>1</v>
      </c>
      <c r="D34" s="29" t="n">
        <f aca="false">C34*'MATERIALES E INSUMOS'!M33</f>
        <v>20</v>
      </c>
      <c r="F34" s="28" t="s">
        <v>208</v>
      </c>
      <c r="G34" s="28" t="s">
        <v>137</v>
      </c>
      <c r="H34" s="28" t="n">
        <v>1</v>
      </c>
      <c r="I34" s="29" t="n">
        <f aca="false">+H34*'MATERIALES E INSUMOS'!M32</f>
        <v>3</v>
      </c>
    </row>
    <row collapsed="false" customFormat="false" customHeight="true" hidden="false" ht="15" outlineLevel="0" r="35">
      <c r="A35" s="28" t="s">
        <v>208</v>
      </c>
      <c r="B35" s="28" t="s">
        <v>137</v>
      </c>
      <c r="C35" s="28" t="n">
        <v>1</v>
      </c>
      <c r="D35" s="29" t="n">
        <f aca="false">+C35*'MATERIALES E INSUMOS'!M32</f>
        <v>3</v>
      </c>
      <c r="F35" s="28" t="s">
        <v>209</v>
      </c>
      <c r="G35" s="28" t="s">
        <v>137</v>
      </c>
      <c r="H35" s="28" t="n">
        <v>1</v>
      </c>
      <c r="I35" s="29" t="n">
        <f aca="false">+H35*'MATERIALES E INSUMOS'!H46</f>
        <v>74.4</v>
      </c>
    </row>
    <row collapsed="false" customFormat="false" customHeight="true" hidden="false" ht="15" outlineLevel="0" r="36">
      <c r="A36" s="28" t="s">
        <v>209</v>
      </c>
      <c r="B36" s="28" t="s">
        <v>137</v>
      </c>
      <c r="C36" s="28" t="n">
        <v>1</v>
      </c>
      <c r="D36" s="29" t="n">
        <f aca="false">+C36*'MATERIALES E INSUMOS'!H46</f>
        <v>74.4</v>
      </c>
      <c r="F36" s="28"/>
      <c r="G36" s="28"/>
      <c r="H36" s="28"/>
      <c r="I36" s="29"/>
    </row>
    <row collapsed="false" customFormat="false" customHeight="true" hidden="false" ht="18.75" outlineLevel="0" r="37">
      <c r="A37" s="30" t="s">
        <v>210</v>
      </c>
      <c r="B37" s="30"/>
      <c r="C37" s="30"/>
      <c r="D37" s="31" t="n">
        <f aca="false">SUM(D29:D36)</f>
        <v>23089.4</v>
      </c>
      <c r="F37" s="30" t="s">
        <v>210</v>
      </c>
      <c r="G37" s="30"/>
      <c r="H37" s="30"/>
      <c r="I37" s="31" t="n">
        <f aca="false">SUM(I29:I36)</f>
        <v>10786.5</v>
      </c>
    </row>
    <row collapsed="false" customFormat="false" customHeight="true" hidden="false" ht="18.75" outlineLevel="0" r="39">
      <c r="A39" s="25" t="s">
        <v>219</v>
      </c>
      <c r="B39" s="25"/>
      <c r="C39" s="25"/>
      <c r="D39" s="25"/>
      <c r="F39" s="25" t="s">
        <v>220</v>
      </c>
      <c r="G39" s="25"/>
      <c r="H39" s="25"/>
      <c r="I39" s="25"/>
    </row>
    <row collapsed="false" customFormat="false" customHeight="true" hidden="false" ht="15" outlineLevel="0" r="40">
      <c r="A40" s="26" t="s">
        <v>128</v>
      </c>
      <c r="B40" s="26" t="s">
        <v>196</v>
      </c>
      <c r="C40" s="27" t="s">
        <v>197</v>
      </c>
      <c r="D40" s="26" t="s">
        <v>198</v>
      </c>
      <c r="F40" s="26" t="s">
        <v>128</v>
      </c>
      <c r="G40" s="26" t="s">
        <v>196</v>
      </c>
      <c r="H40" s="27" t="s">
        <v>197</v>
      </c>
      <c r="I40" s="26" t="s">
        <v>198</v>
      </c>
    </row>
    <row collapsed="false" customFormat="false" customHeight="true" hidden="false" ht="15" outlineLevel="0" r="41">
      <c r="A41" s="28" t="s">
        <v>155</v>
      </c>
      <c r="B41" s="28" t="s">
        <v>133</v>
      </c>
      <c r="C41" s="28" t="n">
        <v>1.2</v>
      </c>
      <c r="D41" s="32" t="n">
        <f aca="false">C41*'MATERIALES E INSUMOS'!C13</f>
        <v>21600</v>
      </c>
      <c r="F41" s="28" t="s">
        <v>151</v>
      </c>
      <c r="G41" s="28" t="s">
        <v>133</v>
      </c>
      <c r="H41" s="28" t="n">
        <v>1.29</v>
      </c>
      <c r="I41" s="32" t="n">
        <f aca="false">H41*'MATERIALES E INSUMOS'!C9</f>
        <v>21568.8</v>
      </c>
    </row>
    <row collapsed="false" customFormat="false" customHeight="true" hidden="false" ht="15" outlineLevel="0" r="42">
      <c r="A42" s="28" t="s">
        <v>156</v>
      </c>
      <c r="B42" s="28" t="s">
        <v>133</v>
      </c>
      <c r="C42" s="28" t="n">
        <v>0.17</v>
      </c>
      <c r="D42" s="32" t="n">
        <f aca="false">C42*'MATERIALES E INSUMOS'!C14</f>
        <v>1445</v>
      </c>
      <c r="F42" s="28" t="s">
        <v>202</v>
      </c>
      <c r="G42" s="28" t="s">
        <v>133</v>
      </c>
      <c r="H42" s="28" t="n">
        <v>60</v>
      </c>
      <c r="I42" s="29" t="n">
        <f aca="false">+H42*'MATERIALES E INSUMOS'!$H$5</f>
        <v>57.6</v>
      </c>
    </row>
    <row collapsed="false" customFormat="false" customHeight="true" hidden="false" ht="15" outlineLevel="0" r="43">
      <c r="A43" s="28" t="s">
        <v>221</v>
      </c>
      <c r="B43" s="28" t="s">
        <v>133</v>
      </c>
      <c r="C43" s="28" t="n">
        <v>20</v>
      </c>
      <c r="D43" s="29" t="n">
        <f aca="false">+C43*'MATERIALES E INSUMOS'!H6</f>
        <v>77.76</v>
      </c>
      <c r="F43" s="28" t="s">
        <v>216</v>
      </c>
      <c r="G43" s="28" t="s">
        <v>137</v>
      </c>
      <c r="H43" s="28" t="n">
        <v>6</v>
      </c>
      <c r="I43" s="29" t="n">
        <f aca="false">+H43*'MATERIALES E INSUMOS'!L5</f>
        <v>168</v>
      </c>
    </row>
    <row collapsed="false" customFormat="false" customHeight="true" hidden="false" ht="15" outlineLevel="0" r="44">
      <c r="A44" s="28" t="s">
        <v>222</v>
      </c>
      <c r="B44" s="28" t="s">
        <v>133</v>
      </c>
      <c r="C44" s="28" t="n">
        <v>40</v>
      </c>
      <c r="D44" s="29" t="n">
        <f aca="false">+C44*'MATERIALES E INSUMOS'!H7</f>
        <v>155.52</v>
      </c>
      <c r="F44" s="28" t="s">
        <v>207</v>
      </c>
      <c r="G44" s="28" t="s">
        <v>137</v>
      </c>
      <c r="H44" s="28" t="n">
        <v>1</v>
      </c>
      <c r="I44" s="29" t="n">
        <f aca="false">H44*'MATERIALES E INSUMOS'!M33</f>
        <v>20</v>
      </c>
    </row>
    <row collapsed="false" customFormat="false" customHeight="true" hidden="false" ht="15" outlineLevel="0" r="45">
      <c r="A45" s="28" t="s">
        <v>200</v>
      </c>
      <c r="B45" s="28" t="s">
        <v>133</v>
      </c>
      <c r="C45" s="28" t="n">
        <v>60</v>
      </c>
      <c r="D45" s="29" t="n">
        <f aca="false">+C45*'MATERIALES E INSUMOS'!H4</f>
        <v>223.2</v>
      </c>
      <c r="F45" s="28" t="s">
        <v>208</v>
      </c>
      <c r="G45" s="28" t="s">
        <v>137</v>
      </c>
      <c r="H45" s="28" t="n">
        <v>1</v>
      </c>
      <c r="I45" s="29" t="n">
        <f aca="false">+H45*'MATERIALES E INSUMOS'!M32</f>
        <v>3</v>
      </c>
    </row>
    <row collapsed="false" customFormat="false" customHeight="true" hidden="false" ht="15" outlineLevel="0" r="46">
      <c r="A46" s="28" t="s">
        <v>174</v>
      </c>
      <c r="B46" s="28" t="s">
        <v>137</v>
      </c>
      <c r="C46" s="28" t="n">
        <v>1</v>
      </c>
      <c r="D46" s="29" t="n">
        <f aca="false">+C46*'MATERIALES E INSUMOS'!C34</f>
        <v>540</v>
      </c>
      <c r="F46" s="28" t="s">
        <v>209</v>
      </c>
      <c r="G46" s="28" t="s">
        <v>137</v>
      </c>
      <c r="H46" s="28" t="n">
        <v>1</v>
      </c>
      <c r="I46" s="29" t="n">
        <f aca="false">+H46*'MATERIALES E INSUMOS'!H46</f>
        <v>74.4</v>
      </c>
    </row>
    <row collapsed="false" customFormat="false" customHeight="true" hidden="false" ht="15" outlineLevel="0" r="47">
      <c r="A47" s="28" t="s">
        <v>223</v>
      </c>
      <c r="B47" s="28" t="s">
        <v>137</v>
      </c>
      <c r="C47" s="28" t="n">
        <v>1</v>
      </c>
      <c r="D47" s="29" t="n">
        <f aca="false">+C47*'MATERIALES E INSUMOS'!L4</f>
        <v>55</v>
      </c>
      <c r="F47" s="28"/>
      <c r="G47" s="28"/>
      <c r="H47" s="28"/>
      <c r="I47" s="29"/>
    </row>
    <row collapsed="false" customFormat="false" customHeight="true" hidden="false" ht="15" outlineLevel="0" r="48">
      <c r="A48" s="28" t="s">
        <v>207</v>
      </c>
      <c r="B48" s="28" t="s">
        <v>137</v>
      </c>
      <c r="C48" s="28" t="n">
        <v>1</v>
      </c>
      <c r="D48" s="29" t="n">
        <f aca="false">+C48*'MATERIALES E INSUMOS'!M33</f>
        <v>20</v>
      </c>
      <c r="F48" s="28"/>
      <c r="G48" s="28"/>
      <c r="H48" s="28"/>
      <c r="I48" s="29"/>
    </row>
    <row collapsed="false" customFormat="false" customHeight="true" hidden="false" ht="15" outlineLevel="0" r="49">
      <c r="A49" s="28" t="s">
        <v>208</v>
      </c>
      <c r="B49" s="28" t="s">
        <v>137</v>
      </c>
      <c r="C49" s="28" t="n">
        <v>1</v>
      </c>
      <c r="D49" s="29" t="n">
        <f aca="false">+C49*'MATERIALES E INSUMOS'!M32</f>
        <v>3</v>
      </c>
      <c r="F49" s="28"/>
      <c r="G49" s="28"/>
      <c r="H49" s="28"/>
      <c r="I49" s="29"/>
    </row>
    <row collapsed="false" customFormat="false" customHeight="true" hidden="false" ht="15" outlineLevel="0" r="50">
      <c r="A50" s="28" t="s">
        <v>209</v>
      </c>
      <c r="B50" s="28" t="s">
        <v>137</v>
      </c>
      <c r="C50" s="28" t="n">
        <v>1</v>
      </c>
      <c r="D50" s="29" t="n">
        <f aca="false">+C50*'MATERIALES E INSUMOS'!H46</f>
        <v>74.4</v>
      </c>
      <c r="F50" s="28"/>
      <c r="G50" s="28"/>
      <c r="H50" s="28"/>
      <c r="I50" s="29"/>
    </row>
    <row collapsed="false" customFormat="false" customHeight="true" hidden="false" ht="18.75" outlineLevel="0" r="51">
      <c r="A51" s="30" t="s">
        <v>210</v>
      </c>
      <c r="B51" s="30"/>
      <c r="C51" s="30"/>
      <c r="D51" s="31" t="n">
        <f aca="false">SUM(D41:D50)</f>
        <v>24193.88</v>
      </c>
      <c r="F51" s="30" t="s">
        <v>210</v>
      </c>
      <c r="G51" s="30"/>
      <c r="H51" s="30"/>
      <c r="I51" s="31" t="n">
        <f aca="false">SUM(I41:I50)</f>
        <v>21891.8</v>
      </c>
    </row>
    <row collapsed="false" customFormat="false" customHeight="true" hidden="false" ht="18.75" outlineLevel="0" r="53">
      <c r="A53" s="25" t="s">
        <v>224</v>
      </c>
      <c r="B53" s="25"/>
      <c r="C53" s="25"/>
      <c r="D53" s="25"/>
      <c r="F53" s="25" t="s">
        <v>225</v>
      </c>
      <c r="G53" s="25"/>
      <c r="H53" s="25"/>
      <c r="I53" s="25"/>
    </row>
    <row collapsed="false" customFormat="false" customHeight="true" hidden="false" ht="15" outlineLevel="0" r="54">
      <c r="A54" s="26" t="s">
        <v>128</v>
      </c>
      <c r="B54" s="26" t="s">
        <v>196</v>
      </c>
      <c r="C54" s="27" t="s">
        <v>197</v>
      </c>
      <c r="D54" s="26" t="s">
        <v>198</v>
      </c>
      <c r="F54" s="26" t="s">
        <v>128</v>
      </c>
      <c r="G54" s="26" t="s">
        <v>196</v>
      </c>
      <c r="H54" s="27" t="s">
        <v>197</v>
      </c>
      <c r="I54" s="26" t="s">
        <v>198</v>
      </c>
    </row>
    <row collapsed="false" customFormat="false" customHeight="true" hidden="false" ht="15" outlineLevel="0" r="55">
      <c r="A55" s="28" t="s">
        <v>157</v>
      </c>
      <c r="B55" s="28" t="s">
        <v>133</v>
      </c>
      <c r="C55" s="28" t="n">
        <v>4.32</v>
      </c>
      <c r="D55" s="32" t="n">
        <f aca="false">C55*'MATERIALES E INSUMOS'!C15</f>
        <v>41040</v>
      </c>
      <c r="F55" s="28" t="s">
        <v>148</v>
      </c>
      <c r="G55" s="28" t="s">
        <v>133</v>
      </c>
      <c r="H55" s="28" t="n">
        <v>1.24</v>
      </c>
      <c r="I55" s="32" t="n">
        <f aca="false">H55*'MATERIALES E INSUMOS'!C8</f>
        <v>18823.2</v>
      </c>
    </row>
    <row collapsed="false" customFormat="false" customHeight="true" hidden="false" ht="15" outlineLevel="0" r="56">
      <c r="A56" s="28" t="s">
        <v>152</v>
      </c>
      <c r="B56" s="28" t="s">
        <v>133</v>
      </c>
      <c r="C56" s="28" t="n">
        <v>0.21</v>
      </c>
      <c r="D56" s="29" t="n">
        <f aca="false">+C56*'MATERIALES E INSUMOS'!$C$10</f>
        <v>1108.8</v>
      </c>
      <c r="F56" s="28" t="s">
        <v>156</v>
      </c>
      <c r="G56" s="28" t="s">
        <v>133</v>
      </c>
      <c r="H56" s="28" t="n">
        <v>0.18</v>
      </c>
      <c r="I56" s="32" t="n">
        <f aca="false">H56*'MATERIALES E INSUMOS'!C14</f>
        <v>1530</v>
      </c>
    </row>
    <row collapsed="false" customFormat="false" customHeight="true" hidden="false" ht="15" outlineLevel="0" r="57">
      <c r="A57" s="28" t="s">
        <v>158</v>
      </c>
      <c r="B57" s="28" t="s">
        <v>133</v>
      </c>
      <c r="C57" s="28" t="n">
        <v>0.02</v>
      </c>
      <c r="D57" s="29" t="n">
        <f aca="false">+C57*'MATERIALES E INSUMOS'!C16</f>
        <v>200</v>
      </c>
      <c r="F57" s="28" t="s">
        <v>200</v>
      </c>
      <c r="G57" s="28" t="s">
        <v>133</v>
      </c>
      <c r="H57" s="28" t="n">
        <v>70</v>
      </c>
      <c r="I57" s="29" t="n">
        <f aca="false">+H57*'MATERIALES E INSUMOS'!H4</f>
        <v>260.4</v>
      </c>
    </row>
    <row collapsed="false" customFormat="false" customHeight="true" hidden="false" ht="15" outlineLevel="0" r="58">
      <c r="A58" s="28" t="s">
        <v>202</v>
      </c>
      <c r="B58" s="28" t="s">
        <v>133</v>
      </c>
      <c r="C58" s="28" t="n">
        <v>80</v>
      </c>
      <c r="D58" s="29" t="n">
        <f aca="false">+C58*'MATERIALES E INSUMOS'!$H$5</f>
        <v>76.8</v>
      </c>
      <c r="F58" s="28" t="s">
        <v>202</v>
      </c>
      <c r="G58" s="28" t="s">
        <v>133</v>
      </c>
      <c r="H58" s="28" t="n">
        <v>70</v>
      </c>
      <c r="I58" s="29" t="n">
        <f aca="false">+H58*'MATERIALES E INSUMOS'!$H$5</f>
        <v>67.2</v>
      </c>
    </row>
    <row collapsed="false" customFormat="false" customHeight="true" hidden="false" ht="15" outlineLevel="0" r="59">
      <c r="A59" s="28" t="s">
        <v>216</v>
      </c>
      <c r="B59" s="28" t="s">
        <v>137</v>
      </c>
      <c r="C59" s="28" t="n">
        <v>5</v>
      </c>
      <c r="D59" s="29" t="n">
        <f aca="false">+C59*'MATERIALES E INSUMOS'!L5</f>
        <v>140</v>
      </c>
      <c r="F59" s="28" t="s">
        <v>174</v>
      </c>
      <c r="G59" s="28" t="s">
        <v>137</v>
      </c>
      <c r="H59" s="28" t="n">
        <v>1</v>
      </c>
      <c r="I59" s="29" t="n">
        <f aca="false">+H59*'MATERIALES E INSUMOS'!C34</f>
        <v>540</v>
      </c>
    </row>
    <row collapsed="false" customFormat="false" customHeight="true" hidden="false" ht="15" outlineLevel="0" r="60">
      <c r="A60" s="28" t="s">
        <v>188</v>
      </c>
      <c r="B60" s="28" t="s">
        <v>137</v>
      </c>
      <c r="C60" s="28" t="n">
        <v>1</v>
      </c>
      <c r="D60" s="29" t="n">
        <f aca="false">+C60*'MATERIALES E INSUMOS'!H48</f>
        <v>500</v>
      </c>
      <c r="F60" s="28" t="s">
        <v>213</v>
      </c>
      <c r="G60" s="28" t="s">
        <v>137</v>
      </c>
      <c r="H60" s="28" t="n">
        <v>1</v>
      </c>
      <c r="I60" s="29" t="n">
        <f aca="false">+H60*'MATERIALES E INSUMOS'!L4</f>
        <v>55</v>
      </c>
    </row>
    <row collapsed="false" customFormat="false" customHeight="true" hidden="false" ht="15" outlineLevel="0" r="61">
      <c r="A61" s="28" t="s">
        <v>189</v>
      </c>
      <c r="B61" s="28" t="s">
        <v>133</v>
      </c>
      <c r="C61" s="28" t="n">
        <v>0.1</v>
      </c>
      <c r="D61" s="29" t="n">
        <f aca="false">C61*'MATERIALES E INSUMOS'!H49</f>
        <v>250</v>
      </c>
      <c r="F61" s="28" t="s">
        <v>207</v>
      </c>
      <c r="G61" s="28" t="s">
        <v>137</v>
      </c>
      <c r="H61" s="28" t="n">
        <v>1</v>
      </c>
      <c r="I61" s="29" t="n">
        <f aca="false">+H61*'MATERIALES E INSUMOS'!M33</f>
        <v>20</v>
      </c>
    </row>
    <row collapsed="false" customFormat="false" customHeight="true" hidden="false" ht="15" outlineLevel="0" r="62">
      <c r="A62" s="28" t="s">
        <v>207</v>
      </c>
      <c r="B62" s="28" t="s">
        <v>137</v>
      </c>
      <c r="C62" s="28" t="n">
        <v>1</v>
      </c>
      <c r="D62" s="29" t="n">
        <f aca="false">C62*'MATERIALES E INSUMOS'!M33</f>
        <v>20</v>
      </c>
      <c r="F62" s="28" t="s">
        <v>208</v>
      </c>
      <c r="G62" s="28" t="s">
        <v>137</v>
      </c>
      <c r="H62" s="28" t="n">
        <v>1</v>
      </c>
      <c r="I62" s="29" t="n">
        <f aca="false">+H62*'MATERIALES E INSUMOS'!M32</f>
        <v>3</v>
      </c>
    </row>
    <row collapsed="false" customFormat="false" customHeight="true" hidden="false" ht="15" outlineLevel="0" r="63">
      <c r="A63" s="28" t="s">
        <v>208</v>
      </c>
      <c r="B63" s="28" t="s">
        <v>137</v>
      </c>
      <c r="C63" s="28" t="n">
        <v>1</v>
      </c>
      <c r="D63" s="29" t="n">
        <f aca="false">+C63*'MATERIALES E INSUMOS'!M32</f>
        <v>3</v>
      </c>
      <c r="F63" s="28" t="s">
        <v>209</v>
      </c>
      <c r="G63" s="28" t="s">
        <v>137</v>
      </c>
      <c r="H63" s="28" t="n">
        <v>1</v>
      </c>
      <c r="I63" s="29" t="n">
        <f aca="false">+H63*'MATERIALES E INSUMOS'!H46</f>
        <v>74.4</v>
      </c>
    </row>
    <row collapsed="false" customFormat="false" customHeight="true" hidden="false" ht="15" outlineLevel="0" r="64">
      <c r="A64" s="28" t="s">
        <v>209</v>
      </c>
      <c r="B64" s="28" t="s">
        <v>137</v>
      </c>
      <c r="C64" s="28" t="n">
        <v>1</v>
      </c>
      <c r="D64" s="29" t="n">
        <f aca="false">+C64*'MATERIALES E INSUMOS'!H46</f>
        <v>74.4</v>
      </c>
      <c r="F64" s="28"/>
      <c r="G64" s="28"/>
      <c r="H64" s="28"/>
      <c r="I64" s="29"/>
    </row>
    <row collapsed="false" customFormat="false" customHeight="true" hidden="false" ht="18.75" outlineLevel="0" r="65">
      <c r="A65" s="30" t="s">
        <v>210</v>
      </c>
      <c r="B65" s="30"/>
      <c r="C65" s="30"/>
      <c r="D65" s="31" t="n">
        <f aca="false">SUM(D55:D64)</f>
        <v>43413</v>
      </c>
      <c r="F65" s="30" t="s">
        <v>210</v>
      </c>
      <c r="G65" s="30"/>
      <c r="H65" s="30"/>
      <c r="I65" s="31" t="n">
        <f aca="false">SUM(I55:I64)</f>
        <v>21373.2</v>
      </c>
    </row>
    <row collapsed="false" customFormat="false" customHeight="true" hidden="false" ht="18.75" outlineLevel="0" r="67">
      <c r="A67" s="25" t="s">
        <v>226</v>
      </c>
      <c r="B67" s="25"/>
      <c r="C67" s="25"/>
      <c r="D67" s="25"/>
      <c r="F67" s="25" t="s">
        <v>227</v>
      </c>
      <c r="G67" s="25"/>
      <c r="H67" s="25"/>
      <c r="I67" s="25"/>
    </row>
    <row collapsed="false" customFormat="false" customHeight="true" hidden="false" ht="15" outlineLevel="0" r="68">
      <c r="A68" s="26" t="s">
        <v>128</v>
      </c>
      <c r="B68" s="26" t="s">
        <v>196</v>
      </c>
      <c r="C68" s="27" t="s">
        <v>197</v>
      </c>
      <c r="D68" s="26" t="s">
        <v>198</v>
      </c>
      <c r="F68" s="26" t="s">
        <v>128</v>
      </c>
      <c r="G68" s="26" t="s">
        <v>196</v>
      </c>
      <c r="H68" s="27" t="s">
        <v>197</v>
      </c>
      <c r="I68" s="26" t="s">
        <v>198</v>
      </c>
    </row>
    <row collapsed="false" customFormat="false" customHeight="true" hidden="false" ht="15" outlineLevel="0" r="69">
      <c r="A69" s="28" t="s">
        <v>159</v>
      </c>
      <c r="B69" s="28" t="s">
        <v>133</v>
      </c>
      <c r="C69" s="28" t="n">
        <v>0.64</v>
      </c>
      <c r="D69" s="32" t="n">
        <f aca="false">C69*'MATERIALES E INSUMOS'!C17</f>
        <v>6265.6</v>
      </c>
      <c r="F69" s="28" t="s">
        <v>228</v>
      </c>
      <c r="G69" s="28" t="s">
        <v>133</v>
      </c>
      <c r="H69" s="28" t="n">
        <v>0.13</v>
      </c>
      <c r="I69" s="32" t="n">
        <f aca="false">H69*'MATERIALES E INSUMOS'!C18</f>
        <v>1573</v>
      </c>
    </row>
    <row collapsed="false" customFormat="false" customHeight="true" hidden="false" ht="15" outlineLevel="0" r="70">
      <c r="A70" s="28" t="s">
        <v>152</v>
      </c>
      <c r="B70" s="28" t="s">
        <v>133</v>
      </c>
      <c r="C70" s="28" t="n">
        <v>0.05</v>
      </c>
      <c r="D70" s="29" t="n">
        <f aca="false">+C70*'MATERIALES E INSUMOS'!$C$10</f>
        <v>264</v>
      </c>
      <c r="F70" s="28" t="s">
        <v>229</v>
      </c>
      <c r="G70" s="28" t="s">
        <v>133</v>
      </c>
      <c r="H70" s="28" t="n">
        <v>0.6</v>
      </c>
      <c r="I70" s="29" t="n">
        <f aca="false">+H70*'MATERIALES E INSUMOS'!G34</f>
        <v>1122</v>
      </c>
    </row>
    <row collapsed="false" customFormat="false" customHeight="true" hidden="false" ht="15" outlineLevel="0" r="71">
      <c r="A71" s="28" t="s">
        <v>202</v>
      </c>
      <c r="B71" s="28" t="s">
        <v>133</v>
      </c>
      <c r="C71" s="28" t="n">
        <v>50</v>
      </c>
      <c r="D71" s="29" t="n">
        <f aca="false">+C71*'MATERIALES E INSUMOS'!H5</f>
        <v>48</v>
      </c>
      <c r="F71" s="28" t="s">
        <v>230</v>
      </c>
      <c r="G71" s="28" t="s">
        <v>133</v>
      </c>
      <c r="H71" s="28" t="n">
        <v>30</v>
      </c>
      <c r="I71" s="29" t="n">
        <f aca="false">+H71*'MATERIALES E INSUMOS'!H8</f>
        <v>244.8</v>
      </c>
    </row>
    <row collapsed="false" customFormat="false" customHeight="true" hidden="false" ht="15" outlineLevel="0" r="72">
      <c r="A72" s="28" t="s">
        <v>190</v>
      </c>
      <c r="B72" s="28" t="s">
        <v>137</v>
      </c>
      <c r="C72" s="28" t="n">
        <v>1</v>
      </c>
      <c r="D72" s="29" t="n">
        <f aca="false">+C72*'MATERIALES E INSUMOS'!H50</f>
        <v>1500</v>
      </c>
      <c r="F72" s="28" t="s">
        <v>207</v>
      </c>
      <c r="G72" s="28" t="s">
        <v>137</v>
      </c>
      <c r="H72" s="28" t="n">
        <v>1</v>
      </c>
      <c r="I72" s="29" t="n">
        <f aca="false">+H72*'MATERIALES E INSUMOS'!M33</f>
        <v>20</v>
      </c>
    </row>
    <row collapsed="false" customFormat="false" customHeight="true" hidden="false" ht="15" outlineLevel="0" r="73">
      <c r="A73" s="28" t="s">
        <v>231</v>
      </c>
      <c r="B73" s="28" t="s">
        <v>133</v>
      </c>
      <c r="C73" s="28" t="n">
        <v>0.5</v>
      </c>
      <c r="D73" s="29" t="n">
        <f aca="false">+C73*'MATERIALES E INSUMOS'!H51</f>
        <v>120</v>
      </c>
      <c r="F73" s="28" t="s">
        <v>208</v>
      </c>
      <c r="G73" s="28" t="s">
        <v>137</v>
      </c>
      <c r="H73" s="28" t="n">
        <v>1</v>
      </c>
      <c r="I73" s="29" t="n">
        <f aca="false">+H73*'MATERIALES E INSUMOS'!M32</f>
        <v>3</v>
      </c>
    </row>
    <row collapsed="false" customFormat="false" customHeight="true" hidden="false" ht="15" outlineLevel="0" r="74">
      <c r="A74" s="28" t="s">
        <v>216</v>
      </c>
      <c r="B74" s="28" t="s">
        <v>137</v>
      </c>
      <c r="C74" s="28" t="n">
        <v>2</v>
      </c>
      <c r="D74" s="29" t="n">
        <f aca="false">+C74*'MATERIALES E INSUMOS'!L5</f>
        <v>56</v>
      </c>
      <c r="F74" s="28" t="s">
        <v>209</v>
      </c>
      <c r="G74" s="28" t="s">
        <v>137</v>
      </c>
      <c r="H74" s="28" t="n">
        <v>1</v>
      </c>
      <c r="I74" s="29" t="n">
        <f aca="false">+H74*'MATERIALES E INSUMOS'!H46</f>
        <v>74.4</v>
      </c>
    </row>
    <row collapsed="false" customFormat="false" customHeight="true" hidden="false" ht="15" outlineLevel="0" r="75">
      <c r="A75" s="28" t="s">
        <v>207</v>
      </c>
      <c r="B75" s="28" t="s">
        <v>137</v>
      </c>
      <c r="C75" s="28" t="n">
        <v>1</v>
      </c>
      <c r="D75" s="29" t="n">
        <f aca="false">+C75*'MATERIALES E INSUMOS'!M33</f>
        <v>20</v>
      </c>
      <c r="F75" s="28"/>
      <c r="G75" s="28"/>
      <c r="H75" s="28"/>
      <c r="I75" s="29"/>
    </row>
    <row collapsed="false" customFormat="false" customHeight="true" hidden="false" ht="15" outlineLevel="0" r="76">
      <c r="A76" s="28" t="s">
        <v>208</v>
      </c>
      <c r="B76" s="28" t="s">
        <v>137</v>
      </c>
      <c r="C76" s="28" t="n">
        <v>1</v>
      </c>
      <c r="D76" s="29" t="n">
        <f aca="false">+C76*'MATERIALES E INSUMOS'!M32</f>
        <v>3</v>
      </c>
      <c r="F76" s="28"/>
      <c r="G76" s="28"/>
      <c r="H76" s="28"/>
      <c r="I76" s="29"/>
    </row>
    <row collapsed="false" customFormat="false" customHeight="true" hidden="false" ht="18.75" outlineLevel="0" r="77">
      <c r="A77" s="28" t="s">
        <v>209</v>
      </c>
      <c r="B77" s="28" t="s">
        <v>137</v>
      </c>
      <c r="C77" s="28" t="n">
        <v>1</v>
      </c>
      <c r="D77" s="29" t="n">
        <f aca="false">+C77*'MATERIALES E INSUMOS'!H46</f>
        <v>74.4</v>
      </c>
      <c r="F77" s="30" t="s">
        <v>210</v>
      </c>
      <c r="G77" s="30"/>
      <c r="H77" s="30"/>
      <c r="I77" s="31" t="n">
        <f aca="false">SUM(I69:I76)</f>
        <v>3037.2</v>
      </c>
    </row>
    <row collapsed="false" customFormat="false" customHeight="true" hidden="false" ht="18.75" outlineLevel="0" r="78">
      <c r="A78" s="30" t="s">
        <v>210</v>
      </c>
      <c r="B78" s="30"/>
      <c r="C78" s="30"/>
      <c r="D78" s="31" t="n">
        <f aca="false">SUM(D69:D77)</f>
        <v>8351</v>
      </c>
    </row>
    <row collapsed="false" customFormat="false" customHeight="true" hidden="false" ht="18.75" outlineLevel="0" r="80">
      <c r="A80" s="25" t="s">
        <v>232</v>
      </c>
      <c r="B80" s="25"/>
      <c r="C80" s="25"/>
      <c r="D80" s="25"/>
      <c r="F80" s="25" t="s">
        <v>100</v>
      </c>
      <c r="G80" s="25"/>
      <c r="H80" s="25"/>
      <c r="I80" s="25"/>
    </row>
    <row collapsed="false" customFormat="false" customHeight="true" hidden="false" ht="15" outlineLevel="0" r="81">
      <c r="A81" s="26" t="s">
        <v>128</v>
      </c>
      <c r="B81" s="26" t="s">
        <v>196</v>
      </c>
      <c r="C81" s="27" t="s">
        <v>197</v>
      </c>
      <c r="D81" s="26" t="s">
        <v>198</v>
      </c>
      <c r="F81" s="26" t="s">
        <v>128</v>
      </c>
      <c r="G81" s="26" t="s">
        <v>196</v>
      </c>
      <c r="H81" s="27" t="s">
        <v>197</v>
      </c>
      <c r="I81" s="26" t="s">
        <v>198</v>
      </c>
    </row>
    <row collapsed="false" customFormat="false" customHeight="true" hidden="false" ht="15" outlineLevel="0" r="82">
      <c r="A82" s="28" t="s">
        <v>138</v>
      </c>
      <c r="B82" s="28" t="s">
        <v>133</v>
      </c>
      <c r="C82" s="28" t="n">
        <v>0.9</v>
      </c>
      <c r="D82" s="29" t="n">
        <f aca="false">+C82*'MATERIALES E INSUMOS'!C5</f>
        <v>15048</v>
      </c>
      <c r="F82" s="28" t="s">
        <v>233</v>
      </c>
      <c r="G82" s="28" t="s">
        <v>133</v>
      </c>
      <c r="H82" s="28"/>
      <c r="I82" s="29" t="n">
        <f aca="false">+H82*'MATERIALES E INSUMOS'!H83</f>
        <v>0</v>
      </c>
    </row>
    <row collapsed="false" customFormat="false" customHeight="true" hidden="false" ht="15" outlineLevel="0" r="83">
      <c r="A83" s="28" t="s">
        <v>200</v>
      </c>
      <c r="B83" s="28" t="s">
        <v>133</v>
      </c>
      <c r="C83" s="28" t="n">
        <v>50</v>
      </c>
      <c r="D83" s="29" t="n">
        <f aca="false">+C83*'MATERIALES E INSUMOS'!H4</f>
        <v>186</v>
      </c>
      <c r="F83" s="28" t="s">
        <v>202</v>
      </c>
      <c r="G83" s="28" t="s">
        <v>133</v>
      </c>
      <c r="H83" s="28" t="n">
        <v>10</v>
      </c>
      <c r="I83" s="29" t="n">
        <f aca="false">+H83*'MATERIALES E INSUMOS'!H8</f>
        <v>81.6</v>
      </c>
    </row>
    <row collapsed="false" customFormat="false" customHeight="true" hidden="false" ht="15" outlineLevel="0" r="84">
      <c r="A84" s="28" t="s">
        <v>234</v>
      </c>
      <c r="B84" s="28" t="s">
        <v>133</v>
      </c>
      <c r="C84" s="28" t="n">
        <v>0.4</v>
      </c>
      <c r="D84" s="29" t="n">
        <f aca="false">+C84*'MATERIALES E INSUMOS'!C35</f>
        <v>364.8</v>
      </c>
      <c r="F84" s="28" t="s">
        <v>234</v>
      </c>
      <c r="G84" s="28" t="s">
        <v>133</v>
      </c>
      <c r="H84" s="28" t="n">
        <v>0.15</v>
      </c>
      <c r="I84" s="29" t="n">
        <f aca="false">+H84*'MATERIALES E INSUMOS'!H31</f>
        <v>0</v>
      </c>
    </row>
    <row collapsed="false" customFormat="false" customHeight="true" hidden="false" ht="15" outlineLevel="0" r="85">
      <c r="A85" s="28" t="s">
        <v>207</v>
      </c>
      <c r="B85" s="28" t="s">
        <v>137</v>
      </c>
      <c r="C85" s="28" t="n">
        <v>1</v>
      </c>
      <c r="D85" s="29" t="n">
        <f aca="false">+C85*'MATERIALES E INSUMOS'!M33</f>
        <v>20</v>
      </c>
      <c r="F85" s="28"/>
      <c r="G85" s="28"/>
      <c r="H85" s="28"/>
      <c r="I85" s="29"/>
    </row>
    <row collapsed="false" customFormat="false" customHeight="true" hidden="false" ht="15" outlineLevel="0" r="86">
      <c r="A86" s="28" t="s">
        <v>208</v>
      </c>
      <c r="B86" s="28" t="s">
        <v>137</v>
      </c>
      <c r="C86" s="28" t="n">
        <v>1</v>
      </c>
      <c r="D86" s="29" t="n">
        <f aca="false">+C86*'MATERIALES E INSUMOS'!M32</f>
        <v>3</v>
      </c>
      <c r="F86" s="28"/>
      <c r="G86" s="28"/>
      <c r="H86" s="28"/>
      <c r="I86" s="29"/>
    </row>
    <row collapsed="false" customFormat="false" customHeight="true" hidden="false" ht="15" outlineLevel="0" r="87">
      <c r="A87" s="28" t="s">
        <v>209</v>
      </c>
      <c r="B87" s="28" t="s">
        <v>137</v>
      </c>
      <c r="C87" s="28" t="n">
        <v>1</v>
      </c>
      <c r="D87" s="29" t="n">
        <f aca="false">+C87*'MATERIALES E INSUMOS'!H46</f>
        <v>74.4</v>
      </c>
      <c r="F87" s="28"/>
      <c r="G87" s="28"/>
      <c r="H87" s="28"/>
      <c r="I87" s="29"/>
    </row>
    <row collapsed="false" customFormat="false" customHeight="true" hidden="false" ht="15" outlineLevel="0" r="88">
      <c r="A88" s="28"/>
      <c r="B88" s="28"/>
      <c r="C88" s="28"/>
      <c r="D88" s="29"/>
      <c r="F88" s="28"/>
      <c r="G88" s="28"/>
      <c r="H88" s="28"/>
      <c r="I88" s="29"/>
    </row>
    <row collapsed="false" customFormat="false" customHeight="true" hidden="false" ht="15" outlineLevel="0" r="89">
      <c r="A89" s="28"/>
      <c r="B89" s="28"/>
      <c r="C89" s="28"/>
      <c r="D89" s="29"/>
      <c r="F89" s="28"/>
      <c r="G89" s="28"/>
      <c r="H89" s="28"/>
      <c r="I89" s="29"/>
    </row>
    <row collapsed="false" customFormat="false" customHeight="true" hidden="false" ht="15" outlineLevel="0" r="90">
      <c r="A90" s="28"/>
      <c r="B90" s="28"/>
      <c r="C90" s="28"/>
      <c r="D90" s="29"/>
      <c r="F90" s="28"/>
      <c r="G90" s="28"/>
      <c r="H90" s="28"/>
      <c r="I90" s="29"/>
    </row>
    <row collapsed="false" customFormat="false" customHeight="true" hidden="false" ht="18.75" outlineLevel="0" r="91">
      <c r="A91" s="30" t="s">
        <v>210</v>
      </c>
      <c r="B91" s="30"/>
      <c r="C91" s="30"/>
      <c r="D91" s="31" t="n">
        <f aca="false">SUM(D82:D90)</f>
        <v>15696.2</v>
      </c>
      <c r="F91" s="30" t="s">
        <v>210</v>
      </c>
      <c r="G91" s="30"/>
      <c r="H91" s="30"/>
      <c r="I91" s="31" t="n">
        <f aca="false">SUM(I82:I90)</f>
        <v>81.6</v>
      </c>
    </row>
    <row collapsed="false" customFormat="false" customHeight="true" hidden="false" ht="18.75" outlineLevel="0" r="93">
      <c r="A93" s="25" t="s">
        <v>235</v>
      </c>
      <c r="B93" s="25"/>
      <c r="C93" s="25"/>
      <c r="D93" s="25"/>
      <c r="F93" s="25" t="s">
        <v>219</v>
      </c>
      <c r="G93" s="25"/>
      <c r="H93" s="25"/>
      <c r="I93" s="25"/>
    </row>
    <row collapsed="false" customFormat="false" customHeight="true" hidden="false" ht="15" outlineLevel="0" r="94">
      <c r="A94" s="26" t="s">
        <v>128</v>
      </c>
      <c r="B94" s="26" t="s">
        <v>196</v>
      </c>
      <c r="C94" s="27" t="s">
        <v>197</v>
      </c>
      <c r="D94" s="26" t="s">
        <v>198</v>
      </c>
      <c r="F94" s="26" t="s">
        <v>128</v>
      </c>
      <c r="G94" s="26" t="s">
        <v>196</v>
      </c>
      <c r="H94" s="27" t="s">
        <v>197</v>
      </c>
      <c r="I94" s="26" t="s">
        <v>198</v>
      </c>
    </row>
    <row collapsed="false" customFormat="false" customHeight="true" hidden="false" ht="15" outlineLevel="0" r="95">
      <c r="A95" s="28" t="s">
        <v>228</v>
      </c>
      <c r="B95" s="28" t="s">
        <v>133</v>
      </c>
      <c r="C95" s="28" t="n">
        <v>0.25</v>
      </c>
      <c r="D95" s="32" t="n">
        <f aca="false">C95*'MATERIALES E INSUMOS'!C18</f>
        <v>3025</v>
      </c>
      <c r="F95" s="28" t="s">
        <v>236</v>
      </c>
      <c r="G95" s="28" t="s">
        <v>133</v>
      </c>
      <c r="H95" s="28" t="n">
        <v>0.55</v>
      </c>
      <c r="I95" s="32" t="n">
        <f aca="false">H95*'MATERIALES E INSUMOS'!$C$13</f>
        <v>9900</v>
      </c>
    </row>
    <row collapsed="false" customFormat="false" customHeight="true" hidden="false" ht="15" outlineLevel="0" r="96">
      <c r="A96" s="28" t="s">
        <v>237</v>
      </c>
      <c r="B96" s="28" t="s">
        <v>133</v>
      </c>
      <c r="C96" s="28" t="n">
        <v>0.7</v>
      </c>
      <c r="D96" s="29" t="n">
        <f aca="false">+C96*'MATERIALES E INSUMOS'!G35</f>
        <v>1344</v>
      </c>
      <c r="F96" s="28" t="s">
        <v>221</v>
      </c>
      <c r="G96" s="28" t="s">
        <v>133</v>
      </c>
      <c r="H96" s="28" t="n">
        <v>15</v>
      </c>
      <c r="I96" s="29" t="n">
        <f aca="false">+H96*'MATERIALES E INSUMOS'!$H$6</f>
        <v>58.32</v>
      </c>
    </row>
    <row collapsed="false" customFormat="false" customHeight="true" hidden="false" ht="15" outlineLevel="0" r="97">
      <c r="A97" s="28" t="s">
        <v>230</v>
      </c>
      <c r="B97" s="28" t="s">
        <v>133</v>
      </c>
      <c r="C97" s="28" t="n">
        <v>30</v>
      </c>
      <c r="D97" s="29" t="n">
        <f aca="false">+C97*'MATERIALES E INSUMOS'!H8</f>
        <v>244.8</v>
      </c>
      <c r="F97" s="28" t="s">
        <v>222</v>
      </c>
      <c r="G97" s="28" t="s">
        <v>133</v>
      </c>
      <c r="H97" s="28" t="n">
        <v>30</v>
      </c>
      <c r="I97" s="29" t="n">
        <f aca="false">+H97*'MATERIALES E INSUMOS'!$H$7</f>
        <v>116.64</v>
      </c>
    </row>
    <row collapsed="false" customFormat="false" customHeight="true" hidden="false" ht="15" outlineLevel="0" r="98">
      <c r="A98" s="28" t="s">
        <v>207</v>
      </c>
      <c r="B98" s="28" t="s">
        <v>137</v>
      </c>
      <c r="C98" s="28" t="n">
        <v>1</v>
      </c>
      <c r="D98" s="29" t="n">
        <f aca="false">+C98*'MATERIALES E INSUMOS'!M33</f>
        <v>20</v>
      </c>
      <c r="F98" s="28" t="s">
        <v>200</v>
      </c>
      <c r="G98" s="28" t="s">
        <v>133</v>
      </c>
      <c r="H98" s="28" t="n">
        <v>50</v>
      </c>
      <c r="I98" s="29" t="n">
        <f aca="false">+H98*'MATERIALES E INSUMOS'!$H$8</f>
        <v>408</v>
      </c>
    </row>
    <row collapsed="false" customFormat="false" customHeight="true" hidden="false" ht="15" outlineLevel="0" r="99">
      <c r="A99" s="28" t="s">
        <v>208</v>
      </c>
      <c r="B99" s="28" t="s">
        <v>137</v>
      </c>
      <c r="C99" s="28" t="n">
        <v>1</v>
      </c>
      <c r="D99" s="29" t="n">
        <f aca="false">+C99*'MATERIALES E INSUMOS'!M32</f>
        <v>3</v>
      </c>
      <c r="F99" s="28" t="s">
        <v>174</v>
      </c>
      <c r="G99" s="28" t="s">
        <v>137</v>
      </c>
      <c r="H99" s="28" t="n">
        <v>1</v>
      </c>
      <c r="I99" s="29" t="n">
        <f aca="false">+H99*'MATERIALES E INSUMOS'!$C$64</f>
        <v>0</v>
      </c>
    </row>
    <row collapsed="false" customFormat="false" customHeight="true" hidden="false" ht="15" outlineLevel="0" r="100">
      <c r="A100" s="28" t="s">
        <v>209</v>
      </c>
      <c r="B100" s="28" t="s">
        <v>137</v>
      </c>
      <c r="C100" s="28" t="n">
        <v>1</v>
      </c>
      <c r="D100" s="29" t="n">
        <f aca="false">+C100*'MATERIALES E INSUMOS'!H46</f>
        <v>74.4</v>
      </c>
      <c r="F100" s="28" t="s">
        <v>223</v>
      </c>
      <c r="G100" s="28" t="s">
        <v>137</v>
      </c>
      <c r="H100" s="28" t="n">
        <v>1</v>
      </c>
      <c r="I100" s="29" t="n">
        <f aca="false">+H100*'MATERIALES E INSUMOS'!$L$4</f>
        <v>55</v>
      </c>
    </row>
    <row collapsed="false" customFormat="false" customHeight="true" hidden="false" ht="15" outlineLevel="0" r="101">
      <c r="A101" s="28"/>
      <c r="B101" s="28"/>
      <c r="C101" s="28"/>
      <c r="D101" s="29"/>
      <c r="F101" s="28" t="s">
        <v>207</v>
      </c>
      <c r="G101" s="28" t="s">
        <v>137</v>
      </c>
      <c r="H101" s="28" t="n">
        <v>1</v>
      </c>
      <c r="I101" s="29" t="n">
        <f aca="false">+H101*'MATERIALES E INSUMOS'!$M$33</f>
        <v>20</v>
      </c>
    </row>
    <row collapsed="false" customFormat="false" customHeight="true" hidden="false" ht="15" outlineLevel="0" r="102">
      <c r="A102" s="28"/>
      <c r="B102" s="28"/>
      <c r="C102" s="28"/>
      <c r="D102" s="29"/>
      <c r="F102" s="28" t="s">
        <v>208</v>
      </c>
      <c r="G102" s="28" t="s">
        <v>137</v>
      </c>
      <c r="H102" s="28" t="n">
        <v>1</v>
      </c>
      <c r="I102" s="29" t="n">
        <f aca="false">+H102*'MATERIALES E INSUMOS'!$M$32</f>
        <v>3</v>
      </c>
    </row>
    <row collapsed="false" customFormat="false" customHeight="true" hidden="false" ht="18.75" outlineLevel="0" r="103">
      <c r="A103" s="30" t="s">
        <v>210</v>
      </c>
      <c r="B103" s="30"/>
      <c r="C103" s="30"/>
      <c r="D103" s="31" t="n">
        <f aca="false">SUM(D95:D102)</f>
        <v>4711.2</v>
      </c>
      <c r="F103" s="28" t="s">
        <v>209</v>
      </c>
      <c r="G103" s="28" t="s">
        <v>137</v>
      </c>
      <c r="H103" s="28" t="n">
        <v>1</v>
      </c>
      <c r="I103" s="29" t="n">
        <f aca="false">+H103*'MATERIALES E INSUMOS'!$H$46</f>
        <v>74.4</v>
      </c>
    </row>
    <row collapsed="false" customFormat="false" customHeight="true" hidden="false" ht="18.75" outlineLevel="0" r="104">
      <c r="F104" s="30" t="s">
        <v>210</v>
      </c>
      <c r="G104" s="30"/>
      <c r="H104" s="30"/>
      <c r="I104" s="31" t="n">
        <f aca="false">SUM(I95:I103)</f>
        <v>10635.36</v>
      </c>
    </row>
    <row collapsed="false" customFormat="false" customHeight="true" hidden="false" ht="18.75" outlineLevel="0" r="106">
      <c r="A106" s="25" t="s">
        <v>238</v>
      </c>
      <c r="B106" s="25"/>
      <c r="C106" s="25"/>
      <c r="D106" s="25"/>
      <c r="F106" s="25" t="s">
        <v>239</v>
      </c>
      <c r="G106" s="25"/>
      <c r="H106" s="25"/>
      <c r="I106" s="25"/>
    </row>
    <row collapsed="false" customFormat="false" customHeight="true" hidden="false" ht="15" outlineLevel="0" r="107">
      <c r="A107" s="26" t="s">
        <v>128</v>
      </c>
      <c r="B107" s="26" t="s">
        <v>196</v>
      </c>
      <c r="C107" s="27" t="s">
        <v>197</v>
      </c>
      <c r="D107" s="26" t="s">
        <v>198</v>
      </c>
      <c r="F107" s="26" t="s">
        <v>128</v>
      </c>
      <c r="G107" s="26" t="s">
        <v>196</v>
      </c>
      <c r="H107" s="27" t="s">
        <v>197</v>
      </c>
      <c r="I107" s="26" t="s">
        <v>198</v>
      </c>
    </row>
    <row collapsed="false" customFormat="false" customHeight="true" hidden="false" ht="15" outlineLevel="0" r="108">
      <c r="A108" s="28" t="s">
        <v>145</v>
      </c>
      <c r="B108" s="28" t="s">
        <v>133</v>
      </c>
      <c r="C108" s="28" t="n">
        <v>3.48</v>
      </c>
      <c r="D108" s="29" t="n">
        <f aca="false">+C108*'MATERIALES E INSUMOS'!$C$7</f>
        <v>13920</v>
      </c>
      <c r="F108" s="28" t="s">
        <v>145</v>
      </c>
      <c r="G108" s="28" t="s">
        <v>133</v>
      </c>
      <c r="H108" s="28" t="n">
        <v>1.91</v>
      </c>
      <c r="I108" s="29" t="n">
        <f aca="false">+H108*'MATERIALES E INSUMOS'!$C$7</f>
        <v>7640</v>
      </c>
    </row>
    <row collapsed="false" customFormat="false" customHeight="true" hidden="false" ht="15" outlineLevel="0" r="109">
      <c r="A109" s="28" t="s">
        <v>171</v>
      </c>
      <c r="B109" s="28" t="s">
        <v>133</v>
      </c>
      <c r="C109" s="28" t="n">
        <v>1</v>
      </c>
      <c r="D109" s="29" t="n">
        <f aca="false">C109*'MATERIALES E INSUMOS'!$G$33</f>
        <v>517</v>
      </c>
      <c r="F109" s="28" t="s">
        <v>171</v>
      </c>
      <c r="G109" s="28" t="s">
        <v>133</v>
      </c>
      <c r="H109" s="28" t="n">
        <v>1</v>
      </c>
      <c r="I109" s="29" t="n">
        <f aca="false">H109*'MATERIALES E INSUMOS'!$G$33</f>
        <v>517</v>
      </c>
    </row>
    <row collapsed="false" customFormat="false" customHeight="true" hidden="false" ht="15" outlineLevel="0" r="110">
      <c r="A110" s="28" t="s">
        <v>202</v>
      </c>
      <c r="B110" s="28" t="s">
        <v>133</v>
      </c>
      <c r="C110" s="28" t="n">
        <v>25</v>
      </c>
      <c r="D110" s="29" t="n">
        <f aca="false">C110*'MATERIALES E INSUMOS'!$H$5</f>
        <v>24</v>
      </c>
      <c r="F110" s="28" t="s">
        <v>202</v>
      </c>
      <c r="G110" s="28" t="s">
        <v>133</v>
      </c>
      <c r="H110" s="28" t="n">
        <v>20</v>
      </c>
      <c r="I110" s="29" t="n">
        <f aca="false">H110*'MATERIALES E INSUMOS'!$H$5</f>
        <v>19.2</v>
      </c>
    </row>
    <row collapsed="false" customFormat="false" customHeight="true" hidden="false" ht="15" outlineLevel="0" r="111">
      <c r="A111" s="28" t="s">
        <v>207</v>
      </c>
      <c r="B111" s="28" t="s">
        <v>137</v>
      </c>
      <c r="C111" s="28" t="n">
        <v>1</v>
      </c>
      <c r="D111" s="29" t="n">
        <f aca="false">C111*'MATERIALES E INSUMOS'!$M$32</f>
        <v>3</v>
      </c>
      <c r="F111" s="28" t="s">
        <v>207</v>
      </c>
      <c r="G111" s="28" t="s">
        <v>137</v>
      </c>
      <c r="H111" s="28" t="n">
        <v>1</v>
      </c>
      <c r="I111" s="29" t="n">
        <f aca="false">H111*'MATERIALES E INSUMOS'!$M$32</f>
        <v>3</v>
      </c>
    </row>
    <row collapsed="false" customFormat="false" customHeight="true" hidden="false" ht="15" outlineLevel="0" r="112">
      <c r="A112" s="28" t="s">
        <v>209</v>
      </c>
      <c r="B112" s="28" t="s">
        <v>137</v>
      </c>
      <c r="C112" s="28" t="n">
        <v>1</v>
      </c>
      <c r="D112" s="29" t="n">
        <f aca="false">C112*'MATERIALES E INSUMOS'!$H$46</f>
        <v>74.4</v>
      </c>
      <c r="F112" s="28" t="s">
        <v>209</v>
      </c>
      <c r="G112" s="28" t="s">
        <v>137</v>
      </c>
      <c r="H112" s="28" t="n">
        <v>1</v>
      </c>
      <c r="I112" s="29" t="n">
        <f aca="false">H112*'MATERIALES E INSUMOS'!$H$46</f>
        <v>74.4</v>
      </c>
    </row>
    <row collapsed="false" customFormat="false" customHeight="true" hidden="false" ht="15" outlineLevel="0" r="113">
      <c r="A113" s="28"/>
      <c r="B113" s="28"/>
      <c r="C113" s="28"/>
      <c r="D113" s="29"/>
      <c r="F113" s="28"/>
      <c r="G113" s="28"/>
      <c r="H113" s="28"/>
      <c r="I113" s="29"/>
    </row>
    <row collapsed="false" customFormat="false" customHeight="true" hidden="false" ht="15" outlineLevel="0" r="114">
      <c r="A114" s="28"/>
      <c r="B114" s="28"/>
      <c r="C114" s="28"/>
      <c r="D114" s="29"/>
      <c r="F114" s="28"/>
      <c r="G114" s="28"/>
      <c r="H114" s="28"/>
      <c r="I114" s="29"/>
    </row>
    <row collapsed="false" customFormat="false" customHeight="true" hidden="false" ht="15" outlineLevel="0" r="115">
      <c r="A115" s="28"/>
      <c r="B115" s="28"/>
      <c r="C115" s="28"/>
      <c r="D115" s="29"/>
      <c r="F115" s="28"/>
      <c r="G115" s="28"/>
      <c r="H115" s="28"/>
      <c r="I115" s="29"/>
    </row>
    <row collapsed="false" customFormat="false" customHeight="true" hidden="false" ht="18.75" outlineLevel="0" r="116">
      <c r="A116" s="30" t="s">
        <v>210</v>
      </c>
      <c r="B116" s="30"/>
      <c r="C116" s="30"/>
      <c r="D116" s="31" t="n">
        <f aca="false">SUM(D108:D115)</f>
        <v>14538.4</v>
      </c>
      <c r="F116" s="30" t="s">
        <v>210</v>
      </c>
      <c r="G116" s="30"/>
      <c r="H116" s="30"/>
      <c r="I116" s="31" t="n">
        <f aca="false">SUM(I108:I115)</f>
        <v>8253.6</v>
      </c>
    </row>
    <row collapsed="false" customFormat="false" customHeight="true" hidden="false" ht="18.75" outlineLevel="0" r="118">
      <c r="A118" s="25" t="s">
        <v>240</v>
      </c>
      <c r="B118" s="25"/>
      <c r="C118" s="25"/>
      <c r="D118" s="25"/>
      <c r="F118" s="25" t="s">
        <v>241</v>
      </c>
      <c r="G118" s="25"/>
      <c r="H118" s="25"/>
      <c r="I118" s="25"/>
    </row>
    <row collapsed="false" customFormat="false" customHeight="true" hidden="false" ht="15" outlineLevel="0" r="119">
      <c r="A119" s="26" t="s">
        <v>128</v>
      </c>
      <c r="B119" s="26" t="s">
        <v>196</v>
      </c>
      <c r="C119" s="27" t="s">
        <v>197</v>
      </c>
      <c r="D119" s="26" t="s">
        <v>198</v>
      </c>
      <c r="F119" s="26" t="s">
        <v>128</v>
      </c>
      <c r="G119" s="26" t="s">
        <v>196</v>
      </c>
      <c r="H119" s="27" t="s">
        <v>197</v>
      </c>
      <c r="I119" s="26" t="s">
        <v>198</v>
      </c>
    </row>
    <row collapsed="false" customFormat="false" customHeight="true" hidden="false" ht="15" outlineLevel="0" r="120">
      <c r="A120" s="28" t="s">
        <v>153</v>
      </c>
      <c r="B120" s="28" t="s">
        <v>133</v>
      </c>
      <c r="C120" s="28" t="n">
        <v>1.63</v>
      </c>
      <c r="D120" s="32" t="n">
        <f aca="false">C120*'MATERIALES E INSUMOS'!$C$11</f>
        <v>12371.7</v>
      </c>
      <c r="F120" s="28" t="s">
        <v>242</v>
      </c>
      <c r="G120" s="28" t="s">
        <v>133</v>
      </c>
      <c r="H120" s="28" t="n">
        <v>0.13</v>
      </c>
      <c r="I120" s="29" t="n">
        <v>2174</v>
      </c>
    </row>
    <row collapsed="false" customFormat="false" customHeight="true" hidden="false" ht="15" outlineLevel="0" r="121">
      <c r="A121" s="28" t="s">
        <v>202</v>
      </c>
      <c r="B121" s="28" t="s">
        <v>133</v>
      </c>
      <c r="C121" s="28" t="n">
        <v>80</v>
      </c>
      <c r="D121" s="29" t="n">
        <f aca="false">+C121*'MATERIALES E INSUMOS'!H5</f>
        <v>76.8</v>
      </c>
      <c r="F121" s="28" t="s">
        <v>243</v>
      </c>
      <c r="G121" s="28" t="s">
        <v>133</v>
      </c>
      <c r="H121" s="28" t="n">
        <v>0.1</v>
      </c>
      <c r="I121" s="29" t="n">
        <v>300</v>
      </c>
    </row>
    <row collapsed="false" customFormat="false" customHeight="true" hidden="false" ht="15" outlineLevel="0" r="122">
      <c r="A122" s="28" t="s">
        <v>217</v>
      </c>
      <c r="B122" s="28" t="s">
        <v>133</v>
      </c>
      <c r="C122" s="28" t="n">
        <v>0.75</v>
      </c>
      <c r="D122" s="29" t="n">
        <f aca="false">+C122*'MATERIALES E INSUMOS'!$G$32</f>
        <v>577.5</v>
      </c>
      <c r="F122" s="28" t="s">
        <v>200</v>
      </c>
      <c r="G122" s="28" t="s">
        <v>133</v>
      </c>
      <c r="H122" s="28" t="n">
        <v>50</v>
      </c>
      <c r="I122" s="29" t="n">
        <v>186</v>
      </c>
    </row>
    <row collapsed="false" customFormat="false" customHeight="true" hidden="false" ht="15" outlineLevel="0" r="123">
      <c r="A123" s="28" t="s">
        <v>207</v>
      </c>
      <c r="B123" s="28" t="s">
        <v>137</v>
      </c>
      <c r="C123" s="28" t="n">
        <v>1</v>
      </c>
      <c r="D123" s="29" t="n">
        <f aca="false">+C123*'MATERIALES E INSUMOS'!$M$33</f>
        <v>20</v>
      </c>
      <c r="F123" s="28" t="s">
        <v>244</v>
      </c>
      <c r="G123" s="28" t="s">
        <v>137</v>
      </c>
      <c r="H123" s="28" t="n">
        <v>1</v>
      </c>
      <c r="I123" s="29" t="n">
        <v>362</v>
      </c>
    </row>
    <row collapsed="false" customFormat="false" customHeight="true" hidden="false" ht="15" outlineLevel="0" r="124">
      <c r="A124" s="28" t="s">
        <v>208</v>
      </c>
      <c r="B124" s="28" t="s">
        <v>137</v>
      </c>
      <c r="C124" s="28" t="n">
        <v>1</v>
      </c>
      <c r="D124" s="29" t="n">
        <f aca="false">+C124*'MATERIALES E INSUMOS'!$M$32</f>
        <v>3</v>
      </c>
      <c r="F124" s="28" t="s">
        <v>207</v>
      </c>
      <c r="G124" s="28" t="s">
        <v>137</v>
      </c>
      <c r="H124" s="28" t="n">
        <v>1</v>
      </c>
      <c r="I124" s="29" t="n">
        <v>20</v>
      </c>
    </row>
    <row collapsed="false" customFormat="false" customHeight="true" hidden="false" ht="15" outlineLevel="0" r="125">
      <c r="A125" s="28" t="s">
        <v>193</v>
      </c>
      <c r="B125" s="28" t="s">
        <v>137</v>
      </c>
      <c r="C125" s="28" t="n">
        <v>1.4</v>
      </c>
      <c r="D125" s="29" t="n">
        <f aca="false">+C125*'MATERIALES E INSUMOS'!H53</f>
        <v>2100</v>
      </c>
      <c r="F125" s="28" t="s">
        <v>208</v>
      </c>
      <c r="G125" s="28" t="s">
        <v>137</v>
      </c>
      <c r="H125" s="28" t="n">
        <v>1</v>
      </c>
      <c r="I125" s="29" t="n">
        <v>3</v>
      </c>
    </row>
    <row collapsed="false" customFormat="false" customHeight="true" hidden="false" ht="15" outlineLevel="0" r="126">
      <c r="A126" s="28" t="s">
        <v>209</v>
      </c>
      <c r="B126" s="28" t="s">
        <v>137</v>
      </c>
      <c r="C126" s="28" t="n">
        <v>1</v>
      </c>
      <c r="D126" s="29" t="n">
        <f aca="false">+C126*'MATERIALES E INSUMOS'!$H$46</f>
        <v>74.4</v>
      </c>
      <c r="F126" s="28" t="s">
        <v>209</v>
      </c>
      <c r="G126" s="28" t="s">
        <v>137</v>
      </c>
      <c r="H126" s="28" t="n">
        <v>1</v>
      </c>
      <c r="I126" s="29" t="n">
        <v>74</v>
      </c>
    </row>
    <row collapsed="false" customFormat="false" customHeight="true" hidden="false" ht="15" outlineLevel="0" r="127">
      <c r="A127" s="28"/>
      <c r="B127" s="28"/>
      <c r="C127" s="28"/>
      <c r="D127" s="29"/>
      <c r="F127" s="28"/>
      <c r="G127" s="28"/>
      <c r="H127" s="28"/>
      <c r="I127" s="29"/>
    </row>
    <row collapsed="false" customFormat="false" customHeight="true" hidden="false" ht="18.75" outlineLevel="0" r="128">
      <c r="A128" s="30" t="s">
        <v>210</v>
      </c>
      <c r="B128" s="30"/>
      <c r="C128" s="30"/>
      <c r="D128" s="31" t="n">
        <f aca="false">SUM(D120:D127)</f>
        <v>15223.4</v>
      </c>
      <c r="F128" s="30" t="s">
        <v>210</v>
      </c>
      <c r="G128" s="30"/>
      <c r="H128" s="30"/>
      <c r="I128" s="31" t="n">
        <f aca="false">SUM(I120:I127)</f>
        <v>3119</v>
      </c>
    </row>
    <row collapsed="false" customFormat="false" customHeight="true" hidden="false" ht="18.75" outlineLevel="0" r="130">
      <c r="A130" s="25" t="s">
        <v>245</v>
      </c>
      <c r="B130" s="25"/>
      <c r="C130" s="25"/>
      <c r="D130" s="25"/>
      <c r="F130" s="25" t="s">
        <v>246</v>
      </c>
      <c r="G130" s="25"/>
      <c r="H130" s="25"/>
      <c r="I130" s="25"/>
    </row>
    <row collapsed="false" customFormat="false" customHeight="true" hidden="false" ht="15" outlineLevel="0" r="131">
      <c r="A131" s="26" t="s">
        <v>128</v>
      </c>
      <c r="B131" s="26" t="s">
        <v>196</v>
      </c>
      <c r="C131" s="27" t="s">
        <v>197</v>
      </c>
      <c r="D131" s="26" t="s">
        <v>198</v>
      </c>
      <c r="F131" s="26" t="s">
        <v>128</v>
      </c>
      <c r="G131" s="26" t="s">
        <v>196</v>
      </c>
      <c r="H131" s="27" t="s">
        <v>197</v>
      </c>
      <c r="I131" s="26" t="s">
        <v>198</v>
      </c>
    </row>
    <row collapsed="false" customFormat="false" customHeight="true" hidden="false" ht="15" outlineLevel="0" r="132">
      <c r="A132" s="28" t="s">
        <v>247</v>
      </c>
      <c r="B132" s="28" t="s">
        <v>133</v>
      </c>
      <c r="C132" s="28"/>
      <c r="D132" s="29" t="n">
        <f aca="false">C132*'MATERIALES E INSUMOS'!$C$19</f>
        <v>0</v>
      </c>
      <c r="F132" s="28" t="s">
        <v>247</v>
      </c>
      <c r="G132" s="28" t="s">
        <v>133</v>
      </c>
      <c r="H132" s="28"/>
      <c r="I132" s="29" t="n">
        <f aca="false">H132*'MATERIALES E INSUMOS'!$C$19</f>
        <v>0</v>
      </c>
    </row>
    <row collapsed="false" customFormat="false" customHeight="true" hidden="false" ht="15" outlineLevel="0" r="133">
      <c r="A133" s="28" t="s">
        <v>178</v>
      </c>
      <c r="B133" s="28" t="s">
        <v>133</v>
      </c>
      <c r="C133" s="28" t="n">
        <v>1.5</v>
      </c>
      <c r="D133" s="29" t="n">
        <f aca="false">+C133*'MATERIALES E INSUMOS'!$G$36</f>
        <v>2250</v>
      </c>
      <c r="F133" s="28" t="s">
        <v>178</v>
      </c>
      <c r="G133" s="28" t="s">
        <v>133</v>
      </c>
      <c r="H133" s="28" t="n">
        <v>0.6</v>
      </c>
      <c r="I133" s="29" t="n">
        <f aca="false">+H133*'MATERIALES E INSUMOS'!$G$36</f>
        <v>900</v>
      </c>
    </row>
    <row collapsed="false" customFormat="false" customHeight="true" hidden="false" ht="15" outlineLevel="0" r="134">
      <c r="A134" s="28" t="s">
        <v>230</v>
      </c>
      <c r="B134" s="28" t="s">
        <v>133</v>
      </c>
      <c r="C134" s="28"/>
      <c r="D134" s="29" t="n">
        <f aca="false">+C134*'MATERIALES E INSUMOS'!$H$8</f>
        <v>0</v>
      </c>
      <c r="F134" s="28" t="s">
        <v>230</v>
      </c>
      <c r="G134" s="28" t="s">
        <v>133</v>
      </c>
      <c r="H134" s="28"/>
      <c r="I134" s="29" t="n">
        <f aca="false">+H134*'MATERIALES E INSUMOS'!$H$8</f>
        <v>0</v>
      </c>
    </row>
    <row collapsed="false" customFormat="false" customHeight="true" hidden="false" ht="15" outlineLevel="0" r="135">
      <c r="A135" s="28" t="s">
        <v>194</v>
      </c>
      <c r="B135" s="28" t="s">
        <v>137</v>
      </c>
      <c r="C135" s="28" t="n">
        <v>4</v>
      </c>
      <c r="D135" s="29" t="n">
        <f aca="false">+C135*'MATERIALES E INSUMOS'!$H$54</f>
        <v>80</v>
      </c>
      <c r="F135" s="28" t="s">
        <v>194</v>
      </c>
      <c r="G135" s="28" t="s">
        <v>137</v>
      </c>
      <c r="H135" s="28" t="n">
        <v>1</v>
      </c>
      <c r="I135" s="29" t="n">
        <f aca="false">+H135*'MATERIALES E INSUMOS'!$H$54</f>
        <v>20</v>
      </c>
    </row>
    <row collapsed="false" customFormat="false" customHeight="true" hidden="false" ht="15" outlineLevel="0" r="136">
      <c r="A136" s="28" t="s">
        <v>207</v>
      </c>
      <c r="B136" s="28" t="s">
        <v>137</v>
      </c>
      <c r="C136" s="28" t="n">
        <v>1</v>
      </c>
      <c r="D136" s="29" t="n">
        <f aca="false">+C136*'MATERIALES E INSUMOS'!$M$33</f>
        <v>20</v>
      </c>
      <c r="F136" s="28" t="s">
        <v>207</v>
      </c>
      <c r="G136" s="28" t="s">
        <v>137</v>
      </c>
      <c r="H136" s="28" t="n">
        <v>1</v>
      </c>
      <c r="I136" s="29" t="n">
        <f aca="false">+H136*'MATERIALES E INSUMOS'!$M$33</f>
        <v>20</v>
      </c>
    </row>
    <row collapsed="false" customFormat="false" customHeight="true" hidden="false" ht="15" outlineLevel="0" r="137">
      <c r="A137" s="28" t="s">
        <v>208</v>
      </c>
      <c r="B137" s="28" t="s">
        <v>137</v>
      </c>
      <c r="C137" s="28" t="n">
        <v>2</v>
      </c>
      <c r="D137" s="29" t="n">
        <f aca="false">+C137*'MATERIALES E INSUMOS'!$M$32</f>
        <v>6</v>
      </c>
      <c r="F137" s="28" t="s">
        <v>208</v>
      </c>
      <c r="G137" s="28" t="s">
        <v>137</v>
      </c>
      <c r="H137" s="28" t="n">
        <v>1</v>
      </c>
      <c r="I137" s="29" t="n">
        <f aca="false">+H137*'MATERIALES E INSUMOS'!$M$32</f>
        <v>3</v>
      </c>
    </row>
    <row collapsed="false" customFormat="false" customHeight="true" hidden="false" ht="15" outlineLevel="0" r="138">
      <c r="A138" s="28" t="s">
        <v>209</v>
      </c>
      <c r="B138" s="28" t="s">
        <v>137</v>
      </c>
      <c r="C138" s="28" t="n">
        <v>1</v>
      </c>
      <c r="D138" s="29" t="n">
        <f aca="false">+C138*'MATERIALES E INSUMOS'!$H$46</f>
        <v>74.4</v>
      </c>
      <c r="F138" s="28" t="s">
        <v>209</v>
      </c>
      <c r="G138" s="28" t="s">
        <v>137</v>
      </c>
      <c r="H138" s="28" t="n">
        <v>1</v>
      </c>
      <c r="I138" s="29" t="n">
        <f aca="false">+H138*'MATERIALES E INSUMOS'!$H$46</f>
        <v>74.4</v>
      </c>
    </row>
    <row collapsed="false" customFormat="false" customHeight="true" hidden="false" ht="15" outlineLevel="0" r="139">
      <c r="A139" s="28"/>
      <c r="B139" s="28"/>
      <c r="C139" s="28"/>
      <c r="D139" s="29"/>
      <c r="F139" s="28"/>
      <c r="G139" s="28"/>
      <c r="H139" s="28"/>
      <c r="I139" s="29"/>
    </row>
    <row collapsed="false" customFormat="false" customHeight="true" hidden="false" ht="15" outlineLevel="0" r="140">
      <c r="A140" s="28"/>
      <c r="B140" s="28"/>
      <c r="C140" s="28"/>
      <c r="D140" s="29"/>
      <c r="F140" s="28"/>
      <c r="G140" s="28"/>
      <c r="H140" s="28"/>
      <c r="I140" s="29"/>
    </row>
    <row collapsed="false" customFormat="false" customHeight="true" hidden="false" ht="15" outlineLevel="0" r="141">
      <c r="A141" s="28"/>
      <c r="B141" s="28"/>
      <c r="C141" s="28"/>
      <c r="D141" s="29"/>
      <c r="F141" s="28"/>
      <c r="G141" s="28"/>
      <c r="H141" s="28"/>
      <c r="I141" s="29"/>
    </row>
    <row collapsed="false" customFormat="false" customHeight="true" hidden="false" ht="18.75" outlineLevel="0" r="142">
      <c r="A142" s="30" t="s">
        <v>210</v>
      </c>
      <c r="B142" s="30"/>
      <c r="C142" s="30"/>
      <c r="D142" s="31" t="n">
        <f aca="false">SUM(D132:D141)</f>
        <v>2430.4</v>
      </c>
      <c r="F142" s="30" t="s">
        <v>210</v>
      </c>
      <c r="G142" s="30"/>
      <c r="H142" s="30"/>
      <c r="I142" s="31" t="n">
        <f aca="false">SUM(I132:I141)</f>
        <v>1017.4</v>
      </c>
    </row>
  </sheetData>
  <mergeCells count="45">
    <mergeCell ref="A1:I1"/>
    <mergeCell ref="A2:D2"/>
    <mergeCell ref="F2:I2"/>
    <mergeCell ref="A13:C13"/>
    <mergeCell ref="F13:H13"/>
    <mergeCell ref="A15:D15"/>
    <mergeCell ref="F15:I15"/>
    <mergeCell ref="A25:C25"/>
    <mergeCell ref="F25:H25"/>
    <mergeCell ref="A27:D27"/>
    <mergeCell ref="F27:I27"/>
    <mergeCell ref="A37:C37"/>
    <mergeCell ref="F37:H37"/>
    <mergeCell ref="A39:D39"/>
    <mergeCell ref="F39:I39"/>
    <mergeCell ref="A51:C51"/>
    <mergeCell ref="F51:H51"/>
    <mergeCell ref="A53:D53"/>
    <mergeCell ref="F53:I53"/>
    <mergeCell ref="A65:C65"/>
    <mergeCell ref="F65:H65"/>
    <mergeCell ref="A67:D67"/>
    <mergeCell ref="F67:I67"/>
    <mergeCell ref="F77:H77"/>
    <mergeCell ref="A78:C78"/>
    <mergeCell ref="A80:D80"/>
    <mergeCell ref="F80:I80"/>
    <mergeCell ref="A91:C91"/>
    <mergeCell ref="F91:H91"/>
    <mergeCell ref="A93:D93"/>
    <mergeCell ref="F93:I93"/>
    <mergeCell ref="A103:C103"/>
    <mergeCell ref="F104:H104"/>
    <mergeCell ref="A106:D106"/>
    <mergeCell ref="F106:I106"/>
    <mergeCell ref="A116:C116"/>
    <mergeCell ref="F116:H116"/>
    <mergeCell ref="A118:D118"/>
    <mergeCell ref="F118:I118"/>
    <mergeCell ref="A128:C128"/>
    <mergeCell ref="F128:H128"/>
    <mergeCell ref="A130:D130"/>
    <mergeCell ref="F130:I130"/>
    <mergeCell ref="A142:C142"/>
    <mergeCell ref="F142:H14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bottomLeft" topLeftCell="H127" xSplit="0" ySplit="15"/>
      <selection activeCell="A1" activeCellId="0" pane="topLeft" sqref="A1"/>
      <selection activeCell="K4" activeCellId="0" pane="bottomLeft" sqref="K4"/>
    </sheetView>
  </sheetViews>
  <cols>
    <col collapsed="false" hidden="false" max="1" min="1" style="0" width="9.78823529411765"/>
    <col collapsed="false" hidden="false" max="2" min="2" style="0" width="24.0235294117647"/>
    <col collapsed="false" hidden="false" max="3" min="3" style="0" width="13.9333333333333"/>
    <col collapsed="false" hidden="false" max="9" min="4" style="0" width="10.921568627451"/>
    <col collapsed="false" hidden="false" max="10" min="10" style="0" width="24.0235294117647"/>
    <col collapsed="false" hidden="false" max="11" min="11" style="0" width="13.043137254902"/>
    <col collapsed="false" hidden="false" max="1025" min="12" style="0" width="10.921568627451"/>
  </cols>
  <sheetData>
    <row collapsed="false" customFormat="false" customHeight="true" hidden="false" ht="23.25" outlineLevel="0" r="1">
      <c r="A1" s="33" t="s">
        <v>248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collapsed="false" customFormat="false" customHeight="true" hidden="false" ht="17.25" outlineLevel="0" r="2">
      <c r="A2" s="34" t="s">
        <v>5</v>
      </c>
      <c r="B2" s="34" t="s">
        <v>249</v>
      </c>
      <c r="C2" s="35" t="s">
        <v>250</v>
      </c>
      <c r="D2" s="35"/>
      <c r="E2" s="35" t="s">
        <v>251</v>
      </c>
      <c r="F2" s="35"/>
      <c r="G2" s="35"/>
      <c r="H2" s="34" t="s">
        <v>252</v>
      </c>
      <c r="I2" s="34" t="s">
        <v>253</v>
      </c>
      <c r="J2" s="34" t="s">
        <v>254</v>
      </c>
      <c r="K2" s="34" t="s">
        <v>255</v>
      </c>
    </row>
    <row collapsed="false" customFormat="false" customHeight="true" hidden="false" ht="30" outlineLevel="0" r="3">
      <c r="A3" s="34"/>
      <c r="B3" s="34"/>
      <c r="C3" s="34" t="s">
        <v>256</v>
      </c>
      <c r="D3" s="34" t="s">
        <v>257</v>
      </c>
      <c r="E3" s="34" t="s">
        <v>258</v>
      </c>
      <c r="F3" s="34" t="s">
        <v>257</v>
      </c>
      <c r="G3" s="34" t="s">
        <v>259</v>
      </c>
      <c r="H3" s="34"/>
      <c r="I3" s="34"/>
      <c r="J3" s="34"/>
      <c r="K3" s="34"/>
    </row>
    <row collapsed="false" customFormat="false" customHeight="true" hidden="false" ht="15" outlineLevel="0" r="4">
      <c r="A4" s="7" t="s">
        <v>29</v>
      </c>
      <c r="B4" s="7" t="s">
        <v>30</v>
      </c>
      <c r="C4" s="36" t="n">
        <v>41311</v>
      </c>
      <c r="D4" s="7" t="n">
        <v>77</v>
      </c>
      <c r="E4" s="36" t="n">
        <v>41334</v>
      </c>
      <c r="F4" s="7" t="n">
        <v>35</v>
      </c>
      <c r="G4" s="37" t="n">
        <f aca="false">+D4-F4</f>
        <v>42</v>
      </c>
      <c r="H4" s="7" t="n">
        <v>35</v>
      </c>
      <c r="I4" s="7" t="n">
        <f aca="false">+F4-H4</f>
        <v>0</v>
      </c>
      <c r="J4" s="7" t="s">
        <v>260</v>
      </c>
      <c r="K4" s="7" t="n">
        <v>20</v>
      </c>
    </row>
    <row collapsed="false" customFormat="false" customHeight="true" hidden="false" ht="15" outlineLevel="0"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</row>
    <row collapsed="false" customFormat="false" customHeight="true" hidden="false" ht="15" outlineLevel="0" r="6">
      <c r="A6" s="7" t="s">
        <v>34</v>
      </c>
      <c r="B6" s="7" t="s">
        <v>261</v>
      </c>
      <c r="C6" s="36" t="n">
        <v>41313</v>
      </c>
      <c r="D6" s="7" t="n">
        <v>14</v>
      </c>
      <c r="E6" s="36" t="n">
        <v>41334</v>
      </c>
      <c r="F6" s="7" t="n">
        <v>14</v>
      </c>
      <c r="G6" s="39" t="n">
        <f aca="false">+D6-F6</f>
        <v>0</v>
      </c>
      <c r="H6" s="7" t="n">
        <v>14</v>
      </c>
      <c r="I6" s="7" t="n">
        <f aca="false">+F6-H6</f>
        <v>0</v>
      </c>
      <c r="J6" s="7" t="s">
        <v>260</v>
      </c>
      <c r="K6" s="7" t="n">
        <v>18</v>
      </c>
    </row>
    <row collapsed="false" customFormat="false" customHeight="true" hidden="false" ht="15" outlineLevel="0"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</row>
    <row collapsed="false" customFormat="false" customHeight="true" hidden="false" ht="15.75" outlineLevel="0" r="8">
      <c r="A8" s="7" t="s">
        <v>68</v>
      </c>
      <c r="B8" s="7" t="s">
        <v>69</v>
      </c>
      <c r="C8" s="36" t="n">
        <v>41353</v>
      </c>
      <c r="D8" s="7" t="n">
        <v>10</v>
      </c>
      <c r="E8" s="36"/>
      <c r="F8" s="7"/>
      <c r="G8" s="39" t="n">
        <f aca="false">+D8-F8</f>
        <v>10</v>
      </c>
      <c r="H8" s="7"/>
      <c r="I8" s="7" t="n">
        <f aca="false">+F8-H8</f>
        <v>0</v>
      </c>
      <c r="J8" s="7" t="s">
        <v>260</v>
      </c>
      <c r="K8" s="7"/>
    </row>
    <row collapsed="false" customFormat="false" customHeight="true" hidden="false" ht="15.75" outlineLevel="0" r="9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</row>
    <row collapsed="false" customFormat="false" customHeight="true" hidden="false" ht="15" outlineLevel="0" r="10">
      <c r="A10" s="41" t="n">
        <v>2012</v>
      </c>
      <c r="B10" s="42" t="s">
        <v>262</v>
      </c>
      <c r="C10" s="6" t="n">
        <v>41324</v>
      </c>
      <c r="D10" s="43" t="n">
        <v>15</v>
      </c>
      <c r="E10" s="6" t="n">
        <v>41337</v>
      </c>
      <c r="F10" s="43" t="n">
        <v>15</v>
      </c>
      <c r="G10" s="37" t="n">
        <f aca="false">+D10-F10</f>
        <v>0</v>
      </c>
      <c r="H10" s="43" t="n">
        <v>15</v>
      </c>
      <c r="I10" s="43" t="n">
        <f aca="false">+F10-H10</f>
        <v>0</v>
      </c>
      <c r="J10" s="42" t="s">
        <v>263</v>
      </c>
      <c r="K10" s="43" t="n">
        <v>9</v>
      </c>
    </row>
    <row collapsed="false" customFormat="false" customHeight="true" hidden="false" ht="15" outlineLevel="0"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collapsed="false" customFormat="false" customHeight="true" hidden="false" ht="15" outlineLevel="0" r="12">
      <c r="A12" s="41" t="n">
        <v>2012</v>
      </c>
      <c r="B12" s="44" t="s">
        <v>264</v>
      </c>
      <c r="C12" s="6" t="n">
        <v>41344</v>
      </c>
      <c r="D12" s="7" t="n">
        <v>30</v>
      </c>
      <c r="E12" s="6"/>
      <c r="F12" s="7"/>
      <c r="G12" s="37" t="n">
        <f aca="false">+D12-F12</f>
        <v>30</v>
      </c>
      <c r="H12" s="7"/>
      <c r="I12" s="7"/>
      <c r="J12" s="42" t="s">
        <v>263</v>
      </c>
      <c r="K12" s="43"/>
    </row>
    <row collapsed="false" customFormat="false" customHeight="true" hidden="false" ht="15" outlineLevel="0"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</row>
    <row collapsed="false" customFormat="false" customHeight="true" hidden="false" ht="15" outlineLevel="0" r="14">
      <c r="A14" s="42" t="s">
        <v>56</v>
      </c>
      <c r="B14" s="42" t="s">
        <v>265</v>
      </c>
      <c r="C14" s="6" t="n">
        <v>41326</v>
      </c>
      <c r="D14" s="7" t="n">
        <v>30</v>
      </c>
      <c r="E14" s="6" t="n">
        <v>41344</v>
      </c>
      <c r="F14" s="7" t="n">
        <v>30</v>
      </c>
      <c r="G14" s="37" t="n">
        <f aca="false">+D14-F14</f>
        <v>0</v>
      </c>
      <c r="H14" s="7" t="n">
        <v>27</v>
      </c>
      <c r="I14" s="7" t="n">
        <f aca="false">+F14-H14</f>
        <v>3</v>
      </c>
      <c r="J14" s="42" t="s">
        <v>263</v>
      </c>
      <c r="K14" s="43" t="n">
        <v>13</v>
      </c>
    </row>
    <row collapsed="false" customFormat="false" customHeight="true" hidden="false" ht="15" outlineLevel="0" r="15">
      <c r="A15" s="42"/>
      <c r="B15" s="42"/>
      <c r="C15" s="6" t="n">
        <v>41338</v>
      </c>
      <c r="D15" s="7" t="n">
        <v>30</v>
      </c>
      <c r="E15" s="6" t="n">
        <v>41348</v>
      </c>
      <c r="F15" s="7" t="n">
        <v>30</v>
      </c>
      <c r="G15" s="37" t="n">
        <f aca="false">+D15-F15</f>
        <v>0</v>
      </c>
      <c r="H15" s="7" t="n">
        <v>30</v>
      </c>
      <c r="I15" s="7" t="n">
        <f aca="false">+F15-H15</f>
        <v>0</v>
      </c>
      <c r="J15" s="42" t="s">
        <v>263</v>
      </c>
      <c r="K15" s="43" t="n">
        <v>9</v>
      </c>
    </row>
    <row collapsed="false" customFormat="false" customHeight="true" hidden="false" ht="15" outlineLevel="0" r="16">
      <c r="A16" s="42"/>
      <c r="B16" s="42"/>
      <c r="C16" s="6" t="n">
        <v>41344</v>
      </c>
      <c r="D16" s="7" t="n">
        <v>30</v>
      </c>
      <c r="E16" s="6" t="n">
        <v>41348</v>
      </c>
      <c r="F16" s="7" t="n">
        <v>30</v>
      </c>
      <c r="G16" s="37" t="n">
        <f aca="false">+D16-F16</f>
        <v>0</v>
      </c>
      <c r="H16" s="7" t="n">
        <v>29</v>
      </c>
      <c r="I16" s="7" t="n">
        <f aca="false">+F16-H16</f>
        <v>1</v>
      </c>
      <c r="J16" s="42"/>
      <c r="K16" s="43" t="n">
        <v>4</v>
      </c>
    </row>
    <row collapsed="false" customFormat="false" customHeight="true" hidden="false" ht="15.75" outlineLevel="0" r="17">
      <c r="A17" s="42"/>
      <c r="B17" s="42"/>
      <c r="C17" s="6" t="n">
        <v>41365</v>
      </c>
      <c r="D17" s="43" t="n">
        <v>30</v>
      </c>
      <c r="E17" s="6"/>
      <c r="F17" s="43"/>
      <c r="G17" s="37" t="n">
        <f aca="false">+D17-F17</f>
        <v>30</v>
      </c>
      <c r="H17" s="43"/>
      <c r="I17" s="43"/>
      <c r="J17" s="42"/>
      <c r="K17" s="43"/>
    </row>
    <row collapsed="false" customFormat="false" customHeight="true" hidden="false" ht="15.75" outlineLevel="0" r="18">
      <c r="A18" s="40"/>
      <c r="B18" s="40"/>
      <c r="C18" s="40"/>
      <c r="D18" s="40"/>
      <c r="E18" s="40"/>
      <c r="F18" s="40"/>
      <c r="G18" s="40"/>
      <c r="H18" s="40"/>
      <c r="I18" s="40" t="n">
        <f aca="false">+F18-H18</f>
        <v>0</v>
      </c>
      <c r="J18" s="40"/>
      <c r="K18" s="40"/>
    </row>
    <row collapsed="false" customFormat="false" customHeight="true" hidden="false" ht="15" outlineLevel="0" r="19">
      <c r="A19" s="41" t="n">
        <v>2012</v>
      </c>
      <c r="B19" s="42" t="s">
        <v>262</v>
      </c>
      <c r="C19" s="45" t="n">
        <v>41319</v>
      </c>
      <c r="D19" s="42" t="n">
        <v>30</v>
      </c>
      <c r="E19" s="6" t="n">
        <v>41334</v>
      </c>
      <c r="F19" s="43" t="n">
        <v>11</v>
      </c>
      <c r="G19" s="37" t="n">
        <f aca="false">+D19-F19</f>
        <v>19</v>
      </c>
      <c r="H19" s="43" t="n">
        <v>11</v>
      </c>
      <c r="I19" s="43" t="n">
        <f aca="false">+F19-H19</f>
        <v>0</v>
      </c>
      <c r="J19" s="42" t="s">
        <v>266</v>
      </c>
      <c r="K19" s="43" t="n">
        <v>11</v>
      </c>
    </row>
    <row collapsed="false" customFormat="false" customHeight="true" hidden="false" ht="15" outlineLevel="0" r="20">
      <c r="A20" s="41"/>
      <c r="B20" s="42"/>
      <c r="C20" s="45"/>
      <c r="D20" s="42"/>
      <c r="E20" s="6" t="n">
        <v>41341</v>
      </c>
      <c r="F20" s="7" t="n">
        <v>19</v>
      </c>
      <c r="G20" s="37" t="n">
        <f aca="false">+G19-F20</f>
        <v>0</v>
      </c>
      <c r="H20" s="7" t="n">
        <v>19</v>
      </c>
      <c r="I20" s="7" t="n">
        <f aca="false">+F20-H20</f>
        <v>0</v>
      </c>
      <c r="J20" s="42"/>
      <c r="K20" s="43" t="n">
        <v>16</v>
      </c>
    </row>
    <row collapsed="false" customFormat="false" customHeight="true" hidden="false" ht="15" outlineLevel="0"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collapsed="false" customFormat="false" customHeight="true" hidden="false" ht="15" outlineLevel="0" r="22">
      <c r="A22" s="41" t="n">
        <v>2012</v>
      </c>
      <c r="B22" s="42" t="s">
        <v>264</v>
      </c>
      <c r="C22" s="6" t="n">
        <v>41344</v>
      </c>
      <c r="D22" s="7" t="n">
        <v>30</v>
      </c>
      <c r="E22" s="6"/>
      <c r="F22" s="7"/>
      <c r="G22" s="37" t="n">
        <f aca="false">+D22-F22</f>
        <v>30</v>
      </c>
      <c r="H22" s="7"/>
      <c r="I22" s="7" t="n">
        <f aca="false">+F22-H22</f>
        <v>0</v>
      </c>
      <c r="J22" s="42" t="s">
        <v>266</v>
      </c>
      <c r="K22" s="43"/>
    </row>
    <row collapsed="false" customFormat="false" customHeight="true" hidden="false" ht="15" outlineLevel="0"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collapsed="false" customFormat="false" customHeight="true" hidden="false" ht="15" outlineLevel="0" r="24">
      <c r="A24" s="46" t="s">
        <v>56</v>
      </c>
      <c r="B24" s="42" t="s">
        <v>265</v>
      </c>
      <c r="C24" s="45" t="n">
        <v>41326</v>
      </c>
      <c r="D24" s="41" t="n">
        <v>30</v>
      </c>
      <c r="E24" s="6" t="n">
        <v>41334</v>
      </c>
      <c r="F24" s="7" t="n">
        <v>4</v>
      </c>
      <c r="G24" s="37" t="n">
        <f aca="false">+D24-F24</f>
        <v>26</v>
      </c>
      <c r="H24" s="7" t="n">
        <v>4</v>
      </c>
      <c r="I24" s="7" t="n">
        <f aca="false">+F24-H24</f>
        <v>0</v>
      </c>
      <c r="J24" s="42" t="s">
        <v>266</v>
      </c>
      <c r="K24" s="43" t="n">
        <v>6</v>
      </c>
    </row>
    <row collapsed="false" customFormat="false" customHeight="true" hidden="false" ht="15" outlineLevel="0" r="25">
      <c r="A25" s="46"/>
      <c r="B25" s="42"/>
      <c r="C25" s="45"/>
      <c r="D25" s="41"/>
      <c r="E25" s="6" t="n">
        <v>41341</v>
      </c>
      <c r="F25" s="7" t="n">
        <v>21</v>
      </c>
      <c r="G25" s="37" t="n">
        <f aca="false">+G24-F25</f>
        <v>5</v>
      </c>
      <c r="H25" s="7" t="n">
        <v>21</v>
      </c>
      <c r="I25" s="7" t="n">
        <f aca="false">+F25-H25</f>
        <v>0</v>
      </c>
      <c r="J25" s="42"/>
      <c r="K25" s="43" t="n">
        <v>11</v>
      </c>
    </row>
    <row collapsed="false" customFormat="false" customHeight="true" hidden="false" ht="15" outlineLevel="0" r="26">
      <c r="A26" s="46"/>
      <c r="B26" s="42"/>
      <c r="C26" s="45"/>
      <c r="D26" s="41"/>
      <c r="E26" s="6" t="n">
        <v>41348</v>
      </c>
      <c r="F26" s="7" t="n">
        <v>5</v>
      </c>
      <c r="G26" s="37" t="n">
        <f aca="false">+G25-F26</f>
        <v>0</v>
      </c>
      <c r="H26" s="7" t="n">
        <v>3</v>
      </c>
      <c r="I26" s="7" t="n">
        <f aca="false">+F26-H26</f>
        <v>2</v>
      </c>
      <c r="J26" s="42"/>
      <c r="K26" s="43" t="n">
        <v>17</v>
      </c>
    </row>
    <row collapsed="false" customFormat="false" customHeight="true" hidden="false" ht="15" outlineLevel="0" r="27">
      <c r="A27" s="46"/>
      <c r="B27" s="42"/>
      <c r="C27" s="47" t="n">
        <v>41338</v>
      </c>
      <c r="D27" s="41" t="n">
        <v>30</v>
      </c>
      <c r="E27" s="6" t="n">
        <v>41348</v>
      </c>
      <c r="F27" s="7" t="n">
        <v>15</v>
      </c>
      <c r="G27" s="37" t="n">
        <f aca="false">+D27-F27</f>
        <v>15</v>
      </c>
      <c r="H27" s="7" t="n">
        <v>15</v>
      </c>
      <c r="I27" s="7" t="n">
        <f aca="false">+F27-H27</f>
        <v>0</v>
      </c>
      <c r="J27" s="42" t="s">
        <v>266</v>
      </c>
      <c r="K27" s="43" t="n">
        <v>9</v>
      </c>
    </row>
    <row collapsed="false" customFormat="false" customHeight="true" hidden="false" ht="15" outlineLevel="0" r="28">
      <c r="A28" s="46"/>
      <c r="B28" s="42"/>
      <c r="C28" s="47"/>
      <c r="D28" s="41"/>
      <c r="E28" s="6" t="n">
        <v>41351</v>
      </c>
      <c r="F28" s="7" t="n">
        <v>10</v>
      </c>
      <c r="G28" s="37" t="n">
        <f aca="false">+G27-F28</f>
        <v>5</v>
      </c>
      <c r="H28" s="7" t="n">
        <v>10</v>
      </c>
      <c r="I28" s="7" t="n">
        <f aca="false">+F28-H28</f>
        <v>0</v>
      </c>
      <c r="J28" s="42"/>
      <c r="K28" s="43" t="n">
        <v>11</v>
      </c>
    </row>
    <row collapsed="false" customFormat="false" customHeight="true" hidden="false" ht="15" outlineLevel="0" r="29">
      <c r="A29" s="46"/>
      <c r="B29" s="42"/>
      <c r="C29" s="47"/>
      <c r="D29" s="41"/>
      <c r="E29" s="6"/>
      <c r="F29" s="7"/>
      <c r="G29" s="37" t="n">
        <f aca="false">+G28-F29</f>
        <v>5</v>
      </c>
      <c r="H29" s="7"/>
      <c r="I29" s="7"/>
      <c r="J29" s="42"/>
      <c r="K29" s="43"/>
    </row>
    <row collapsed="false" customFormat="false" customHeight="true" hidden="false" ht="15" outlineLevel="0" r="30">
      <c r="A30" s="46"/>
      <c r="B30" s="42"/>
      <c r="C30" s="6" t="n">
        <v>41344</v>
      </c>
      <c r="D30" s="7" t="n">
        <v>30</v>
      </c>
      <c r="E30" s="6" t="s">
        <v>267</v>
      </c>
      <c r="F30" s="7" t="n">
        <v>5</v>
      </c>
      <c r="G30" s="37" t="n">
        <f aca="false">+D30-F30</f>
        <v>25</v>
      </c>
      <c r="H30" s="7" t="n">
        <v>5</v>
      </c>
      <c r="I30" s="43"/>
      <c r="J30" s="42"/>
      <c r="K30" s="43" t="n">
        <v>6</v>
      </c>
    </row>
    <row collapsed="false" customFormat="false" customHeight="true" hidden="false" ht="15.75" outlineLevel="0" r="31">
      <c r="A31" s="46"/>
      <c r="B31" s="42"/>
      <c r="C31" s="6" t="n">
        <v>41354</v>
      </c>
      <c r="D31" s="43" t="n">
        <v>30</v>
      </c>
      <c r="E31" s="6"/>
      <c r="F31" s="43"/>
      <c r="G31" s="37" t="n">
        <f aca="false">+D31-F31</f>
        <v>30</v>
      </c>
      <c r="H31" s="43" t="n">
        <v>0</v>
      </c>
      <c r="I31" s="7" t="n">
        <f aca="false">+F31-H31</f>
        <v>0</v>
      </c>
      <c r="J31" s="42" t="s">
        <v>266</v>
      </c>
      <c r="K31" s="43"/>
    </row>
    <row collapsed="false" customFormat="false" customHeight="true" hidden="false" ht="15.75" outlineLevel="0" r="32">
      <c r="A32" s="40"/>
      <c r="B32" s="40"/>
      <c r="C32" s="40"/>
      <c r="D32" s="40"/>
      <c r="E32" s="40"/>
      <c r="F32" s="40"/>
      <c r="G32" s="40" t="n">
        <f aca="false">+D32-F32</f>
        <v>0</v>
      </c>
      <c r="H32" s="40"/>
      <c r="I32" s="40" t="n">
        <f aca="false">+F32-H32</f>
        <v>0</v>
      </c>
      <c r="J32" s="40"/>
      <c r="K32" s="40"/>
    </row>
    <row collapsed="false" customFormat="false" customHeight="true" hidden="false" ht="15" outlineLevel="0" r="33">
      <c r="A33" s="7" t="s">
        <v>42</v>
      </c>
      <c r="B33" s="43" t="s">
        <v>43</v>
      </c>
      <c r="C33" s="6" t="n">
        <v>41320</v>
      </c>
      <c r="D33" s="43" t="n">
        <v>20</v>
      </c>
      <c r="E33" s="43"/>
      <c r="F33" s="43"/>
      <c r="G33" s="37" t="n">
        <f aca="false">+D33-F33</f>
        <v>20</v>
      </c>
      <c r="H33" s="43"/>
      <c r="I33" s="43" t="n">
        <f aca="false">+F33-H33</f>
        <v>0</v>
      </c>
      <c r="J33" s="43" t="s">
        <v>268</v>
      </c>
      <c r="K33" s="43"/>
    </row>
    <row collapsed="false" customFormat="false" customHeight="true" hidden="false" ht="15" outlineLevel="0"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</row>
    <row collapsed="false" customFormat="false" customHeight="true" hidden="false" ht="15.75" outlineLevel="0" r="35">
      <c r="A35" s="7" t="s">
        <v>46</v>
      </c>
      <c r="B35" s="7" t="s">
        <v>269</v>
      </c>
      <c r="C35" s="6" t="n">
        <v>41320</v>
      </c>
      <c r="D35" s="7" t="n">
        <v>28</v>
      </c>
      <c r="E35" s="7"/>
      <c r="F35" s="7"/>
      <c r="G35" s="37" t="n">
        <f aca="false">+D35-F35</f>
        <v>28</v>
      </c>
      <c r="H35" s="7"/>
      <c r="I35" s="7" t="n">
        <f aca="false">+F35-H35</f>
        <v>0</v>
      </c>
      <c r="J35" s="7" t="s">
        <v>268</v>
      </c>
      <c r="K35" s="43"/>
    </row>
    <row collapsed="false" customFormat="false" customHeight="true" hidden="false" ht="15.75" outlineLevel="0" r="36">
      <c r="A36" s="40"/>
      <c r="B36" s="40"/>
      <c r="C36" s="40"/>
      <c r="D36" s="40"/>
      <c r="E36" s="40"/>
      <c r="F36" s="40"/>
      <c r="G36" s="40" t="n">
        <f aca="false">+D36-F36</f>
        <v>0</v>
      </c>
      <c r="H36" s="40"/>
      <c r="I36" s="40" t="n">
        <f aca="false">+F36-H36</f>
        <v>0</v>
      </c>
      <c r="J36" s="40"/>
      <c r="K36" s="40"/>
    </row>
    <row collapsed="false" customFormat="false" customHeight="true" hidden="false" ht="15.75" outlineLevel="0" r="37">
      <c r="A37" s="7" t="s">
        <v>60</v>
      </c>
      <c r="B37" s="7" t="s">
        <v>270</v>
      </c>
      <c r="C37" s="6" t="n">
        <v>41332</v>
      </c>
      <c r="D37" s="7" t="n">
        <v>43</v>
      </c>
      <c r="E37" s="7"/>
      <c r="F37" s="7"/>
      <c r="G37" s="37" t="n">
        <f aca="false">+D37-F37</f>
        <v>43</v>
      </c>
      <c r="H37" s="7"/>
      <c r="I37" s="7" t="n">
        <f aca="false">+F37-H37</f>
        <v>0</v>
      </c>
      <c r="J37" s="7" t="s">
        <v>271</v>
      </c>
      <c r="K37" s="43"/>
    </row>
    <row collapsed="false" customFormat="false" customHeight="true" hidden="false" ht="15.75" outlineLevel="0" r="38">
      <c r="A38" s="40"/>
      <c r="B38" s="40"/>
      <c r="C38" s="40"/>
      <c r="D38" s="40"/>
      <c r="E38" s="40"/>
      <c r="F38" s="40"/>
      <c r="G38" s="40" t="n">
        <f aca="false">+D38-F38</f>
        <v>0</v>
      </c>
      <c r="H38" s="40"/>
      <c r="I38" s="40" t="n">
        <f aca="false">+F38-H38</f>
        <v>0</v>
      </c>
      <c r="J38" s="40"/>
      <c r="K38" s="40"/>
    </row>
    <row collapsed="false" customFormat="false" customHeight="true" hidden="false" ht="15" outlineLevel="0" r="39">
      <c r="A39" s="41" t="n">
        <v>2012</v>
      </c>
      <c r="B39" s="42" t="s">
        <v>272</v>
      </c>
      <c r="C39" s="45" t="n">
        <v>41325</v>
      </c>
      <c r="D39" s="42" t="n">
        <v>121</v>
      </c>
      <c r="E39" s="6" t="n">
        <v>41337</v>
      </c>
      <c r="F39" s="43" t="n">
        <v>60</v>
      </c>
      <c r="G39" s="37" t="n">
        <f aca="false">+D39-F39</f>
        <v>61</v>
      </c>
      <c r="H39" s="43" t="n">
        <v>60</v>
      </c>
      <c r="I39" s="43" t="n">
        <f aca="false">+F39-H39</f>
        <v>0</v>
      </c>
      <c r="J39" s="42" t="s">
        <v>273</v>
      </c>
      <c r="K39" s="43" t="n">
        <v>8</v>
      </c>
    </row>
    <row collapsed="false" customFormat="false" customHeight="true" hidden="false" ht="15" outlineLevel="0" r="40">
      <c r="A40" s="41"/>
      <c r="B40" s="42"/>
      <c r="C40" s="45"/>
      <c r="D40" s="45"/>
      <c r="E40" s="6" t="n">
        <v>40976</v>
      </c>
      <c r="F40" s="7" t="n">
        <v>61</v>
      </c>
      <c r="G40" s="37" t="n">
        <f aca="false">+G39-F40</f>
        <v>0</v>
      </c>
      <c r="H40" s="7" t="n">
        <v>61</v>
      </c>
      <c r="I40" s="7" t="n">
        <v>0</v>
      </c>
      <c r="J40" s="42" t="s">
        <v>273</v>
      </c>
      <c r="K40" s="43" t="n">
        <v>12</v>
      </c>
    </row>
    <row collapsed="false" customFormat="false" customHeight="true" hidden="false" ht="15" outlineLevel="0"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</row>
    <row collapsed="false" customFormat="false" customHeight="true" hidden="false" ht="15" outlineLevel="0" r="42">
      <c r="A42" s="7" t="s">
        <v>82</v>
      </c>
      <c r="B42" s="7" t="s">
        <v>235</v>
      </c>
      <c r="C42" s="6" t="n">
        <v>41344</v>
      </c>
      <c r="D42" s="7" t="n">
        <v>78</v>
      </c>
      <c r="E42" s="6" t="n">
        <v>41355</v>
      </c>
      <c r="F42" s="7" t="n">
        <v>78</v>
      </c>
      <c r="G42" s="37"/>
      <c r="H42" s="7" t="n">
        <v>78</v>
      </c>
      <c r="I42" s="7" t="n">
        <f aca="false">+F42-H42</f>
        <v>0</v>
      </c>
      <c r="J42" s="7" t="s">
        <v>273</v>
      </c>
      <c r="K42" s="43" t="n">
        <v>10</v>
      </c>
    </row>
    <row collapsed="false" customFormat="false" customHeight="true" hidden="false" ht="15" outlineLevel="0"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</row>
    <row collapsed="false" customFormat="false" customHeight="true" hidden="false" ht="15" outlineLevel="0" r="44">
      <c r="A44" s="7" t="n">
        <v>2012</v>
      </c>
      <c r="B44" s="7" t="s">
        <v>274</v>
      </c>
      <c r="C44" s="6" t="n">
        <v>41233</v>
      </c>
      <c r="D44" s="7" t="n">
        <v>60</v>
      </c>
      <c r="E44" s="6" t="n">
        <v>41334</v>
      </c>
      <c r="F44" s="7" t="n">
        <v>60</v>
      </c>
      <c r="G44" s="37" t="n">
        <f aca="false">+D44-F44</f>
        <v>0</v>
      </c>
      <c r="H44" s="7" t="n">
        <v>60</v>
      </c>
      <c r="I44" s="7" t="n">
        <f aca="false">+F44-H44</f>
        <v>0</v>
      </c>
      <c r="J44" s="7" t="s">
        <v>273</v>
      </c>
      <c r="K44" s="43" t="n">
        <v>42</v>
      </c>
    </row>
    <row collapsed="false" customFormat="false" customHeight="true" hidden="false" ht="15" outlineLevel="0"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</row>
    <row collapsed="false" customFormat="false" customHeight="true" hidden="false" ht="15" outlineLevel="0" r="46">
      <c r="A46" s="46" t="s">
        <v>50</v>
      </c>
      <c r="B46" s="46" t="s">
        <v>275</v>
      </c>
      <c r="C46" s="45" t="n">
        <v>41333</v>
      </c>
      <c r="D46" s="41" t="n">
        <v>45</v>
      </c>
      <c r="E46" s="6" t="n">
        <v>41341</v>
      </c>
      <c r="F46" s="7" t="n">
        <v>42</v>
      </c>
      <c r="G46" s="37" t="n">
        <f aca="false">+D46-F46</f>
        <v>3</v>
      </c>
      <c r="H46" s="7" t="n">
        <v>42</v>
      </c>
      <c r="I46" s="7" t="n">
        <f aca="false">+F46-H46</f>
        <v>0</v>
      </c>
      <c r="J46" s="46" t="s">
        <v>273</v>
      </c>
      <c r="K46" s="43" t="n">
        <v>6</v>
      </c>
    </row>
    <row collapsed="false" customFormat="false" customHeight="true" hidden="false" ht="15" outlineLevel="0" r="47">
      <c r="A47" s="46"/>
      <c r="B47" s="46"/>
      <c r="C47" s="45"/>
      <c r="D47" s="45"/>
      <c r="E47" s="6" t="n">
        <v>41348</v>
      </c>
      <c r="F47" s="7" t="n">
        <v>3</v>
      </c>
      <c r="G47" s="37" t="n">
        <f aca="false">+G46-F47</f>
        <v>0</v>
      </c>
      <c r="H47" s="7" t="n">
        <v>3</v>
      </c>
      <c r="I47" s="7" t="n">
        <f aca="false">+F47-H47</f>
        <v>0</v>
      </c>
      <c r="J47" s="46"/>
      <c r="K47" s="43" t="n">
        <v>12</v>
      </c>
    </row>
    <row collapsed="false" customFormat="false" customHeight="true" hidden="false" ht="15" outlineLevel="0" r="48">
      <c r="A48" s="46"/>
      <c r="B48" s="46"/>
      <c r="C48" s="6" t="n">
        <v>41340</v>
      </c>
      <c r="D48" s="7" t="n">
        <v>45</v>
      </c>
      <c r="E48" s="6" t="n">
        <v>41348</v>
      </c>
      <c r="F48" s="7" t="n">
        <v>45</v>
      </c>
      <c r="G48" s="37" t="n">
        <f aca="false">+D48-F48</f>
        <v>0</v>
      </c>
      <c r="H48" s="7" t="n">
        <v>45</v>
      </c>
      <c r="I48" s="7" t="n">
        <f aca="false">+F48-H48</f>
        <v>0</v>
      </c>
      <c r="J48" s="46"/>
      <c r="K48" s="43" t="n">
        <v>7</v>
      </c>
    </row>
    <row collapsed="false" customFormat="false" customHeight="true" hidden="false" ht="15" outlineLevel="0"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</row>
    <row collapsed="false" customFormat="false" customHeight="true" hidden="false" ht="15" outlineLevel="0" r="50">
      <c r="A50" s="7" t="s">
        <v>76</v>
      </c>
      <c r="B50" s="7" t="s">
        <v>276</v>
      </c>
      <c r="C50" s="6" t="n">
        <v>41347</v>
      </c>
      <c r="D50" s="7" t="n">
        <v>68</v>
      </c>
      <c r="E50" s="6"/>
      <c r="F50" s="7"/>
      <c r="G50" s="37" t="n">
        <f aca="false">+D50-F50</f>
        <v>68</v>
      </c>
      <c r="H50" s="7"/>
      <c r="I50" s="7" t="n">
        <f aca="false">+F50-H50</f>
        <v>0</v>
      </c>
      <c r="J50" s="7" t="s">
        <v>273</v>
      </c>
      <c r="K50" s="43"/>
    </row>
    <row collapsed="false" customFormat="false" customHeight="true" hidden="false" ht="15" outlineLevel="0"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</row>
    <row collapsed="false" customFormat="false" customHeight="true" hidden="false" ht="15" outlineLevel="0" r="52">
      <c r="A52" s="7" t="s">
        <v>79</v>
      </c>
      <c r="B52" s="7" t="s">
        <v>277</v>
      </c>
      <c r="C52" s="6" t="n">
        <v>41365</v>
      </c>
      <c r="D52" s="7" t="n">
        <v>64</v>
      </c>
      <c r="E52" s="6"/>
      <c r="F52" s="7"/>
      <c r="G52" s="37" t="n">
        <f aca="false">+D52</f>
        <v>64</v>
      </c>
      <c r="H52" s="7"/>
      <c r="I52" s="7"/>
      <c r="J52" s="7" t="s">
        <v>273</v>
      </c>
      <c r="K52" s="43"/>
    </row>
    <row collapsed="false" customFormat="false" customHeight="true" hidden="false" ht="15" outlineLevel="0"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</row>
    <row collapsed="false" customFormat="false" customHeight="true" hidden="false" ht="15" outlineLevel="0" r="54">
      <c r="A54" s="7" t="s">
        <v>116</v>
      </c>
      <c r="B54" s="7" t="s">
        <v>278</v>
      </c>
      <c r="C54" s="6" t="n">
        <v>41366</v>
      </c>
      <c r="D54" s="7" t="n">
        <v>20</v>
      </c>
      <c r="E54" s="6"/>
      <c r="F54" s="7"/>
      <c r="G54" s="37" t="n">
        <f aca="false">+D54</f>
        <v>20</v>
      </c>
      <c r="H54" s="7"/>
      <c r="I54" s="7"/>
      <c r="J54" s="7"/>
      <c r="K54" s="43"/>
    </row>
    <row collapsed="false" customFormat="false" customHeight="true" hidden="false" ht="15.75" outlineLevel="0" r="55">
      <c r="A55" s="7"/>
      <c r="B55" s="7"/>
      <c r="C55" s="6"/>
      <c r="D55" s="7"/>
      <c r="E55" s="6"/>
      <c r="F55" s="7"/>
      <c r="G55" s="37"/>
      <c r="H55" s="7"/>
      <c r="I55" s="7"/>
      <c r="J55" s="7"/>
      <c r="K55" s="43"/>
    </row>
    <row collapsed="false" customFormat="false" customHeight="true" hidden="false" ht="15.75" outlineLevel="0" r="56">
      <c r="A56" s="40"/>
      <c r="B56" s="40"/>
      <c r="C56" s="40"/>
      <c r="D56" s="40"/>
      <c r="E56" s="40"/>
      <c r="F56" s="40"/>
      <c r="G56" s="40" t="n">
        <f aca="false">+D56-F56</f>
        <v>0</v>
      </c>
      <c r="H56" s="40"/>
      <c r="I56" s="40" t="n">
        <f aca="false">+F56-H56</f>
        <v>0</v>
      </c>
      <c r="J56" s="40"/>
      <c r="K56" s="40"/>
    </row>
    <row collapsed="false" customFormat="false" customHeight="true" hidden="false" ht="15" outlineLevel="0" r="57">
      <c r="A57" s="48" t="n">
        <v>2012</v>
      </c>
      <c r="B57" s="46" t="s">
        <v>279</v>
      </c>
      <c r="C57" s="45" t="n">
        <v>41338</v>
      </c>
      <c r="D57" s="42" t="n">
        <v>42</v>
      </c>
      <c r="E57" s="6" t="n">
        <v>41341</v>
      </c>
      <c r="F57" s="43" t="n">
        <v>24</v>
      </c>
      <c r="G57" s="37" t="n">
        <f aca="false">+D57-F57</f>
        <v>18</v>
      </c>
      <c r="H57" s="43" t="n">
        <v>20</v>
      </c>
      <c r="I57" s="43" t="n">
        <f aca="false">+F57-H57</f>
        <v>4</v>
      </c>
      <c r="J57" s="46" t="s">
        <v>280</v>
      </c>
      <c r="K57" s="43" t="n">
        <v>3</v>
      </c>
    </row>
    <row collapsed="false" customFormat="false" customHeight="true" hidden="false" ht="15" outlineLevel="0" r="58">
      <c r="A58" s="48"/>
      <c r="B58" s="46"/>
      <c r="C58" s="45"/>
      <c r="D58" s="45"/>
      <c r="E58" s="6" t="n">
        <v>41348</v>
      </c>
      <c r="F58" s="43" t="n">
        <v>18</v>
      </c>
      <c r="G58" s="37" t="n">
        <f aca="false">+G57-F58</f>
        <v>0</v>
      </c>
      <c r="H58" s="43" t="n">
        <v>18</v>
      </c>
      <c r="I58" s="43" t="n">
        <f aca="false">+F58-H58</f>
        <v>0</v>
      </c>
      <c r="J58" s="46"/>
      <c r="K58" s="43" t="n">
        <v>9</v>
      </c>
    </row>
    <row collapsed="false" customFormat="false" customHeight="true" hidden="false" ht="15" outlineLevel="0" r="59">
      <c r="A59" s="48"/>
      <c r="B59" s="46"/>
      <c r="C59" s="6" t="n">
        <v>41344</v>
      </c>
      <c r="D59" s="7" t="n">
        <v>42</v>
      </c>
      <c r="E59" s="6" t="n">
        <v>41348</v>
      </c>
      <c r="F59" s="7" t="n">
        <v>42</v>
      </c>
      <c r="G59" s="37" t="n">
        <f aca="false">+D59-F59</f>
        <v>0</v>
      </c>
      <c r="H59" s="7" t="n">
        <v>41</v>
      </c>
      <c r="I59" s="43" t="n">
        <f aca="false">+F59-H59</f>
        <v>1</v>
      </c>
      <c r="J59" s="46"/>
      <c r="K59" s="43" t="n">
        <v>4</v>
      </c>
    </row>
    <row collapsed="false" customFormat="false" customHeight="true" hidden="false" ht="15" outlineLevel="0"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</row>
    <row collapsed="false" customFormat="false" customHeight="true" hidden="false" ht="15" outlineLevel="0" r="61">
      <c r="A61" s="42" t="s">
        <v>82</v>
      </c>
      <c r="B61" s="41" t="s">
        <v>235</v>
      </c>
      <c r="C61" s="45" t="n">
        <v>41344</v>
      </c>
      <c r="D61" s="41" t="n">
        <v>112</v>
      </c>
      <c r="E61" s="6" t="n">
        <v>41355</v>
      </c>
      <c r="F61" s="7" t="n">
        <v>28</v>
      </c>
      <c r="G61" s="37" t="n">
        <f aca="false">+D61-F61</f>
        <v>84</v>
      </c>
      <c r="H61" s="7" t="n">
        <v>18</v>
      </c>
      <c r="I61" s="7" t="n">
        <f aca="false">+F61-H61</f>
        <v>10</v>
      </c>
      <c r="J61" s="7" t="s">
        <v>280</v>
      </c>
      <c r="K61" s="43" t="n">
        <v>10</v>
      </c>
    </row>
    <row collapsed="false" customFormat="false" customHeight="true" hidden="false" ht="15" outlineLevel="0" r="62">
      <c r="A62" s="42"/>
      <c r="B62" s="41"/>
      <c r="C62" s="41"/>
      <c r="D62" s="41"/>
      <c r="E62" s="6"/>
      <c r="F62" s="7"/>
      <c r="G62" s="37" t="n">
        <f aca="false">+G61-F62</f>
        <v>84</v>
      </c>
      <c r="H62" s="7"/>
      <c r="I62" s="7"/>
      <c r="J62" s="7"/>
      <c r="K62" s="43"/>
    </row>
    <row collapsed="false" customFormat="false" customHeight="true" hidden="false" ht="15" outlineLevel="0"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</row>
    <row collapsed="false" customFormat="false" customHeight="true" hidden="false" ht="15" outlineLevel="0" r="64">
      <c r="A64" s="42" t="s">
        <v>79</v>
      </c>
      <c r="B64" s="41" t="s">
        <v>272</v>
      </c>
      <c r="C64" s="6" t="n">
        <v>41344</v>
      </c>
      <c r="D64" s="7" t="n">
        <v>64</v>
      </c>
      <c r="E64" s="6" t="n">
        <v>41355</v>
      </c>
      <c r="F64" s="7" t="n">
        <v>64</v>
      </c>
      <c r="G64" s="37" t="n">
        <f aca="false">+D64-F64</f>
        <v>0</v>
      </c>
      <c r="H64" s="7" t="n">
        <v>61</v>
      </c>
      <c r="I64" s="7" t="n">
        <f aca="false">+F64-H64</f>
        <v>3</v>
      </c>
      <c r="J64" s="7" t="s">
        <v>280</v>
      </c>
      <c r="K64" s="43" t="n">
        <v>10</v>
      </c>
    </row>
    <row collapsed="false" customFormat="false" customHeight="true" hidden="false" ht="15" outlineLevel="0" r="65">
      <c r="A65" s="42"/>
      <c r="B65" s="41"/>
      <c r="C65" s="45" t="n">
        <v>41348</v>
      </c>
      <c r="D65" s="41" t="n">
        <v>64</v>
      </c>
      <c r="E65" s="6" t="n">
        <v>41355</v>
      </c>
      <c r="F65" s="7" t="n">
        <v>24</v>
      </c>
      <c r="G65" s="37" t="n">
        <f aca="false">+D65-F65</f>
        <v>40</v>
      </c>
      <c r="H65" s="7" t="n">
        <v>24</v>
      </c>
      <c r="I65" s="7" t="n">
        <f aca="false">+F65-H65</f>
        <v>0</v>
      </c>
      <c r="J65" s="7"/>
      <c r="K65" s="43" t="n">
        <v>7</v>
      </c>
    </row>
    <row collapsed="false" customFormat="false" customHeight="true" hidden="false" ht="15" outlineLevel="0" r="66">
      <c r="A66" s="42"/>
      <c r="B66" s="41"/>
      <c r="C66" s="45"/>
      <c r="D66" s="45"/>
      <c r="E66" s="6"/>
      <c r="F66" s="7"/>
      <c r="G66" s="37" t="n">
        <f aca="false">+G65-F66</f>
        <v>40</v>
      </c>
      <c r="H66" s="7"/>
      <c r="I66" s="7"/>
      <c r="J66" s="7"/>
      <c r="K66" s="43"/>
    </row>
    <row collapsed="false" customFormat="false" customHeight="true" hidden="false" ht="15" outlineLevel="0"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</row>
    <row collapsed="false" customFormat="false" customHeight="true" hidden="false" ht="15" outlineLevel="0" r="68">
      <c r="A68" s="42" t="s">
        <v>92</v>
      </c>
      <c r="B68" s="41" t="s">
        <v>281</v>
      </c>
      <c r="C68" s="45" t="n">
        <v>41347</v>
      </c>
      <c r="D68" s="41" t="n">
        <v>125</v>
      </c>
      <c r="E68" s="6" t="n">
        <v>41354</v>
      </c>
      <c r="F68" s="7" t="n">
        <v>56</v>
      </c>
      <c r="G68" s="37" t="n">
        <f aca="false">+D68-F68</f>
        <v>69</v>
      </c>
      <c r="H68" s="7" t="n">
        <v>47</v>
      </c>
      <c r="I68" s="7" t="n">
        <f aca="false">+F68-H68</f>
        <v>9</v>
      </c>
      <c r="J68" s="7" t="s">
        <v>280</v>
      </c>
      <c r="K68" s="43" t="n">
        <v>6</v>
      </c>
    </row>
    <row collapsed="false" customFormat="false" customHeight="true" hidden="false" ht="15" outlineLevel="0" r="69">
      <c r="A69" s="42"/>
      <c r="B69" s="41"/>
      <c r="C69" s="41"/>
      <c r="D69" s="41"/>
      <c r="E69" s="6"/>
      <c r="F69" s="7"/>
      <c r="G69" s="37" t="n">
        <f aca="false">+G68-F69</f>
        <v>69</v>
      </c>
      <c r="H69" s="7"/>
      <c r="I69" s="7"/>
      <c r="J69" s="7"/>
      <c r="K69" s="43"/>
    </row>
    <row collapsed="false" customFormat="false" customHeight="true" hidden="false" ht="15" outlineLevel="0"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</row>
    <row collapsed="false" customFormat="false" customHeight="true" hidden="false" ht="15" outlineLevel="0" r="71">
      <c r="A71" s="42" t="s">
        <v>76</v>
      </c>
      <c r="B71" s="42" t="s">
        <v>282</v>
      </c>
      <c r="C71" s="45" t="n">
        <v>41352</v>
      </c>
      <c r="D71" s="42" t="n">
        <v>64</v>
      </c>
      <c r="E71" s="6"/>
      <c r="F71" s="7"/>
      <c r="G71" s="37" t="n">
        <f aca="false">+D71-F71</f>
        <v>64</v>
      </c>
      <c r="H71" s="7"/>
      <c r="I71" s="7" t="n">
        <f aca="false">+F71-H71</f>
        <v>0</v>
      </c>
      <c r="J71" s="7" t="s">
        <v>280</v>
      </c>
      <c r="K71" s="43"/>
    </row>
    <row collapsed="false" customFormat="false" customHeight="true" hidden="false" ht="15.75" outlineLevel="0" r="72">
      <c r="A72" s="42"/>
      <c r="B72" s="42"/>
      <c r="C72" s="42"/>
      <c r="D72" s="42"/>
      <c r="E72" s="6"/>
      <c r="F72" s="7"/>
      <c r="G72" s="37" t="n">
        <f aca="false">+G71-F72</f>
        <v>64</v>
      </c>
      <c r="H72" s="7"/>
      <c r="I72" s="7"/>
      <c r="J72" s="7"/>
      <c r="K72" s="43"/>
    </row>
    <row collapsed="false" customFormat="false" customHeight="true" hidden="false" ht="15.75" outlineLevel="0" r="73">
      <c r="A73" s="40"/>
      <c r="B73" s="40"/>
      <c r="C73" s="40"/>
      <c r="D73" s="40"/>
      <c r="E73" s="40"/>
      <c r="F73" s="40"/>
      <c r="G73" s="40" t="n">
        <f aca="false">+D73-F73</f>
        <v>0</v>
      </c>
      <c r="H73" s="40"/>
      <c r="I73" s="40" t="n">
        <f aca="false">+F73-H73</f>
        <v>0</v>
      </c>
      <c r="J73" s="40"/>
      <c r="K73" s="40"/>
    </row>
    <row collapsed="false" customFormat="false" customHeight="true" hidden="false" ht="15" outlineLevel="0" r="74">
      <c r="A74" s="41" t="s">
        <v>283</v>
      </c>
      <c r="B74" s="42" t="s">
        <v>284</v>
      </c>
      <c r="C74" s="45" t="n">
        <v>41333</v>
      </c>
      <c r="D74" s="42" t="n">
        <f aca="false">72+42</f>
        <v>114</v>
      </c>
      <c r="E74" s="6" t="n">
        <v>41341</v>
      </c>
      <c r="F74" s="43" t="n">
        <v>72</v>
      </c>
      <c r="G74" s="37" t="n">
        <f aca="false">+D74-F74</f>
        <v>42</v>
      </c>
      <c r="H74" s="43" t="n">
        <v>72</v>
      </c>
      <c r="I74" s="43" t="n">
        <f aca="false">+F74-H74</f>
        <v>0</v>
      </c>
      <c r="J74" s="42" t="s">
        <v>285</v>
      </c>
      <c r="K74" s="43" t="n">
        <v>6</v>
      </c>
    </row>
    <row collapsed="false" customFormat="false" customHeight="true" hidden="false" ht="15" outlineLevel="0" r="75">
      <c r="A75" s="41"/>
      <c r="B75" s="42"/>
      <c r="C75" s="42"/>
      <c r="D75" s="42"/>
      <c r="E75" s="6" t="n">
        <v>41355</v>
      </c>
      <c r="F75" s="7" t="n">
        <v>42</v>
      </c>
      <c r="G75" s="37" t="n">
        <f aca="false">+G74-F75</f>
        <v>0</v>
      </c>
      <c r="H75" s="7" t="n">
        <v>42</v>
      </c>
      <c r="I75" s="7" t="n">
        <f aca="false">+F75-H75</f>
        <v>0</v>
      </c>
      <c r="J75" s="42"/>
      <c r="K75" s="43" t="n">
        <v>18</v>
      </c>
    </row>
    <row collapsed="false" customFormat="false" customHeight="true" hidden="false" ht="15" outlineLevel="0"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</row>
    <row collapsed="false" customFormat="false" customHeight="true" hidden="false" ht="15" outlineLevel="0" r="77">
      <c r="A77" s="42" t="n">
        <v>2012</v>
      </c>
      <c r="B77" s="41" t="s">
        <v>286</v>
      </c>
      <c r="C77" s="45" t="n">
        <v>41333</v>
      </c>
      <c r="D77" s="41" t="n">
        <f aca="false">16+24</f>
        <v>40</v>
      </c>
      <c r="E77" s="6" t="n">
        <v>41341</v>
      </c>
      <c r="F77" s="7" t="n">
        <v>16</v>
      </c>
      <c r="G77" s="37" t="n">
        <f aca="false">+D77-F77</f>
        <v>24</v>
      </c>
      <c r="H77" s="7" t="n">
        <v>16</v>
      </c>
      <c r="I77" s="7" t="n">
        <f aca="false">+F77-H77</f>
        <v>0</v>
      </c>
      <c r="J77" s="41" t="s">
        <v>285</v>
      </c>
      <c r="K77" s="43" t="n">
        <v>6</v>
      </c>
    </row>
    <row collapsed="false" customFormat="false" customHeight="true" hidden="false" ht="15" outlineLevel="0" r="78">
      <c r="A78" s="42"/>
      <c r="B78" s="41"/>
      <c r="C78" s="41"/>
      <c r="D78" s="41"/>
      <c r="E78" s="6" t="n">
        <v>41355</v>
      </c>
      <c r="F78" s="7" t="n">
        <v>24</v>
      </c>
      <c r="G78" s="37" t="n">
        <f aca="false">+G77-F78</f>
        <v>0</v>
      </c>
      <c r="H78" s="7" t="n">
        <v>24</v>
      </c>
      <c r="I78" s="7" t="n">
        <f aca="false">+F78-H78</f>
        <v>0</v>
      </c>
      <c r="J78" s="41"/>
      <c r="K78" s="43" t="n">
        <v>18</v>
      </c>
    </row>
    <row collapsed="false" customFormat="false" customHeight="true" hidden="false" ht="15" outlineLevel="0"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</row>
    <row collapsed="false" customFormat="false" customHeight="true" hidden="false" ht="15" outlineLevel="0" r="80">
      <c r="A80" s="7" t="s">
        <v>82</v>
      </c>
      <c r="B80" s="7" t="s">
        <v>235</v>
      </c>
      <c r="C80" s="6" t="n">
        <v>41348</v>
      </c>
      <c r="D80" s="7" t="n">
        <v>76</v>
      </c>
      <c r="E80" s="6"/>
      <c r="F80" s="7"/>
      <c r="G80" s="37" t="n">
        <f aca="false">+D80-F80</f>
        <v>76</v>
      </c>
      <c r="H80" s="7"/>
      <c r="I80" s="7" t="n">
        <f aca="false">+F80-H80</f>
        <v>0</v>
      </c>
      <c r="J80" s="7" t="s">
        <v>285</v>
      </c>
      <c r="K80" s="43"/>
    </row>
    <row collapsed="false" customFormat="false" customHeight="true" hidden="false" ht="15" outlineLevel="0"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</row>
    <row collapsed="false" customFormat="false" customHeight="true" hidden="false" ht="15" outlineLevel="0" r="82">
      <c r="A82" s="42" t="s">
        <v>283</v>
      </c>
      <c r="B82" s="42" t="s">
        <v>287</v>
      </c>
      <c r="C82" s="45" t="n">
        <v>41333</v>
      </c>
      <c r="D82" s="42" t="n">
        <v>19</v>
      </c>
      <c r="E82" s="6" t="n">
        <v>41355</v>
      </c>
      <c r="F82" s="7" t="n">
        <v>19</v>
      </c>
      <c r="G82" s="37" t="n">
        <f aca="false">+D82-F82</f>
        <v>0</v>
      </c>
      <c r="H82" s="7" t="n">
        <v>19</v>
      </c>
      <c r="I82" s="7" t="n">
        <f aca="false">+F82-H82</f>
        <v>0</v>
      </c>
      <c r="J82" s="42" t="s">
        <v>285</v>
      </c>
      <c r="K82" s="43" t="n">
        <v>18</v>
      </c>
    </row>
    <row collapsed="false" customFormat="false" customHeight="true" hidden="false" ht="15.75" outlineLevel="0" r="83">
      <c r="A83" s="42"/>
      <c r="B83" s="42"/>
      <c r="C83" s="42"/>
      <c r="D83" s="42"/>
      <c r="E83" s="6"/>
      <c r="F83" s="7"/>
      <c r="G83" s="37" t="n">
        <f aca="false">+G82-F83</f>
        <v>0</v>
      </c>
      <c r="H83" s="7" t="n">
        <v>0</v>
      </c>
      <c r="I83" s="7" t="n">
        <f aca="false">+F83-H83</f>
        <v>0</v>
      </c>
      <c r="J83" s="42"/>
      <c r="K83" s="43"/>
    </row>
    <row collapsed="false" customFormat="false" customHeight="true" hidden="false" ht="15.75" outlineLevel="0" r="84">
      <c r="A84" s="40"/>
      <c r="B84" s="40"/>
      <c r="C84" s="40"/>
      <c r="D84" s="40"/>
      <c r="E84" s="40"/>
      <c r="F84" s="40"/>
      <c r="G84" s="40" t="n">
        <f aca="false">+D84-F84</f>
        <v>0</v>
      </c>
      <c r="H84" s="40"/>
      <c r="I84" s="40" t="n">
        <f aca="false">+F84-H84</f>
        <v>0</v>
      </c>
      <c r="J84" s="40"/>
      <c r="K84" s="40"/>
    </row>
    <row collapsed="false" customFormat="false" customHeight="true" hidden="false" ht="15" outlineLevel="0" r="85">
      <c r="A85" s="7" t="s">
        <v>49</v>
      </c>
      <c r="B85" s="43" t="s">
        <v>288</v>
      </c>
      <c r="C85" s="6" t="n">
        <v>41323</v>
      </c>
      <c r="D85" s="43" t="n">
        <v>39</v>
      </c>
      <c r="E85" s="6" t="n">
        <v>41354</v>
      </c>
      <c r="F85" s="43" t="n">
        <v>39</v>
      </c>
      <c r="G85" s="37" t="n">
        <f aca="false">+D85-F85</f>
        <v>0</v>
      </c>
      <c r="H85" s="43" t="n">
        <v>38</v>
      </c>
      <c r="I85" s="43" t="n">
        <f aca="false">+F85-H85</f>
        <v>1</v>
      </c>
      <c r="J85" s="43" t="s">
        <v>289</v>
      </c>
      <c r="K85" s="43" t="n">
        <v>25</v>
      </c>
    </row>
    <row collapsed="false" customFormat="false" customHeight="true" hidden="false" ht="15" outlineLevel="0"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</row>
    <row collapsed="false" customFormat="false" customHeight="true" hidden="false" ht="15.75" outlineLevel="0" r="87">
      <c r="A87" s="7" t="s">
        <v>89</v>
      </c>
      <c r="B87" s="7" t="s">
        <v>290</v>
      </c>
      <c r="C87" s="6" t="n">
        <v>41354</v>
      </c>
      <c r="D87" s="7" t="n">
        <v>100</v>
      </c>
      <c r="E87" s="6"/>
      <c r="F87" s="7"/>
      <c r="G87" s="37" t="n">
        <f aca="false">+D87-F87</f>
        <v>100</v>
      </c>
      <c r="H87" s="7"/>
      <c r="I87" s="7" t="n">
        <f aca="false">+F87-H87</f>
        <v>0</v>
      </c>
      <c r="J87" s="7" t="s">
        <v>289</v>
      </c>
      <c r="K87" s="43"/>
    </row>
    <row collapsed="false" customFormat="false" customHeight="true" hidden="false" ht="15.75" outlineLevel="0" r="88">
      <c r="A88" s="40"/>
      <c r="B88" s="40"/>
      <c r="C88" s="40"/>
      <c r="D88" s="40"/>
      <c r="E88" s="40"/>
      <c r="F88" s="40"/>
      <c r="G88" s="40" t="n">
        <f aca="false">+D88-F88</f>
        <v>0</v>
      </c>
      <c r="H88" s="40"/>
      <c r="I88" s="40" t="n">
        <f aca="false">+F88-H88</f>
        <v>0</v>
      </c>
      <c r="J88" s="40"/>
      <c r="K88" s="40"/>
    </row>
    <row collapsed="false" customFormat="false" customHeight="true" hidden="false" ht="15" outlineLevel="0" r="89">
      <c r="A89" s="7" t="s">
        <v>39</v>
      </c>
      <c r="B89" s="43" t="s">
        <v>288</v>
      </c>
      <c r="C89" s="6" t="n">
        <v>41323</v>
      </c>
      <c r="D89" s="43" t="n">
        <v>39</v>
      </c>
      <c r="E89" s="6" t="n">
        <v>41354</v>
      </c>
      <c r="F89" s="43" t="n">
        <v>39</v>
      </c>
      <c r="G89" s="37" t="n">
        <f aca="false">+D89-F89</f>
        <v>0</v>
      </c>
      <c r="H89" s="43" t="n">
        <v>39</v>
      </c>
      <c r="I89" s="43" t="n">
        <f aca="false">+F89-H89</f>
        <v>0</v>
      </c>
      <c r="J89" s="43" t="s">
        <v>291</v>
      </c>
      <c r="K89" s="43" t="n">
        <v>25</v>
      </c>
    </row>
    <row collapsed="false" customFormat="false" customHeight="true" hidden="false" ht="15" outlineLevel="0"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collapsed="false" customFormat="false" customHeight="true" hidden="false" ht="15" outlineLevel="0" r="91">
      <c r="A91" s="7" t="s">
        <v>283</v>
      </c>
      <c r="B91" s="7" t="s">
        <v>292</v>
      </c>
      <c r="C91" s="6" t="n">
        <v>41353</v>
      </c>
      <c r="D91" s="7" t="n">
        <v>78</v>
      </c>
      <c r="E91" s="6"/>
      <c r="F91" s="7"/>
      <c r="G91" s="37" t="n">
        <f aca="false">+D91-F91</f>
        <v>78</v>
      </c>
      <c r="H91" s="7"/>
      <c r="I91" s="7" t="n">
        <f aca="false">+F91-H91</f>
        <v>0</v>
      </c>
      <c r="J91" s="7" t="s">
        <v>291</v>
      </c>
      <c r="K91" s="43"/>
    </row>
    <row collapsed="false" customFormat="false" customHeight="true" hidden="false" ht="15" outlineLevel="0"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collapsed="false" customFormat="false" customHeight="true" hidden="false" ht="15" outlineLevel="0" r="93">
      <c r="A93" s="42" t="s">
        <v>283</v>
      </c>
      <c r="B93" s="41" t="s">
        <v>100</v>
      </c>
      <c r="C93" s="6" t="n">
        <v>41344</v>
      </c>
      <c r="D93" s="7" t="n">
        <v>69</v>
      </c>
      <c r="E93" s="6" t="n">
        <v>41354</v>
      </c>
      <c r="F93" s="7" t="n">
        <v>69</v>
      </c>
      <c r="G93" s="37" t="n">
        <f aca="false">+D93-F93</f>
        <v>0</v>
      </c>
      <c r="H93" s="7" t="n">
        <v>69</v>
      </c>
      <c r="I93" s="7" t="n">
        <f aca="false">+F93-H93</f>
        <v>0</v>
      </c>
      <c r="J93" s="41" t="s">
        <v>291</v>
      </c>
      <c r="K93" s="43" t="n">
        <v>9</v>
      </c>
    </row>
    <row collapsed="false" customFormat="false" customHeight="true" hidden="false" ht="15" outlineLevel="0" r="94">
      <c r="A94" s="42"/>
      <c r="B94" s="41"/>
      <c r="C94" s="6" t="n">
        <v>41353</v>
      </c>
      <c r="D94" s="7" t="n">
        <v>190</v>
      </c>
      <c r="E94" s="6"/>
      <c r="F94" s="7"/>
      <c r="G94" s="37" t="n">
        <f aca="false">+D94-F94</f>
        <v>190</v>
      </c>
      <c r="H94" s="7"/>
      <c r="I94" s="7" t="n">
        <f aca="false">+F94-H94</f>
        <v>0</v>
      </c>
      <c r="J94" s="41"/>
      <c r="K94" s="43"/>
    </row>
    <row collapsed="false" customFormat="false" customHeight="true" hidden="false" ht="15" outlineLevel="0"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</row>
    <row collapsed="false" customFormat="false" customHeight="true" hidden="false" ht="15.75" outlineLevel="0" r="96">
      <c r="A96" s="7" t="s">
        <v>283</v>
      </c>
      <c r="B96" s="7" t="s">
        <v>293</v>
      </c>
      <c r="C96" s="6" t="n">
        <v>41353</v>
      </c>
      <c r="D96" s="7" t="n">
        <v>75</v>
      </c>
      <c r="E96" s="6"/>
      <c r="F96" s="7"/>
      <c r="G96" s="37" t="n">
        <f aca="false">+D96-F96</f>
        <v>75</v>
      </c>
      <c r="H96" s="7"/>
      <c r="I96" s="7" t="n">
        <f aca="false">+F96-H96</f>
        <v>0</v>
      </c>
      <c r="J96" s="7" t="s">
        <v>291</v>
      </c>
      <c r="K96" s="43"/>
    </row>
    <row collapsed="false" customFormat="false" customHeight="true" hidden="false" ht="15.75" outlineLevel="0" r="97">
      <c r="A97" s="40"/>
      <c r="B97" s="40"/>
      <c r="C97" s="40"/>
      <c r="D97" s="40"/>
      <c r="E97" s="40"/>
      <c r="F97" s="40"/>
      <c r="G97" s="40" t="n">
        <f aca="false">+D97-F97</f>
        <v>0</v>
      </c>
      <c r="H97" s="40"/>
      <c r="I97" s="40" t="n">
        <f aca="false">+F97-H97</f>
        <v>0</v>
      </c>
      <c r="J97" s="40"/>
      <c r="K97" s="40"/>
    </row>
    <row collapsed="false" customFormat="false" customHeight="true" hidden="false" ht="15" outlineLevel="0" r="98">
      <c r="A98" s="7" t="s">
        <v>49</v>
      </c>
      <c r="B98" s="43" t="s">
        <v>288</v>
      </c>
      <c r="C98" s="6" t="n">
        <v>41324</v>
      </c>
      <c r="D98" s="43" t="n">
        <v>39</v>
      </c>
      <c r="E98" s="6" t="n">
        <v>41354</v>
      </c>
      <c r="F98" s="43" t="n">
        <v>39</v>
      </c>
      <c r="G98" s="37" t="n">
        <f aca="false">+D98-F98</f>
        <v>0</v>
      </c>
      <c r="H98" s="43" t="n">
        <v>0</v>
      </c>
      <c r="I98" s="43" t="n">
        <f aca="false">+F98-H98</f>
        <v>39</v>
      </c>
      <c r="J98" s="43" t="s">
        <v>294</v>
      </c>
      <c r="K98" s="43" t="n">
        <v>24</v>
      </c>
    </row>
    <row collapsed="false" customFormat="false" customHeight="true" hidden="false" ht="15" outlineLevel="0"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</row>
    <row collapsed="false" customFormat="false" customHeight="true" hidden="false" ht="15.75" outlineLevel="0" r="100">
      <c r="A100" s="7" t="s">
        <v>89</v>
      </c>
      <c r="B100" s="7" t="s">
        <v>295</v>
      </c>
      <c r="C100" s="6" t="n">
        <v>41352</v>
      </c>
      <c r="D100" s="7" t="n">
        <v>100</v>
      </c>
      <c r="E100" s="6"/>
      <c r="F100" s="7"/>
      <c r="G100" s="37" t="n">
        <f aca="false">+D100-F100</f>
        <v>100</v>
      </c>
      <c r="H100" s="7"/>
      <c r="I100" s="7" t="n">
        <f aca="false">+F100-H100</f>
        <v>0</v>
      </c>
      <c r="J100" s="7" t="s">
        <v>294</v>
      </c>
      <c r="K100" s="43"/>
    </row>
    <row collapsed="false" customFormat="false" customHeight="true" hidden="false" ht="15.75" outlineLevel="0" r="101">
      <c r="A101" s="40"/>
      <c r="B101" s="40"/>
      <c r="C101" s="40"/>
      <c r="D101" s="40"/>
      <c r="E101" s="40"/>
      <c r="F101" s="40"/>
      <c r="G101" s="40" t="n">
        <f aca="false">+D101-F101</f>
        <v>0</v>
      </c>
      <c r="H101" s="40"/>
      <c r="I101" s="40" t="n">
        <f aca="false">+F101-H101</f>
        <v>0</v>
      </c>
      <c r="J101" s="40"/>
      <c r="K101" s="40"/>
    </row>
    <row collapsed="false" customFormat="false" customHeight="true" hidden="false" ht="15.75" outlineLevel="0" r="102">
      <c r="A102" s="7" t="s">
        <v>60</v>
      </c>
      <c r="B102" s="7" t="s">
        <v>270</v>
      </c>
      <c r="C102" s="6" t="n">
        <v>41331</v>
      </c>
      <c r="D102" s="7" t="n">
        <v>94</v>
      </c>
      <c r="E102" s="6" t="n">
        <v>41353</v>
      </c>
      <c r="F102" s="7" t="n">
        <v>48</v>
      </c>
      <c r="G102" s="37" t="n">
        <f aca="false">+D102-F102</f>
        <v>46</v>
      </c>
      <c r="H102" s="7" t="n">
        <v>46</v>
      </c>
      <c r="I102" s="7" t="n">
        <f aca="false">+F102-H102</f>
        <v>2</v>
      </c>
      <c r="J102" s="7" t="s">
        <v>296</v>
      </c>
      <c r="K102" s="43" t="n">
        <v>18</v>
      </c>
    </row>
    <row collapsed="false" customFormat="false" customHeight="true" hidden="false" ht="15.75" outlineLevel="0" r="103">
      <c r="A103" s="40"/>
      <c r="B103" s="40"/>
      <c r="C103" s="40"/>
      <c r="D103" s="40"/>
      <c r="E103" s="40"/>
      <c r="F103" s="40"/>
      <c r="G103" s="40" t="n">
        <f aca="false">+D103-F103</f>
        <v>0</v>
      </c>
      <c r="H103" s="40"/>
      <c r="I103" s="40" t="n">
        <f aca="false">+F103-H103</f>
        <v>0</v>
      </c>
      <c r="J103" s="40"/>
      <c r="K103" s="40"/>
    </row>
    <row collapsed="false" customFormat="false" customHeight="true" hidden="false" ht="15" outlineLevel="0" r="104">
      <c r="A104" s="7" t="s">
        <v>60</v>
      </c>
      <c r="B104" s="43" t="s">
        <v>297</v>
      </c>
      <c r="C104" s="6" t="n">
        <v>41331</v>
      </c>
      <c r="D104" s="43" t="n">
        <v>65</v>
      </c>
      <c r="E104" s="43"/>
      <c r="F104" s="43"/>
      <c r="G104" s="37" t="n">
        <f aca="false">+D104-F104</f>
        <v>65</v>
      </c>
      <c r="H104" s="43"/>
      <c r="I104" s="43" t="n">
        <f aca="false">+F104-H104</f>
        <v>0</v>
      </c>
      <c r="J104" s="43" t="s">
        <v>298</v>
      </c>
      <c r="K104" s="43"/>
    </row>
    <row collapsed="false" customFormat="false" customHeight="true" hidden="false" ht="15" outlineLevel="0"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</row>
    <row collapsed="false" customFormat="false" customHeight="true" hidden="false" ht="15.75" outlineLevel="0" r="106">
      <c r="A106" s="7" t="s">
        <v>283</v>
      </c>
      <c r="B106" s="7" t="s">
        <v>299</v>
      </c>
      <c r="C106" s="6" t="n">
        <v>41331</v>
      </c>
      <c r="D106" s="7" t="n">
        <v>210</v>
      </c>
      <c r="E106" s="7"/>
      <c r="F106" s="7"/>
      <c r="G106" s="37" t="n">
        <f aca="false">+D106-F106</f>
        <v>210</v>
      </c>
      <c r="H106" s="7"/>
      <c r="I106" s="7" t="n">
        <f aca="false">+F106-H106</f>
        <v>0</v>
      </c>
      <c r="J106" s="7" t="s">
        <v>298</v>
      </c>
      <c r="K106" s="43"/>
    </row>
    <row collapsed="false" customFormat="false" customHeight="true" hidden="false" ht="15.75" outlineLevel="0" r="107">
      <c r="A107" s="40"/>
      <c r="B107" s="40"/>
      <c r="C107" s="40"/>
      <c r="D107" s="40"/>
      <c r="E107" s="40"/>
      <c r="F107" s="40"/>
      <c r="G107" s="40" t="n">
        <f aca="false">+D107-F107</f>
        <v>0</v>
      </c>
      <c r="H107" s="40"/>
      <c r="I107" s="40" t="n">
        <f aca="false">+F107-H107</f>
        <v>0</v>
      </c>
      <c r="J107" s="40"/>
      <c r="K107" s="40"/>
    </row>
    <row collapsed="false" customFormat="false" customHeight="true" hidden="false" ht="15" outlineLevel="0" r="108">
      <c r="A108" s="7" t="s">
        <v>50</v>
      </c>
      <c r="B108" s="43" t="s">
        <v>275</v>
      </c>
      <c r="C108" s="6" t="n">
        <v>41331</v>
      </c>
      <c r="D108" s="43" t="n">
        <v>30</v>
      </c>
      <c r="E108" s="43"/>
      <c r="F108" s="43"/>
      <c r="G108" s="37" t="n">
        <f aca="false">+D108-F108</f>
        <v>30</v>
      </c>
      <c r="H108" s="43"/>
      <c r="I108" s="43" t="n">
        <f aca="false">+F108-H108</f>
        <v>0</v>
      </c>
      <c r="J108" s="43" t="s">
        <v>300</v>
      </c>
      <c r="K108" s="43"/>
    </row>
    <row collapsed="false" customFormat="false" customHeight="true" hidden="false" ht="15.75" outlineLevel="0" r="109">
      <c r="A109" s="40"/>
      <c r="B109" s="40"/>
      <c r="C109" s="40"/>
      <c r="D109" s="40"/>
      <c r="E109" s="40"/>
      <c r="F109" s="40"/>
      <c r="G109" s="40" t="n">
        <f aca="false">+D109-F109</f>
        <v>0</v>
      </c>
      <c r="H109" s="40"/>
      <c r="I109" s="40" t="n">
        <f aca="false">+F109-H109</f>
        <v>0</v>
      </c>
      <c r="J109" s="40"/>
      <c r="K109" s="40"/>
    </row>
    <row collapsed="false" customFormat="false" customHeight="true" hidden="false" ht="15" outlineLevel="0" r="110">
      <c r="A110" s="7" t="s">
        <v>42</v>
      </c>
      <c r="B110" s="43" t="s">
        <v>43</v>
      </c>
      <c r="C110" s="6" t="n">
        <v>41325</v>
      </c>
      <c r="D110" s="43" t="n">
        <v>20</v>
      </c>
      <c r="E110" s="43"/>
      <c r="F110" s="43"/>
      <c r="G110" s="37" t="n">
        <f aca="false">+D110-F110</f>
        <v>20</v>
      </c>
      <c r="H110" s="43"/>
      <c r="I110" s="43" t="n">
        <f aca="false">+F110-H110</f>
        <v>0</v>
      </c>
      <c r="J110" s="43" t="s">
        <v>301</v>
      </c>
      <c r="K110" s="43"/>
    </row>
    <row collapsed="false" customFormat="false" customHeight="true" hidden="false" ht="15" outlineLevel="0"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</row>
    <row collapsed="false" customFormat="false" customHeight="true" hidden="false" ht="15.75" outlineLevel="0" r="112">
      <c r="A112" s="7" t="n">
        <v>2012</v>
      </c>
      <c r="B112" s="7" t="s">
        <v>274</v>
      </c>
      <c r="C112" s="6" t="n">
        <v>41353</v>
      </c>
      <c r="D112" s="7" t="n">
        <v>90</v>
      </c>
      <c r="E112" s="7"/>
      <c r="F112" s="7"/>
      <c r="G112" s="37" t="n">
        <f aca="false">+D112-F112</f>
        <v>90</v>
      </c>
      <c r="H112" s="7"/>
      <c r="I112" s="7" t="n">
        <f aca="false">+F112-H112</f>
        <v>0</v>
      </c>
      <c r="J112" s="7" t="s">
        <v>301</v>
      </c>
      <c r="K112" s="43"/>
    </row>
    <row collapsed="false" customFormat="false" customHeight="true" hidden="false" ht="15.75" outlineLevel="0" r="113">
      <c r="A113" s="40"/>
      <c r="B113" s="40"/>
      <c r="C113" s="40"/>
      <c r="D113" s="40"/>
      <c r="E113" s="40"/>
      <c r="F113" s="40"/>
      <c r="G113" s="40" t="n">
        <f aca="false">+D113-F113</f>
        <v>0</v>
      </c>
      <c r="H113" s="40"/>
      <c r="I113" s="40" t="n">
        <f aca="false">+F113-H113</f>
        <v>0</v>
      </c>
      <c r="J113" s="40"/>
      <c r="K113" s="40"/>
    </row>
    <row collapsed="false" customFormat="false" customHeight="true" hidden="false" ht="15.75" outlineLevel="0" r="114">
      <c r="A114" s="7" t="s">
        <v>42</v>
      </c>
      <c r="B114" s="7" t="s">
        <v>43</v>
      </c>
      <c r="C114" s="6" t="n">
        <v>41325</v>
      </c>
      <c r="D114" s="7" t="n">
        <v>20</v>
      </c>
      <c r="E114" s="7"/>
      <c r="F114" s="7"/>
      <c r="G114" s="37" t="n">
        <f aca="false">+D114-F114</f>
        <v>20</v>
      </c>
      <c r="H114" s="7"/>
      <c r="I114" s="7" t="n">
        <f aca="false">+F114-H114</f>
        <v>0</v>
      </c>
      <c r="J114" s="7" t="s">
        <v>302</v>
      </c>
      <c r="K114" s="43"/>
    </row>
    <row collapsed="false" customFormat="false" customHeight="true" hidden="false" ht="15.75" outlineLevel="0" r="115">
      <c r="A115" s="40"/>
      <c r="B115" s="40"/>
      <c r="C115" s="40"/>
      <c r="D115" s="40"/>
      <c r="E115" s="40"/>
      <c r="F115" s="40"/>
      <c r="G115" s="40" t="n">
        <f aca="false">+D115-F115</f>
        <v>0</v>
      </c>
      <c r="H115" s="40"/>
      <c r="I115" s="40" t="n">
        <f aca="false">+F115-H115</f>
        <v>0</v>
      </c>
      <c r="J115" s="40"/>
      <c r="K115" s="40"/>
    </row>
    <row collapsed="false" customFormat="false" customHeight="true" hidden="false" ht="15.75" outlineLevel="0" r="116">
      <c r="A116" s="7" t="n">
        <v>2012</v>
      </c>
      <c r="B116" s="7" t="s">
        <v>274</v>
      </c>
      <c r="C116" s="6" t="n">
        <v>41323</v>
      </c>
      <c r="D116" s="7" t="n">
        <v>44</v>
      </c>
      <c r="E116" s="7"/>
      <c r="F116" s="7"/>
      <c r="G116" s="37" t="n">
        <f aca="false">+D116-F116</f>
        <v>44</v>
      </c>
      <c r="H116" s="7"/>
      <c r="I116" s="7" t="n">
        <f aca="false">+F116-H116</f>
        <v>0</v>
      </c>
      <c r="J116" s="7" t="s">
        <v>303</v>
      </c>
      <c r="K116" s="43"/>
    </row>
    <row collapsed="false" customFormat="false" customHeight="true" hidden="false" ht="15.75" outlineLevel="0" r="117">
      <c r="A117" s="40"/>
      <c r="B117" s="40"/>
      <c r="C117" s="40"/>
      <c r="D117" s="40"/>
      <c r="E117" s="40"/>
      <c r="F117" s="40"/>
      <c r="G117" s="40" t="n">
        <f aca="false">+D117-F117</f>
        <v>0</v>
      </c>
      <c r="H117" s="40"/>
      <c r="I117" s="40" t="n">
        <f aca="false">+F117-H117</f>
        <v>0</v>
      </c>
      <c r="J117" s="40"/>
      <c r="K117" s="40"/>
    </row>
    <row collapsed="false" customFormat="false" customHeight="true" hidden="false" ht="15.75" outlineLevel="0" r="118">
      <c r="A118" s="7" t="s">
        <v>70</v>
      </c>
      <c r="B118" s="7" t="s">
        <v>304</v>
      </c>
      <c r="C118" s="6" t="n">
        <v>41338</v>
      </c>
      <c r="D118" s="7" t="n">
        <v>126</v>
      </c>
      <c r="E118" s="7"/>
      <c r="F118" s="7"/>
      <c r="G118" s="37" t="n">
        <f aca="false">+D118-F118</f>
        <v>126</v>
      </c>
      <c r="H118" s="7"/>
      <c r="I118" s="7" t="n">
        <f aca="false">+F118-H118</f>
        <v>0</v>
      </c>
      <c r="J118" s="7" t="s">
        <v>305</v>
      </c>
      <c r="K118" s="43"/>
    </row>
    <row collapsed="false" customFormat="false" customHeight="true" hidden="false" ht="15.75" outlineLevel="0" r="119">
      <c r="A119" s="40"/>
      <c r="B119" s="40"/>
      <c r="C119" s="40"/>
      <c r="D119" s="40"/>
      <c r="E119" s="40"/>
      <c r="F119" s="40"/>
      <c r="G119" s="40" t="n">
        <f aca="false">+D119-F119</f>
        <v>0</v>
      </c>
      <c r="H119" s="40"/>
      <c r="I119" s="40" t="n">
        <f aca="false">+F119-H119</f>
        <v>0</v>
      </c>
      <c r="J119" s="40"/>
      <c r="K119" s="40"/>
    </row>
    <row collapsed="false" customFormat="false" customHeight="true" hidden="false" ht="15" outlineLevel="0" r="120">
      <c r="A120" s="7" t="s">
        <v>42</v>
      </c>
      <c r="B120" s="43" t="s">
        <v>43</v>
      </c>
      <c r="C120" s="6" t="n">
        <v>41325</v>
      </c>
      <c r="D120" s="43" t="n">
        <v>20</v>
      </c>
      <c r="E120" s="43"/>
      <c r="F120" s="43"/>
      <c r="G120" s="37" t="n">
        <f aca="false">+D120-F120</f>
        <v>20</v>
      </c>
      <c r="H120" s="43"/>
      <c r="I120" s="43" t="n">
        <f aca="false">+F120-H120</f>
        <v>0</v>
      </c>
      <c r="J120" s="43" t="s">
        <v>306</v>
      </c>
      <c r="K120" s="43"/>
    </row>
    <row collapsed="false" customFormat="false" customHeight="true" hidden="false" ht="15" outlineLevel="0" r="121">
      <c r="A121" s="38"/>
      <c r="B121" s="38"/>
      <c r="C121" s="38"/>
      <c r="D121" s="38"/>
      <c r="E121" s="38"/>
      <c r="F121" s="38"/>
      <c r="G121" s="38" t="n">
        <f aca="false">+D121-F121</f>
        <v>0</v>
      </c>
      <c r="H121" s="38"/>
      <c r="I121" s="38" t="n">
        <f aca="false">+F121-H121</f>
        <v>0</v>
      </c>
      <c r="J121" s="38"/>
      <c r="K121" s="38"/>
    </row>
    <row collapsed="false" customFormat="false" customHeight="true" hidden="false" ht="15.75" outlineLevel="0" r="122">
      <c r="A122" s="7" t="s">
        <v>283</v>
      </c>
      <c r="B122" s="7" t="s">
        <v>109</v>
      </c>
      <c r="C122" s="6" t="n">
        <v>41344</v>
      </c>
      <c r="D122" s="7" t="n">
        <v>30</v>
      </c>
      <c r="E122" s="7"/>
      <c r="F122" s="7"/>
      <c r="G122" s="37" t="n">
        <f aca="false">+D122-F122</f>
        <v>30</v>
      </c>
      <c r="H122" s="7"/>
      <c r="I122" s="7" t="n">
        <f aca="false">+F122-H122</f>
        <v>0</v>
      </c>
      <c r="J122" s="7" t="s">
        <v>306</v>
      </c>
      <c r="K122" s="43"/>
    </row>
    <row collapsed="false" customFormat="false" customHeight="true" hidden="false" ht="15.75" outlineLevel="0" r="123">
      <c r="A123" s="40"/>
      <c r="B123" s="40"/>
      <c r="C123" s="40"/>
      <c r="D123" s="40"/>
      <c r="E123" s="40"/>
      <c r="F123" s="40"/>
      <c r="G123" s="40" t="n">
        <f aca="false">+D123-F123</f>
        <v>0</v>
      </c>
      <c r="H123" s="40"/>
      <c r="I123" s="40" t="n">
        <f aca="false">+F123-H123</f>
        <v>0</v>
      </c>
      <c r="J123" s="40"/>
      <c r="K123" s="40"/>
    </row>
    <row collapsed="false" customFormat="false" customHeight="true" hidden="false" ht="15" outlineLevel="0" r="124">
      <c r="A124" s="7" t="s">
        <v>94</v>
      </c>
      <c r="B124" s="43" t="s">
        <v>269</v>
      </c>
      <c r="C124" s="6" t="n">
        <v>41349</v>
      </c>
      <c r="D124" s="43" t="n">
        <v>32</v>
      </c>
      <c r="E124" s="43"/>
      <c r="F124" s="43"/>
      <c r="G124" s="37" t="n">
        <f aca="false">+D124-F124</f>
        <v>32</v>
      </c>
      <c r="H124" s="43"/>
      <c r="I124" s="43" t="n">
        <f aca="false">+F124-H124</f>
        <v>0</v>
      </c>
      <c r="J124" s="43" t="s">
        <v>307</v>
      </c>
      <c r="K124" s="43"/>
    </row>
    <row collapsed="false" customFormat="false" customHeight="true" hidden="false" ht="15" outlineLevel="0"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</row>
    <row collapsed="false" customFormat="false" customHeight="true" hidden="false" ht="15.75" outlineLevel="0" r="126">
      <c r="A126" s="7" t="s">
        <v>102</v>
      </c>
      <c r="B126" s="7" t="s">
        <v>43</v>
      </c>
      <c r="C126" s="6" t="n">
        <v>41366</v>
      </c>
      <c r="D126" s="7" t="n">
        <v>31</v>
      </c>
      <c r="E126" s="7"/>
      <c r="F126" s="7"/>
      <c r="G126" s="37" t="n">
        <f aca="false">+D126-F126</f>
        <v>31</v>
      </c>
      <c r="H126" s="7"/>
      <c r="I126" s="7" t="n">
        <f aca="false">+F126-H126</f>
        <v>0</v>
      </c>
      <c r="J126" s="7" t="s">
        <v>307</v>
      </c>
      <c r="K126" s="43"/>
    </row>
    <row collapsed="false" customFormat="false" customHeight="true" hidden="false" ht="15" outlineLevel="0" r="127">
      <c r="A127" s="7"/>
      <c r="B127" s="7"/>
      <c r="C127" s="6"/>
      <c r="D127" s="7"/>
      <c r="E127" s="7"/>
      <c r="F127" s="7"/>
      <c r="G127" s="37" t="n">
        <f aca="false">+D127-F127</f>
        <v>0</v>
      </c>
      <c r="H127" s="7"/>
      <c r="I127" s="7" t="n">
        <f aca="false">+F127-H127</f>
        <v>0</v>
      </c>
      <c r="J127" s="7"/>
      <c r="K127" s="7"/>
    </row>
    <row collapsed="false" customFormat="false" customHeight="true" hidden="false" ht="15" outlineLevel="0" r="128">
      <c r="A128" s="7"/>
      <c r="B128" s="7"/>
      <c r="C128" s="7"/>
      <c r="D128" s="7"/>
      <c r="E128" s="7"/>
      <c r="F128" s="7"/>
      <c r="G128" s="37" t="n">
        <f aca="false">+D128-F128</f>
        <v>0</v>
      </c>
      <c r="H128" s="7"/>
      <c r="I128" s="7" t="n">
        <f aca="false">+F128-H128</f>
        <v>0</v>
      </c>
      <c r="J128" s="7"/>
      <c r="K128" s="7"/>
    </row>
    <row collapsed="false" customFormat="false" customHeight="true" hidden="false" ht="15" outlineLevel="0" r="129">
      <c r="A129" s="7"/>
      <c r="B129" s="7"/>
      <c r="C129" s="7"/>
      <c r="D129" s="7"/>
      <c r="E129" s="7"/>
      <c r="F129" s="7"/>
      <c r="G129" s="37" t="n">
        <f aca="false">+D129-F129</f>
        <v>0</v>
      </c>
      <c r="H129" s="7"/>
      <c r="I129" s="7" t="n">
        <f aca="false">+F129-H129</f>
        <v>0</v>
      </c>
      <c r="J129" s="7"/>
      <c r="K129" s="7"/>
    </row>
    <row collapsed="false" customFormat="false" customHeight="true" hidden="false" ht="15" outlineLevel="0" r="130">
      <c r="A130" s="7"/>
      <c r="B130" s="7"/>
      <c r="C130" s="7"/>
      <c r="D130" s="7"/>
      <c r="E130" s="7"/>
      <c r="F130" s="7"/>
      <c r="G130" s="37" t="n">
        <f aca="false">+D130-F130</f>
        <v>0</v>
      </c>
      <c r="H130" s="7"/>
      <c r="I130" s="7" t="n">
        <f aca="false">+F130-H130</f>
        <v>0</v>
      </c>
      <c r="J130" s="7"/>
      <c r="K130" s="7"/>
    </row>
    <row collapsed="false" customFormat="false" customHeight="true" hidden="false" ht="15" outlineLevel="0" r="131">
      <c r="A131" s="7"/>
      <c r="B131" s="7"/>
      <c r="C131" s="7"/>
      <c r="D131" s="7"/>
      <c r="E131" s="7"/>
      <c r="F131" s="7"/>
      <c r="G131" s="37" t="n">
        <f aca="false">+D131-F131</f>
        <v>0</v>
      </c>
      <c r="H131" s="7"/>
      <c r="I131" s="7" t="n">
        <f aca="false">+F131-H131</f>
        <v>0</v>
      </c>
      <c r="J131" s="7"/>
      <c r="K131" s="7"/>
    </row>
    <row collapsed="false" customFormat="false" customHeight="true" hidden="false" ht="15" outlineLevel="0" r="132">
      <c r="A132" s="7"/>
      <c r="B132" s="7"/>
      <c r="C132" s="7"/>
      <c r="D132" s="7"/>
      <c r="E132" s="7"/>
      <c r="F132" s="7"/>
      <c r="G132" s="37" t="n">
        <f aca="false">+D132-F132</f>
        <v>0</v>
      </c>
      <c r="H132" s="7"/>
      <c r="I132" s="7" t="n">
        <f aca="false">+F132-H132</f>
        <v>0</v>
      </c>
      <c r="J132" s="7"/>
      <c r="K132" s="7"/>
    </row>
    <row collapsed="false" customFormat="false" customHeight="true" hidden="false" ht="15" outlineLevel="0" r="133">
      <c r="A133" s="7"/>
      <c r="B133" s="7"/>
      <c r="C133" s="7"/>
      <c r="D133" s="7"/>
      <c r="E133" s="7"/>
      <c r="F133" s="7"/>
      <c r="G133" s="37" t="n">
        <f aca="false">+D133-F133</f>
        <v>0</v>
      </c>
      <c r="H133" s="7"/>
      <c r="I133" s="7" t="n">
        <f aca="false">+F133-H133</f>
        <v>0</v>
      </c>
      <c r="J133" s="7"/>
      <c r="K133" s="7"/>
    </row>
    <row collapsed="false" customFormat="false" customHeight="true" hidden="false" ht="15" outlineLevel="0" r="134">
      <c r="A134" s="7"/>
      <c r="B134" s="7"/>
      <c r="C134" s="7"/>
      <c r="D134" s="7"/>
      <c r="E134" s="7"/>
      <c r="F134" s="7"/>
      <c r="G134" s="37" t="n">
        <f aca="false">+D134-F134</f>
        <v>0</v>
      </c>
      <c r="H134" s="7"/>
      <c r="I134" s="7" t="n">
        <f aca="false">+F134-H134</f>
        <v>0</v>
      </c>
      <c r="J134" s="7"/>
      <c r="K134" s="7"/>
    </row>
    <row collapsed="false" customFormat="false" customHeight="true" hidden="false" ht="15" outlineLevel="0" r="135">
      <c r="A135" s="7"/>
      <c r="B135" s="7"/>
      <c r="C135" s="7"/>
      <c r="D135" s="7"/>
      <c r="E135" s="7"/>
      <c r="F135" s="7"/>
      <c r="G135" s="37" t="n">
        <f aca="false">+D135-F135</f>
        <v>0</v>
      </c>
      <c r="H135" s="7"/>
      <c r="I135" s="7" t="n">
        <f aca="false">+F135-H135</f>
        <v>0</v>
      </c>
      <c r="J135" s="7"/>
      <c r="K135" s="7"/>
    </row>
    <row collapsed="false" customFormat="false" customHeight="true" hidden="false" ht="15" outlineLevel="0" r="136">
      <c r="A136" s="7"/>
      <c r="B136" s="7"/>
      <c r="C136" s="7"/>
      <c r="D136" s="7"/>
      <c r="E136" s="7"/>
      <c r="F136" s="7"/>
      <c r="G136" s="37" t="n">
        <f aca="false">+D136-F136</f>
        <v>0</v>
      </c>
      <c r="H136" s="7"/>
      <c r="I136" s="7" t="n">
        <f aca="false">+F136-H136</f>
        <v>0</v>
      </c>
      <c r="J136" s="7"/>
      <c r="K136" s="7"/>
    </row>
    <row collapsed="false" customFormat="false" customHeight="true" hidden="false" ht="15" outlineLevel="0" r="137">
      <c r="A137" s="7"/>
      <c r="B137" s="7"/>
      <c r="C137" s="7"/>
      <c r="D137" s="7"/>
      <c r="E137" s="7"/>
      <c r="F137" s="7"/>
      <c r="G137" s="37" t="n">
        <f aca="false">+D137-F137</f>
        <v>0</v>
      </c>
      <c r="H137" s="7"/>
      <c r="I137" s="7" t="n">
        <f aca="false">+F137-H137</f>
        <v>0</v>
      </c>
      <c r="J137" s="7"/>
      <c r="K137" s="7"/>
    </row>
    <row collapsed="false" customFormat="false" customHeight="true" hidden="false" ht="15" outlineLevel="0" r="138">
      <c r="A138" s="7"/>
      <c r="B138" s="7"/>
      <c r="C138" s="7"/>
      <c r="D138" s="7"/>
      <c r="E138" s="7"/>
      <c r="F138" s="7"/>
      <c r="G138" s="37" t="n">
        <f aca="false">+D138-F138</f>
        <v>0</v>
      </c>
      <c r="H138" s="7"/>
      <c r="I138" s="7" t="n">
        <f aca="false">+F138-H138</f>
        <v>0</v>
      </c>
      <c r="J138" s="7"/>
      <c r="K138" s="7"/>
    </row>
    <row collapsed="false" customFormat="false" customHeight="true" hidden="false" ht="15" outlineLevel="0" r="139">
      <c r="A139" s="7"/>
      <c r="B139" s="7"/>
      <c r="C139" s="7"/>
      <c r="D139" s="7"/>
      <c r="E139" s="7"/>
      <c r="F139" s="7"/>
      <c r="G139" s="37" t="n">
        <f aca="false">+D139-F139</f>
        <v>0</v>
      </c>
      <c r="H139" s="7"/>
      <c r="I139" s="7" t="n">
        <f aca="false">+F139-H139</f>
        <v>0</v>
      </c>
      <c r="J139" s="7"/>
      <c r="K139" s="7"/>
    </row>
    <row collapsed="false" customFormat="false" customHeight="true" hidden="false" ht="15" outlineLevel="0" r="140">
      <c r="A140" s="7"/>
      <c r="B140" s="7"/>
      <c r="C140" s="7"/>
      <c r="D140" s="7"/>
      <c r="E140" s="7"/>
      <c r="F140" s="7"/>
      <c r="G140" s="37" t="n">
        <f aca="false">+D140-F140</f>
        <v>0</v>
      </c>
      <c r="H140" s="7"/>
      <c r="I140" s="7" t="n">
        <f aca="false">+F140-H140</f>
        <v>0</v>
      </c>
      <c r="J140" s="7"/>
      <c r="K140" s="7"/>
    </row>
    <row collapsed="false" customFormat="false" customHeight="true" hidden="false" ht="15" outlineLevel="0" r="141">
      <c r="A141" s="7"/>
      <c r="B141" s="7"/>
      <c r="C141" s="7"/>
      <c r="D141" s="7"/>
      <c r="E141" s="7"/>
      <c r="F141" s="7"/>
      <c r="G141" s="37" t="n">
        <f aca="false">+D141-F141</f>
        <v>0</v>
      </c>
      <c r="H141" s="7"/>
      <c r="I141" s="7" t="n">
        <f aca="false">+F141-H141</f>
        <v>0</v>
      </c>
      <c r="J141" s="7"/>
      <c r="K141" s="7"/>
    </row>
    <row collapsed="false" customFormat="false" customHeight="true" hidden="false" ht="15" outlineLevel="0" r="142">
      <c r="A142" s="7"/>
      <c r="B142" s="7"/>
      <c r="C142" s="7"/>
      <c r="D142" s="7"/>
      <c r="E142" s="7"/>
      <c r="F142" s="7"/>
      <c r="G142" s="37" t="n">
        <f aca="false">+D142-F142</f>
        <v>0</v>
      </c>
      <c r="H142" s="7"/>
      <c r="I142" s="7" t="n">
        <f aca="false">+F142-H142</f>
        <v>0</v>
      </c>
      <c r="J142" s="7"/>
      <c r="K142" s="7"/>
    </row>
    <row collapsed="false" customFormat="false" customHeight="true" hidden="false" ht="15" outlineLevel="0" r="143">
      <c r="A143" s="7"/>
      <c r="B143" s="7"/>
      <c r="C143" s="7"/>
      <c r="D143" s="7"/>
      <c r="E143" s="7"/>
      <c r="F143" s="7"/>
      <c r="G143" s="37" t="n">
        <f aca="false">+D143-F143</f>
        <v>0</v>
      </c>
      <c r="H143" s="7"/>
      <c r="I143" s="7" t="n">
        <f aca="false">+F143-H143</f>
        <v>0</v>
      </c>
      <c r="J143" s="7"/>
      <c r="K143" s="7"/>
    </row>
    <row collapsed="false" customFormat="false" customHeight="true" hidden="false" ht="15" outlineLevel="0" r="144">
      <c r="A144" s="7"/>
      <c r="B144" s="7"/>
      <c r="C144" s="7"/>
      <c r="D144" s="7"/>
      <c r="E144" s="7"/>
      <c r="F144" s="7"/>
      <c r="G144" s="37" t="n">
        <f aca="false">+D144-F144</f>
        <v>0</v>
      </c>
      <c r="H144" s="7"/>
      <c r="I144" s="7" t="n">
        <f aca="false">+F144-H144</f>
        <v>0</v>
      </c>
      <c r="J144" s="7"/>
      <c r="K144" s="7"/>
    </row>
    <row collapsed="false" customFormat="false" customHeight="true" hidden="false" ht="15" outlineLevel="0" r="145">
      <c r="A145" s="7"/>
      <c r="B145" s="7"/>
      <c r="C145" s="7"/>
      <c r="D145" s="7"/>
      <c r="E145" s="7"/>
      <c r="F145" s="7"/>
      <c r="G145" s="37" t="n">
        <f aca="false">+D145-F145</f>
        <v>0</v>
      </c>
      <c r="H145" s="7"/>
      <c r="I145" s="7" t="n">
        <f aca="false">+F145-H145</f>
        <v>0</v>
      </c>
      <c r="J145" s="7"/>
      <c r="K145" s="7"/>
      <c r="M145" s="0" t="n">
        <f aca="false">31*4</f>
        <v>124</v>
      </c>
    </row>
    <row collapsed="false" customFormat="false" customHeight="true" hidden="false" ht="15" outlineLevel="0" r="146">
      <c r="A146" s="7"/>
      <c r="B146" s="7"/>
      <c r="C146" s="7"/>
      <c r="D146" s="7"/>
      <c r="E146" s="7"/>
      <c r="F146" s="7"/>
      <c r="G146" s="37" t="n">
        <f aca="false">+D146-F146</f>
        <v>0</v>
      </c>
      <c r="H146" s="7"/>
      <c r="I146" s="7" t="n">
        <f aca="false">+F146-H146</f>
        <v>0</v>
      </c>
      <c r="J146" s="7"/>
      <c r="K146" s="7"/>
    </row>
    <row collapsed="false" customFormat="false" customHeight="true" hidden="false" ht="15" outlineLevel="0" r="147">
      <c r="A147" s="7"/>
      <c r="B147" s="7"/>
      <c r="C147" s="7"/>
      <c r="D147" s="7"/>
      <c r="E147" s="7"/>
      <c r="F147" s="7"/>
      <c r="G147" s="37" t="n">
        <f aca="false">+D147-F147</f>
        <v>0</v>
      </c>
      <c r="H147" s="7"/>
      <c r="I147" s="7" t="n">
        <f aca="false">+F147-H147</f>
        <v>0</v>
      </c>
      <c r="J147" s="7"/>
      <c r="K147" s="7"/>
    </row>
    <row collapsed="false" customFormat="false" customHeight="true" hidden="false" ht="15" outlineLevel="0" r="148">
      <c r="A148" s="7"/>
      <c r="B148" s="7"/>
      <c r="C148" s="7"/>
      <c r="D148" s="7"/>
      <c r="E148" s="7"/>
      <c r="F148" s="7"/>
      <c r="G148" s="37" t="n">
        <f aca="false">+D148-F148</f>
        <v>0</v>
      </c>
      <c r="H148" s="7"/>
      <c r="I148" s="7" t="n">
        <f aca="false">+F148-H148</f>
        <v>0</v>
      </c>
      <c r="J148" s="7"/>
      <c r="K148" s="7"/>
    </row>
    <row collapsed="false" customFormat="false" customHeight="true" hidden="false" ht="15" outlineLevel="0" r="149">
      <c r="A149" s="7"/>
      <c r="B149" s="7"/>
      <c r="C149" s="7"/>
      <c r="D149" s="7"/>
      <c r="E149" s="7"/>
      <c r="F149" s="7"/>
      <c r="G149" s="37" t="n">
        <f aca="false">+D149-F149</f>
        <v>0</v>
      </c>
      <c r="H149" s="7"/>
      <c r="I149" s="7" t="n">
        <f aca="false">+F149-H149</f>
        <v>0</v>
      </c>
      <c r="J149" s="7"/>
      <c r="K149" s="7"/>
    </row>
    <row collapsed="false" customFormat="false" customHeight="true" hidden="false" ht="15" outlineLevel="0" r="150">
      <c r="A150" s="7"/>
      <c r="B150" s="7"/>
      <c r="C150" s="7"/>
      <c r="D150" s="7"/>
      <c r="E150" s="7"/>
      <c r="F150" s="7"/>
      <c r="G150" s="37" t="n">
        <f aca="false">+D150-F150</f>
        <v>0</v>
      </c>
      <c r="H150" s="7"/>
      <c r="I150" s="7" t="n">
        <f aca="false">+F150-H150</f>
        <v>0</v>
      </c>
      <c r="J150" s="7"/>
      <c r="K150" s="7"/>
    </row>
    <row collapsed="false" customFormat="false" customHeight="true" hidden="false" ht="15" outlineLevel="0" r="151">
      <c r="A151" s="7"/>
      <c r="B151" s="7"/>
      <c r="C151" s="7"/>
      <c r="D151" s="7"/>
      <c r="E151" s="7"/>
      <c r="F151" s="7"/>
      <c r="G151" s="37" t="n">
        <f aca="false">+D151-F151</f>
        <v>0</v>
      </c>
      <c r="H151" s="7"/>
      <c r="I151" s="7" t="n">
        <f aca="false">+F151-H151</f>
        <v>0</v>
      </c>
      <c r="J151" s="7"/>
      <c r="K151" s="7"/>
    </row>
    <row collapsed="false" customFormat="false" customHeight="true" hidden="false" ht="15" outlineLevel="0" r="152">
      <c r="A152" s="7"/>
      <c r="B152" s="7"/>
      <c r="C152" s="7"/>
      <c r="D152" s="7"/>
      <c r="E152" s="7"/>
      <c r="F152" s="7"/>
      <c r="G152" s="37" t="n">
        <f aca="false">+D152-F152</f>
        <v>0</v>
      </c>
      <c r="H152" s="7"/>
      <c r="I152" s="7" t="n">
        <f aca="false">+F152-H152</f>
        <v>0</v>
      </c>
      <c r="J152" s="7"/>
      <c r="K152" s="7"/>
    </row>
    <row collapsed="false" customFormat="false" customHeight="true" hidden="false" ht="15" outlineLevel="0" r="153">
      <c r="A153" s="7"/>
      <c r="B153" s="7"/>
      <c r="C153" s="7"/>
      <c r="D153" s="7"/>
      <c r="E153" s="7"/>
      <c r="F153" s="7"/>
      <c r="G153" s="37" t="n">
        <f aca="false">+D153-F153</f>
        <v>0</v>
      </c>
      <c r="H153" s="7"/>
      <c r="I153" s="7" t="n">
        <f aca="false">+F153-H153</f>
        <v>0</v>
      </c>
      <c r="J153" s="7"/>
      <c r="K153" s="7"/>
    </row>
    <row collapsed="false" customFormat="false" customHeight="true" hidden="false" ht="15" outlineLevel="0" r="154">
      <c r="A154" s="7"/>
      <c r="B154" s="7"/>
      <c r="C154" s="7"/>
      <c r="D154" s="7"/>
      <c r="E154" s="7"/>
      <c r="F154" s="7"/>
      <c r="G154" s="37" t="n">
        <f aca="false">+D154-F154</f>
        <v>0</v>
      </c>
      <c r="H154" s="7"/>
      <c r="I154" s="7" t="n">
        <f aca="false">+F154-H154</f>
        <v>0</v>
      </c>
      <c r="J154" s="7"/>
      <c r="K154" s="7"/>
    </row>
    <row collapsed="false" customFormat="false" customHeight="true" hidden="false" ht="15" outlineLevel="0" r="155">
      <c r="A155" s="7"/>
      <c r="B155" s="7"/>
      <c r="C155" s="7"/>
      <c r="D155" s="7"/>
      <c r="E155" s="7"/>
      <c r="F155" s="7"/>
      <c r="G155" s="37" t="n">
        <f aca="false">+D155-F155</f>
        <v>0</v>
      </c>
      <c r="H155" s="7"/>
      <c r="I155" s="7" t="n">
        <f aca="false">+F155-H155</f>
        <v>0</v>
      </c>
      <c r="J155" s="7"/>
      <c r="K155" s="7"/>
    </row>
    <row collapsed="false" customFormat="false" customHeight="true" hidden="false" ht="15" outlineLevel="0"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14"/>
    </row>
    <row collapsed="false" customFormat="false" customHeight="true" hidden="false" ht="15" outlineLevel="0"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14"/>
    </row>
    <row collapsed="false" customFormat="false" customHeight="true" hidden="false" ht="15" outlineLevel="0"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14"/>
    </row>
    <row collapsed="false" customFormat="false" customHeight="true" hidden="false" ht="15" outlineLevel="0"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14"/>
    </row>
    <row collapsed="false" customFormat="false" customHeight="true" hidden="false" ht="15" outlineLevel="0"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14"/>
    </row>
    <row collapsed="false" customFormat="false" customHeight="true" hidden="false" ht="15" outlineLevel="0"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14"/>
    </row>
    <row collapsed="false" customFormat="false" customHeight="true" hidden="false" ht="15" outlineLevel="0"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14"/>
    </row>
    <row collapsed="false" customFormat="false" customHeight="true" hidden="false" ht="15" outlineLevel="0"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14"/>
    </row>
    <row collapsed="false" customFormat="false" customHeight="true" hidden="false" ht="15" outlineLevel="0"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14"/>
    </row>
    <row collapsed="false" customFormat="false" customHeight="true" hidden="false" ht="15" outlineLevel="0"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14"/>
    </row>
    <row collapsed="false" customFormat="false" customHeight="true" hidden="false" ht="15" outlineLevel="0"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14"/>
    </row>
    <row collapsed="false" customFormat="false" customHeight="true" hidden="false" ht="15" outlineLevel="0"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14"/>
    </row>
    <row collapsed="false" customFormat="false" customHeight="true" hidden="false" ht="15" outlineLevel="0"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14"/>
    </row>
    <row collapsed="false" customFormat="false" customHeight="true" hidden="false" ht="15" outlineLevel="0"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14"/>
    </row>
    <row collapsed="false" customFormat="false" customHeight="true" hidden="false" ht="15" outlineLevel="0"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14"/>
    </row>
    <row collapsed="false" customFormat="false" customHeight="true" hidden="false" ht="15" outlineLevel="0"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14"/>
    </row>
    <row collapsed="false" customFormat="false" customHeight="true" hidden="false" ht="15" outlineLevel="0"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14"/>
    </row>
    <row collapsed="false" customFormat="false" customHeight="true" hidden="false" ht="15.75" outlineLevel="0"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14"/>
    </row>
  </sheetData>
  <mergeCells count="121">
    <mergeCell ref="A1:K1"/>
    <mergeCell ref="A2:A3"/>
    <mergeCell ref="B2:B3"/>
    <mergeCell ref="C2:D2"/>
    <mergeCell ref="E2:G2"/>
    <mergeCell ref="H2:H3"/>
    <mergeCell ref="I2:I3"/>
    <mergeCell ref="J2:J3"/>
    <mergeCell ref="K2:K3"/>
    <mergeCell ref="A5:K5"/>
    <mergeCell ref="A7:K7"/>
    <mergeCell ref="A9:K9"/>
    <mergeCell ref="A11:K11"/>
    <mergeCell ref="A13:K13"/>
    <mergeCell ref="A14:A17"/>
    <mergeCell ref="B14:B17"/>
    <mergeCell ref="J14:J17"/>
    <mergeCell ref="A18:K18"/>
    <mergeCell ref="A19:A20"/>
    <mergeCell ref="B19:B20"/>
    <mergeCell ref="C19:C20"/>
    <mergeCell ref="D19:D20"/>
    <mergeCell ref="J19:J20"/>
    <mergeCell ref="A21:K21"/>
    <mergeCell ref="A23:K23"/>
    <mergeCell ref="A24:A31"/>
    <mergeCell ref="B24:B31"/>
    <mergeCell ref="C24:C26"/>
    <mergeCell ref="D24:D26"/>
    <mergeCell ref="J24:J31"/>
    <mergeCell ref="C27:C29"/>
    <mergeCell ref="D27:D29"/>
    <mergeCell ref="A32:K32"/>
    <mergeCell ref="A34:K34"/>
    <mergeCell ref="A36:K36"/>
    <mergeCell ref="A38:K38"/>
    <mergeCell ref="A39:A40"/>
    <mergeCell ref="B39:B40"/>
    <mergeCell ref="C39:C40"/>
    <mergeCell ref="D39:D40"/>
    <mergeCell ref="J39:J40"/>
    <mergeCell ref="A41:K41"/>
    <mergeCell ref="A43:K43"/>
    <mergeCell ref="A45:K45"/>
    <mergeCell ref="A46:A48"/>
    <mergeCell ref="B46:B48"/>
    <mergeCell ref="C46:C47"/>
    <mergeCell ref="D46:D47"/>
    <mergeCell ref="J46:J48"/>
    <mergeCell ref="A49:K49"/>
    <mergeCell ref="A51:K51"/>
    <mergeCell ref="A53:K53"/>
    <mergeCell ref="A56:K56"/>
    <mergeCell ref="A57:A59"/>
    <mergeCell ref="B57:B59"/>
    <mergeCell ref="C57:C58"/>
    <mergeCell ref="D57:D58"/>
    <mergeCell ref="J57:J59"/>
    <mergeCell ref="A60:K60"/>
    <mergeCell ref="A61:A62"/>
    <mergeCell ref="B61:B62"/>
    <mergeCell ref="C61:C62"/>
    <mergeCell ref="D61:D62"/>
    <mergeCell ref="A63:K63"/>
    <mergeCell ref="A64:A66"/>
    <mergeCell ref="B64:B66"/>
    <mergeCell ref="C65:C66"/>
    <mergeCell ref="D65:D66"/>
    <mergeCell ref="A67:K67"/>
    <mergeCell ref="A68:A69"/>
    <mergeCell ref="B68:B69"/>
    <mergeCell ref="C68:C69"/>
    <mergeCell ref="D68:D69"/>
    <mergeCell ref="A70:K70"/>
    <mergeCell ref="A71:A72"/>
    <mergeCell ref="B71:B72"/>
    <mergeCell ref="C71:C72"/>
    <mergeCell ref="D71:D72"/>
    <mergeCell ref="A73:K73"/>
    <mergeCell ref="A74:A75"/>
    <mergeCell ref="B74:B75"/>
    <mergeCell ref="C74:C75"/>
    <mergeCell ref="D74:D75"/>
    <mergeCell ref="J74:J75"/>
    <mergeCell ref="A76:K76"/>
    <mergeCell ref="A77:A78"/>
    <mergeCell ref="B77:B78"/>
    <mergeCell ref="C77:C78"/>
    <mergeCell ref="D77:D78"/>
    <mergeCell ref="J77:J78"/>
    <mergeCell ref="A79:K79"/>
    <mergeCell ref="A81:K81"/>
    <mergeCell ref="A82:A83"/>
    <mergeCell ref="B82:B83"/>
    <mergeCell ref="C82:C83"/>
    <mergeCell ref="D82:D83"/>
    <mergeCell ref="J82:J83"/>
    <mergeCell ref="A84:K84"/>
    <mergeCell ref="A86:K86"/>
    <mergeCell ref="A88:K88"/>
    <mergeCell ref="A90:K90"/>
    <mergeCell ref="A92:K92"/>
    <mergeCell ref="A93:A94"/>
    <mergeCell ref="B93:B94"/>
    <mergeCell ref="J93:J94"/>
    <mergeCell ref="A95:K95"/>
    <mergeCell ref="A97:K97"/>
    <mergeCell ref="A99:K99"/>
    <mergeCell ref="A101:K101"/>
    <mergeCell ref="A103:K103"/>
    <mergeCell ref="A105:K105"/>
    <mergeCell ref="A107:K107"/>
    <mergeCell ref="A109:K109"/>
    <mergeCell ref="A111:K111"/>
    <mergeCell ref="A113:K113"/>
    <mergeCell ref="A115:K115"/>
    <mergeCell ref="A117:K117"/>
    <mergeCell ref="A119:K119"/>
    <mergeCell ref="A121:K121"/>
    <mergeCell ref="A123:K123"/>
    <mergeCell ref="A125:K12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bottomLeft" topLeftCell="H4" xSplit="0" ySplit="15"/>
      <selection activeCell="A1" activeCellId="0" pane="topLeft" sqref="A1"/>
      <selection activeCell="L4" activeCellId="0" pane="bottomLeft" sqref="L4"/>
    </sheetView>
  </sheetViews>
  <cols>
    <col collapsed="false" hidden="false" max="1" min="1" style="0" width="10.921568627451"/>
    <col collapsed="false" hidden="false" max="2" min="2" style="0" width="26.3960784313725"/>
    <col collapsed="false" hidden="false" max="3" min="3" style="0" width="10.921568627451"/>
    <col collapsed="false" hidden="false" max="4" min="4" style="0" width="15.2666666666667"/>
    <col collapsed="false" hidden="false" max="5" min="5" style="0" width="10.921568627451"/>
    <col collapsed="false" hidden="false" max="6" min="6" style="0" width="5.48627450980392"/>
    <col collapsed="false" hidden="false" max="7" min="7" style="0" width="10.921568627451"/>
    <col collapsed="false" hidden="false" max="8" min="8" style="0" width="26.3960784313725"/>
    <col collapsed="false" hidden="false" max="9" min="9" style="0" width="19.5607843137255"/>
    <col collapsed="false" hidden="false" max="10" min="10" style="0" width="19.2823529411765"/>
    <col collapsed="false" hidden="false" max="11" min="11" style="0" width="10.921568627451"/>
    <col collapsed="false" hidden="false" max="12" min="12" style="0" width="11.8588235294118"/>
    <col collapsed="false" hidden="false" max="1025" min="13" style="0" width="10.921568627451"/>
  </cols>
  <sheetData>
    <row collapsed="false" customFormat="false" customHeight="true" hidden="false" ht="21.75" outlineLevel="0" r="1">
      <c r="A1" s="49" t="s">
        <v>308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collapsed="false" customFormat="false" customHeight="true" hidden="false" ht="19.5" outlineLevel="0" r="2">
      <c r="A2" s="50" t="s">
        <v>309</v>
      </c>
      <c r="B2" s="50"/>
      <c r="C2" s="50"/>
      <c r="D2" s="50"/>
      <c r="E2" s="50"/>
      <c r="F2" s="51"/>
      <c r="G2" s="50" t="s">
        <v>310</v>
      </c>
      <c r="H2" s="50"/>
      <c r="I2" s="50"/>
      <c r="J2" s="50"/>
      <c r="K2" s="50"/>
      <c r="L2" s="50"/>
      <c r="M2" s="50"/>
    </row>
    <row collapsed="false" customFormat="false" customHeight="true" hidden="false" ht="50.25" outlineLevel="0" r="3">
      <c r="A3" s="52" t="s">
        <v>5</v>
      </c>
      <c r="B3" s="52" t="s">
        <v>249</v>
      </c>
      <c r="C3" s="52" t="s">
        <v>311</v>
      </c>
      <c r="D3" s="52" t="s">
        <v>312</v>
      </c>
      <c r="E3" s="52" t="s">
        <v>259</v>
      </c>
      <c r="F3" s="53"/>
      <c r="G3" s="52" t="s">
        <v>5</v>
      </c>
      <c r="H3" s="52" t="s">
        <v>249</v>
      </c>
      <c r="I3" s="52" t="s">
        <v>312</v>
      </c>
      <c r="J3" s="52" t="s">
        <v>313</v>
      </c>
      <c r="K3" s="52" t="s">
        <v>259</v>
      </c>
      <c r="L3" s="52" t="s">
        <v>252</v>
      </c>
      <c r="M3" s="52" t="s">
        <v>253</v>
      </c>
    </row>
    <row collapsed="false" customFormat="false" customHeight="true" hidden="false" ht="15" outlineLevel="0" r="4">
      <c r="A4" s="54" t="n">
        <v>2012</v>
      </c>
      <c r="B4" s="55" t="s">
        <v>262</v>
      </c>
      <c r="C4" s="55" t="n">
        <v>45</v>
      </c>
      <c r="D4" s="55" t="n">
        <f aca="false">15+30</f>
        <v>45</v>
      </c>
      <c r="E4" s="56" t="n">
        <f aca="false">+C4-D4</f>
        <v>0</v>
      </c>
      <c r="F4" s="57"/>
      <c r="G4" s="54" t="n">
        <f aca="false">+A4</f>
        <v>2012</v>
      </c>
      <c r="H4" s="55" t="str">
        <f aca="false">+B4</f>
        <v>CHAQUETA FEMENINA</v>
      </c>
      <c r="I4" s="55" t="n">
        <f aca="false">+D4</f>
        <v>45</v>
      </c>
      <c r="J4" s="56" t="n">
        <f aca="false">15+11+19</f>
        <v>45</v>
      </c>
      <c r="K4" s="56" t="n">
        <f aca="false">+I4-J4</f>
        <v>0</v>
      </c>
      <c r="L4" s="55" t="n">
        <f aca="false">15+11+19</f>
        <v>45</v>
      </c>
      <c r="M4" s="54" t="n">
        <f aca="false">+J4-L4</f>
        <v>0</v>
      </c>
    </row>
    <row collapsed="false" customFormat="false" customHeight="true" hidden="false" ht="15" outlineLevel="0" r="5">
      <c r="A5" s="54"/>
      <c r="B5" s="54"/>
      <c r="C5" s="54"/>
      <c r="D5" s="54"/>
      <c r="E5" s="56"/>
      <c r="F5" s="57"/>
      <c r="G5" s="54"/>
      <c r="H5" s="54"/>
      <c r="I5" s="54"/>
      <c r="J5" s="56"/>
      <c r="K5" s="56"/>
      <c r="L5" s="54"/>
      <c r="M5" s="54"/>
    </row>
    <row collapsed="false" customFormat="false" customHeight="true" hidden="false" ht="15.75" outlineLevel="0" r="6">
      <c r="A6" s="54"/>
      <c r="B6" s="58" t="s">
        <v>210</v>
      </c>
      <c r="C6" s="59" t="n">
        <f aca="false">SUM(C3:C5)</f>
        <v>45</v>
      </c>
      <c r="D6" s="59" t="n">
        <f aca="false">SUM(D3:D5)</f>
        <v>45</v>
      </c>
      <c r="E6" s="60" t="n">
        <f aca="false">+C6-D6</f>
        <v>0</v>
      </c>
      <c r="F6" s="57"/>
      <c r="G6" s="54"/>
      <c r="H6" s="54"/>
      <c r="I6" s="61" t="s">
        <v>210</v>
      </c>
      <c r="J6" s="60" t="n">
        <f aca="false">SUM(J4:J5)</f>
        <v>45</v>
      </c>
      <c r="K6" s="60" t="n">
        <f aca="false">SUM(K4:K5)</f>
        <v>0</v>
      </c>
      <c r="L6" s="59" t="n">
        <f aca="false">SUM(L4:L5)</f>
        <v>45</v>
      </c>
      <c r="M6" s="59" t="n">
        <f aca="false">SUM(M4:M5)</f>
        <v>0</v>
      </c>
    </row>
    <row collapsed="false" customFormat="false" customHeight="true" hidden="false" ht="15.75" outlineLevel="0" r="7">
      <c r="A7" s="62"/>
      <c r="B7" s="62"/>
      <c r="C7" s="62"/>
      <c r="D7" s="62"/>
      <c r="E7" s="62"/>
      <c r="F7" s="57"/>
      <c r="G7" s="62"/>
      <c r="H7" s="62"/>
      <c r="I7" s="62"/>
      <c r="J7" s="62"/>
      <c r="K7" s="62"/>
      <c r="L7" s="62"/>
      <c r="M7" s="62"/>
    </row>
    <row collapsed="false" customFormat="false" customHeight="true" hidden="false" ht="15" outlineLevel="0" r="8">
      <c r="A8" s="54" t="n">
        <v>2012</v>
      </c>
      <c r="B8" s="55" t="s">
        <v>274</v>
      </c>
      <c r="C8" s="55" t="n">
        <v>194</v>
      </c>
      <c r="D8" s="55" t="n">
        <f aca="false">60+44+90</f>
        <v>194</v>
      </c>
      <c r="E8" s="56" t="n">
        <f aca="false">+C8-D8</f>
        <v>0</v>
      </c>
      <c r="F8" s="57"/>
      <c r="G8" s="54" t="n">
        <f aca="false">+A8</f>
        <v>2012</v>
      </c>
      <c r="H8" s="55" t="str">
        <f aca="false">+B8</f>
        <v>PANTALONETA NIÑO</v>
      </c>
      <c r="I8" s="55" t="n">
        <f aca="false">+D8</f>
        <v>194</v>
      </c>
      <c r="J8" s="56" t="n">
        <v>60</v>
      </c>
      <c r="K8" s="56" t="n">
        <f aca="false">+I8-J8</f>
        <v>134</v>
      </c>
      <c r="L8" s="55" t="n">
        <v>60</v>
      </c>
      <c r="M8" s="54" t="n">
        <f aca="false">+J8-L8</f>
        <v>0</v>
      </c>
    </row>
    <row collapsed="false" customFormat="false" customHeight="true" hidden="false" ht="15" outlineLevel="0" r="9">
      <c r="A9" s="54"/>
      <c r="B9" s="54"/>
      <c r="C9" s="54"/>
      <c r="D9" s="54"/>
      <c r="E9" s="56"/>
      <c r="F9" s="57"/>
      <c r="G9" s="54"/>
      <c r="H9" s="54"/>
      <c r="I9" s="54"/>
      <c r="J9" s="56"/>
      <c r="K9" s="56"/>
      <c r="L9" s="54"/>
      <c r="M9" s="54"/>
    </row>
    <row collapsed="false" customFormat="false" customHeight="true" hidden="false" ht="15.75" outlineLevel="0" r="10">
      <c r="A10" s="54"/>
      <c r="B10" s="58" t="s">
        <v>210</v>
      </c>
      <c r="C10" s="59" t="n">
        <f aca="false">SUM(C8:C9)</f>
        <v>194</v>
      </c>
      <c r="D10" s="59" t="n">
        <f aca="false">SUM(D8:D9)</f>
        <v>194</v>
      </c>
      <c r="E10" s="60" t="n">
        <f aca="false">+C10-D10</f>
        <v>0</v>
      </c>
      <c r="F10" s="57"/>
      <c r="G10" s="54"/>
      <c r="H10" s="54"/>
      <c r="I10" s="58" t="s">
        <v>210</v>
      </c>
      <c r="J10" s="60" t="n">
        <f aca="false">SUM(J8:J9)</f>
        <v>60</v>
      </c>
      <c r="K10" s="60" t="n">
        <f aca="false">SUM(K8:K9)</f>
        <v>134</v>
      </c>
      <c r="L10" s="60" t="n">
        <f aca="false">SUM(L8:L9)</f>
        <v>60</v>
      </c>
      <c r="M10" s="60" t="n">
        <f aca="false">SUM(M8:M9)</f>
        <v>0</v>
      </c>
    </row>
    <row collapsed="false" customFormat="false" customHeight="true" hidden="false" ht="15.75" outlineLevel="0" r="11">
      <c r="A11" s="62"/>
      <c r="B11" s="62"/>
      <c r="C11" s="62"/>
      <c r="D11" s="62"/>
      <c r="E11" s="62"/>
      <c r="F11" s="57"/>
      <c r="G11" s="62"/>
      <c r="H11" s="62"/>
      <c r="I11" s="62"/>
      <c r="J11" s="62"/>
      <c r="K11" s="62"/>
      <c r="L11" s="62"/>
      <c r="M11" s="62"/>
    </row>
    <row collapsed="false" customFormat="false" customHeight="true" hidden="false" ht="15" outlineLevel="0" r="12">
      <c r="A12" s="54" t="n">
        <v>2012</v>
      </c>
      <c r="B12" s="63" t="s">
        <v>272</v>
      </c>
      <c r="C12" s="55" t="n">
        <v>121</v>
      </c>
      <c r="D12" s="55" t="n">
        <v>121</v>
      </c>
      <c r="E12" s="56" t="n">
        <f aca="false">+C12-D12</f>
        <v>0</v>
      </c>
      <c r="F12" s="57"/>
      <c r="G12" s="54" t="n">
        <f aca="false">+A12</f>
        <v>2012</v>
      </c>
      <c r="H12" s="63" t="str">
        <f aca="false">+B12</f>
        <v>BOXER FEMENINO</v>
      </c>
      <c r="I12" s="55" t="n">
        <f aca="false">+D12</f>
        <v>121</v>
      </c>
      <c r="J12" s="56" t="n">
        <f aca="false">60+61</f>
        <v>121</v>
      </c>
      <c r="K12" s="56" t="n">
        <f aca="false">+I12-J12</f>
        <v>0</v>
      </c>
      <c r="L12" s="55" t="n">
        <v>121</v>
      </c>
      <c r="M12" s="54" t="n">
        <f aca="false">+J12-L12</f>
        <v>0</v>
      </c>
    </row>
    <row collapsed="false" customFormat="false" customHeight="true" hidden="false" ht="15" outlineLevel="0" r="13">
      <c r="A13" s="54" t="s">
        <v>79</v>
      </c>
      <c r="B13" s="63" t="s">
        <v>272</v>
      </c>
      <c r="C13" s="54" t="n">
        <v>256</v>
      </c>
      <c r="D13" s="54" t="n">
        <f aca="false">64+64</f>
        <v>128</v>
      </c>
      <c r="E13" s="56" t="n">
        <f aca="false">+C13-D13</f>
        <v>128</v>
      </c>
      <c r="F13" s="57"/>
      <c r="G13" s="54" t="str">
        <f aca="false">+A13</f>
        <v>´014</v>
      </c>
      <c r="H13" s="63" t="str">
        <f aca="false">+B12</f>
        <v>BOXER FEMENINO</v>
      </c>
      <c r="I13" s="54" t="n">
        <f aca="false">+D13</f>
        <v>128</v>
      </c>
      <c r="J13" s="56" t="n">
        <f aca="false">64+24</f>
        <v>88</v>
      </c>
      <c r="K13" s="56"/>
      <c r="L13" s="54" t="n">
        <v>3</v>
      </c>
      <c r="M13" s="54" t="n">
        <f aca="false">+J13-L13</f>
        <v>85</v>
      </c>
    </row>
    <row collapsed="false" customFormat="false" customHeight="true" hidden="false" ht="15" outlineLevel="0" r="14">
      <c r="A14" s="54"/>
      <c r="B14" s="54"/>
      <c r="C14" s="54"/>
      <c r="D14" s="54"/>
      <c r="E14" s="56"/>
      <c r="F14" s="57"/>
      <c r="G14" s="54"/>
      <c r="H14" s="54"/>
      <c r="I14" s="54"/>
      <c r="J14" s="56"/>
      <c r="K14" s="56"/>
      <c r="L14" s="54"/>
      <c r="M14" s="54"/>
    </row>
    <row collapsed="false" customFormat="false" customHeight="true" hidden="false" ht="15.75" outlineLevel="0" r="15">
      <c r="A15" s="54"/>
      <c r="B15" s="58" t="s">
        <v>210</v>
      </c>
      <c r="C15" s="59" t="n">
        <f aca="false">SUM(C12:C14)</f>
        <v>377</v>
      </c>
      <c r="D15" s="59" t="n">
        <f aca="false">SUM(D12:D14)</f>
        <v>249</v>
      </c>
      <c r="E15" s="60" t="n">
        <f aca="false">+C15-D15</f>
        <v>128</v>
      </c>
      <c r="F15" s="57"/>
      <c r="G15" s="54" t="n">
        <f aca="false">+A15</f>
        <v>0</v>
      </c>
      <c r="H15" s="54"/>
      <c r="I15" s="58" t="s">
        <v>210</v>
      </c>
      <c r="J15" s="60" t="n">
        <f aca="false">SUM(J12:J14)</f>
        <v>209</v>
      </c>
      <c r="K15" s="60" t="n">
        <f aca="false">SUM(K12:K14)</f>
        <v>0</v>
      </c>
      <c r="L15" s="60" t="n">
        <f aca="false">SUM(L12:L14)</f>
        <v>124</v>
      </c>
      <c r="M15" s="60" t="n">
        <f aca="false">SUM(M12:M14)</f>
        <v>85</v>
      </c>
    </row>
    <row collapsed="false" customFormat="false" customHeight="true" hidden="false" ht="15.75" outlineLevel="0" r="16">
      <c r="A16" s="62"/>
      <c r="B16" s="62"/>
      <c r="C16" s="62"/>
      <c r="D16" s="62"/>
      <c r="E16" s="62"/>
      <c r="F16" s="57"/>
      <c r="G16" s="62"/>
      <c r="H16" s="62"/>
      <c r="I16" s="62"/>
      <c r="J16" s="62"/>
      <c r="K16" s="62"/>
      <c r="L16" s="62"/>
      <c r="M16" s="62"/>
    </row>
    <row collapsed="false" customFormat="false" customHeight="true" hidden="false" ht="15" outlineLevel="0" r="17">
      <c r="A17" s="54" t="s">
        <v>314</v>
      </c>
      <c r="B17" s="55" t="s">
        <v>284</v>
      </c>
      <c r="C17" s="55" t="n">
        <v>72</v>
      </c>
      <c r="D17" s="55" t="n">
        <v>72</v>
      </c>
      <c r="E17" s="56" t="n">
        <f aca="false">+C17-D17</f>
        <v>0</v>
      </c>
      <c r="F17" s="57"/>
      <c r="G17" s="54" t="str">
        <f aca="false">+A17</f>
        <v>APROVECH</v>
      </c>
      <c r="H17" s="55" t="str">
        <f aca="false">+B17</f>
        <v>TANGA BRASILERA</v>
      </c>
      <c r="I17" s="55" t="n">
        <f aca="false">+D17</f>
        <v>72</v>
      </c>
      <c r="J17" s="56" t="n">
        <v>72</v>
      </c>
      <c r="K17" s="56" t="n">
        <f aca="false">+I17-J17</f>
        <v>0</v>
      </c>
      <c r="L17" s="55" t="n">
        <v>72</v>
      </c>
      <c r="M17" s="54" t="n">
        <f aca="false">+J17-L17</f>
        <v>0</v>
      </c>
    </row>
    <row collapsed="false" customFormat="false" customHeight="true" hidden="false" ht="15" outlineLevel="0" r="18">
      <c r="A18" s="54"/>
      <c r="B18" s="54"/>
      <c r="C18" s="54"/>
      <c r="D18" s="54"/>
      <c r="E18" s="56" t="n">
        <f aca="false">+C18-D18</f>
        <v>0</v>
      </c>
      <c r="F18" s="57"/>
      <c r="G18" s="54"/>
      <c r="H18" s="54"/>
      <c r="I18" s="54"/>
      <c r="J18" s="56"/>
      <c r="K18" s="56"/>
      <c r="L18" s="54"/>
      <c r="M18" s="54"/>
    </row>
    <row collapsed="false" customFormat="false" customHeight="true" hidden="false" ht="15" outlineLevel="0" r="19">
      <c r="A19" s="54"/>
      <c r="B19" s="54"/>
      <c r="C19" s="54"/>
      <c r="D19" s="54"/>
      <c r="E19" s="56"/>
      <c r="F19" s="57"/>
      <c r="G19" s="54"/>
      <c r="H19" s="54"/>
      <c r="I19" s="54"/>
      <c r="J19" s="56"/>
      <c r="K19" s="56"/>
      <c r="L19" s="54"/>
      <c r="M19" s="54"/>
    </row>
    <row collapsed="false" customFormat="false" customHeight="true" hidden="false" ht="15.75" outlineLevel="0" r="20">
      <c r="A20" s="54"/>
      <c r="B20" s="58" t="s">
        <v>210</v>
      </c>
      <c r="C20" s="59" t="n">
        <f aca="false">SUM(C17:C19)</f>
        <v>72</v>
      </c>
      <c r="D20" s="59" t="n">
        <f aca="false">SUM(D17:D19)</f>
        <v>72</v>
      </c>
      <c r="E20" s="60" t="n">
        <f aca="false">+C20-D20</f>
        <v>0</v>
      </c>
      <c r="F20" s="57"/>
      <c r="G20" s="54"/>
      <c r="H20" s="54"/>
      <c r="I20" s="58" t="s">
        <v>210</v>
      </c>
      <c r="J20" s="60" t="n">
        <f aca="false">SUM(J17:J19)</f>
        <v>72</v>
      </c>
      <c r="K20" s="60" t="n">
        <f aca="false">SUM(K17:K19)</f>
        <v>0</v>
      </c>
      <c r="L20" s="60" t="n">
        <f aca="false">SUM(L17:L19)</f>
        <v>72</v>
      </c>
      <c r="M20" s="60" t="n">
        <f aca="false">SUM(M17:M19)</f>
        <v>0</v>
      </c>
    </row>
    <row collapsed="false" customFormat="false" customHeight="true" hidden="false" ht="15.75" outlineLevel="0" r="21">
      <c r="A21" s="62"/>
      <c r="B21" s="62"/>
      <c r="C21" s="62"/>
      <c r="D21" s="62"/>
      <c r="E21" s="62"/>
      <c r="F21" s="57"/>
      <c r="G21" s="62"/>
      <c r="H21" s="62"/>
      <c r="I21" s="62"/>
      <c r="J21" s="62"/>
      <c r="K21" s="62"/>
      <c r="L21" s="62"/>
      <c r="M21" s="62"/>
    </row>
    <row collapsed="false" customFormat="false" customHeight="true" hidden="false" ht="15" outlineLevel="0" r="22">
      <c r="A22" s="54" t="n">
        <v>2012</v>
      </c>
      <c r="B22" s="55" t="s">
        <v>286</v>
      </c>
      <c r="C22" s="55" t="n">
        <v>16</v>
      </c>
      <c r="D22" s="55" t="n">
        <v>16</v>
      </c>
      <c r="E22" s="56" t="n">
        <f aca="false">+C22-D22</f>
        <v>0</v>
      </c>
      <c r="F22" s="57"/>
      <c r="G22" s="54" t="n">
        <f aca="false">+A22</f>
        <v>2012</v>
      </c>
      <c r="H22" s="55" t="str">
        <f aca="false">+B22</f>
        <v>BRASIER</v>
      </c>
      <c r="I22" s="55" t="n">
        <f aca="false">+D22</f>
        <v>16</v>
      </c>
      <c r="J22" s="56" t="n">
        <v>16</v>
      </c>
      <c r="K22" s="56" t="n">
        <f aca="false">+I22-J22</f>
        <v>0</v>
      </c>
      <c r="L22" s="55" t="n">
        <v>16</v>
      </c>
      <c r="M22" s="54" t="n">
        <f aca="false">+J22-L22</f>
        <v>0</v>
      </c>
    </row>
    <row collapsed="false" customFormat="false" customHeight="true" hidden="false" ht="15" outlineLevel="0" r="23">
      <c r="A23" s="54"/>
      <c r="B23" s="54"/>
      <c r="C23" s="54"/>
      <c r="D23" s="54"/>
      <c r="E23" s="56" t="n">
        <f aca="false">+C23-D23</f>
        <v>0</v>
      </c>
      <c r="F23" s="57"/>
      <c r="G23" s="54"/>
      <c r="H23" s="54"/>
      <c r="I23" s="54"/>
      <c r="J23" s="56"/>
      <c r="K23" s="56"/>
      <c r="L23" s="54"/>
      <c r="M23" s="54"/>
    </row>
    <row collapsed="false" customFormat="false" customHeight="true" hidden="false" ht="15" outlineLevel="0" r="24">
      <c r="A24" s="54"/>
      <c r="B24" s="54"/>
      <c r="C24" s="54"/>
      <c r="D24" s="54"/>
      <c r="E24" s="56"/>
      <c r="F24" s="57"/>
      <c r="G24" s="54"/>
      <c r="H24" s="54"/>
      <c r="I24" s="54"/>
      <c r="J24" s="56"/>
      <c r="K24" s="56"/>
      <c r="L24" s="54"/>
      <c r="M24" s="54"/>
    </row>
    <row collapsed="false" customFormat="false" customHeight="true" hidden="false" ht="15.75" outlineLevel="0" r="25">
      <c r="A25" s="54"/>
      <c r="B25" s="58" t="s">
        <v>210</v>
      </c>
      <c r="C25" s="59" t="n">
        <f aca="false">SUM(C22:C24)</f>
        <v>16</v>
      </c>
      <c r="D25" s="59" t="n">
        <f aca="false">SUM(D22:D24)</f>
        <v>16</v>
      </c>
      <c r="E25" s="60" t="n">
        <f aca="false">+C25-D25</f>
        <v>0</v>
      </c>
      <c r="F25" s="57"/>
      <c r="G25" s="54"/>
      <c r="H25" s="54"/>
      <c r="I25" s="58" t="s">
        <v>210</v>
      </c>
      <c r="J25" s="60" t="n">
        <f aca="false">SUM(J22:J24)</f>
        <v>16</v>
      </c>
      <c r="K25" s="60" t="n">
        <f aca="false">SUM(K22:K24)</f>
        <v>0</v>
      </c>
      <c r="L25" s="60" t="n">
        <f aca="false">SUM(L22:L24)</f>
        <v>16</v>
      </c>
      <c r="M25" s="60" t="n">
        <f aca="false">SUM(M22:M24)</f>
        <v>0</v>
      </c>
    </row>
    <row collapsed="false" customFormat="false" customHeight="true" hidden="false" ht="15.75" outlineLevel="0" r="26">
      <c r="A26" s="62"/>
      <c r="B26" s="62"/>
      <c r="C26" s="62"/>
      <c r="D26" s="62"/>
      <c r="E26" s="62"/>
      <c r="F26" s="57"/>
      <c r="G26" s="62"/>
      <c r="H26" s="62"/>
      <c r="I26" s="62"/>
      <c r="J26" s="62"/>
      <c r="K26" s="62"/>
      <c r="L26" s="62"/>
      <c r="M26" s="62"/>
    </row>
    <row collapsed="false" customFormat="false" customHeight="true" hidden="false" ht="15" outlineLevel="0" r="27">
      <c r="A27" s="54" t="s">
        <v>79</v>
      </c>
      <c r="B27" s="55" t="s">
        <v>277</v>
      </c>
      <c r="C27" s="55" t="n">
        <v>256</v>
      </c>
      <c r="D27" s="55" t="n">
        <v>64</v>
      </c>
      <c r="E27" s="56" t="n">
        <f aca="false">+C27-D27</f>
        <v>192</v>
      </c>
      <c r="F27" s="57"/>
      <c r="G27" s="54" t="str">
        <f aca="false">+A27</f>
        <v>´014</v>
      </c>
      <c r="H27" s="55" t="str">
        <f aca="false">+B27</f>
        <v>CACHETERO</v>
      </c>
      <c r="I27" s="55" t="n">
        <f aca="false">+D27</f>
        <v>64</v>
      </c>
      <c r="J27" s="56"/>
      <c r="K27" s="56" t="n">
        <f aca="false">+I27-J27</f>
        <v>64</v>
      </c>
      <c r="L27" s="55"/>
      <c r="M27" s="54" t="n">
        <f aca="false">+J27-L27</f>
        <v>0</v>
      </c>
    </row>
    <row collapsed="false" customFormat="false" customHeight="true" hidden="false" ht="15" outlineLevel="0" r="28">
      <c r="A28" s="54"/>
      <c r="B28" s="54"/>
      <c r="C28" s="54"/>
      <c r="D28" s="54"/>
      <c r="E28" s="56"/>
      <c r="F28" s="57"/>
      <c r="G28" s="54"/>
      <c r="H28" s="54"/>
      <c r="I28" s="54"/>
      <c r="J28" s="56"/>
      <c r="K28" s="56"/>
      <c r="L28" s="54"/>
      <c r="M28" s="54"/>
    </row>
    <row collapsed="false" customFormat="false" customHeight="true" hidden="false" ht="15" outlineLevel="0" r="29">
      <c r="A29" s="54"/>
      <c r="B29" s="54"/>
      <c r="C29" s="54"/>
      <c r="D29" s="54"/>
      <c r="E29" s="56"/>
      <c r="F29" s="57"/>
      <c r="G29" s="54"/>
      <c r="H29" s="54"/>
      <c r="I29" s="54"/>
      <c r="J29" s="56"/>
      <c r="K29" s="56"/>
      <c r="L29" s="54"/>
      <c r="M29" s="54"/>
    </row>
    <row collapsed="false" customFormat="false" customHeight="true" hidden="false" ht="15.75" outlineLevel="0" r="30">
      <c r="A30" s="54"/>
      <c r="B30" s="58" t="s">
        <v>210</v>
      </c>
      <c r="C30" s="59" t="n">
        <f aca="false">SUM(C27:C29)</f>
        <v>256</v>
      </c>
      <c r="D30" s="59" t="n">
        <f aca="false">SUM(D27:D29)</f>
        <v>64</v>
      </c>
      <c r="E30" s="60" t="n">
        <f aca="false">+C30-D30</f>
        <v>192</v>
      </c>
      <c r="F30" s="57"/>
      <c r="G30" s="54" t="n">
        <f aca="false">+A30</f>
        <v>0</v>
      </c>
      <c r="H30" s="54"/>
      <c r="I30" s="58" t="s">
        <v>210</v>
      </c>
      <c r="J30" s="60" t="n">
        <f aca="false">SUM(J27:J29)</f>
        <v>0</v>
      </c>
      <c r="K30" s="60" t="n">
        <f aca="false">SUM(K27:K29)</f>
        <v>64</v>
      </c>
      <c r="L30" s="60" t="n">
        <f aca="false">SUM(L27:L29)</f>
        <v>0</v>
      </c>
      <c r="M30" s="60" t="n">
        <f aca="false">SUM(M27:M29)</f>
        <v>0</v>
      </c>
    </row>
    <row collapsed="false" customFormat="false" customHeight="true" hidden="false" ht="15.75" outlineLevel="0" r="31">
      <c r="A31" s="62"/>
      <c r="B31" s="62"/>
      <c r="C31" s="62"/>
      <c r="D31" s="62"/>
      <c r="E31" s="62"/>
      <c r="F31" s="57"/>
      <c r="G31" s="62"/>
      <c r="H31" s="62"/>
      <c r="I31" s="62"/>
      <c r="J31" s="62"/>
      <c r="K31" s="62"/>
      <c r="L31" s="62"/>
      <c r="M31" s="62"/>
    </row>
    <row collapsed="false" customFormat="false" customHeight="true" hidden="false" ht="15" outlineLevel="0" r="32">
      <c r="A32" s="54" t="s">
        <v>82</v>
      </c>
      <c r="B32" s="55" t="s">
        <v>235</v>
      </c>
      <c r="C32" s="55" t="n">
        <v>1360</v>
      </c>
      <c r="D32" s="55" t="n">
        <f aca="false">76+112+78</f>
        <v>266</v>
      </c>
      <c r="E32" s="56" t="n">
        <f aca="false">+C32-D32</f>
        <v>1094</v>
      </c>
      <c r="F32" s="57"/>
      <c r="G32" s="54" t="str">
        <f aca="false">+A32</f>
        <v>´015</v>
      </c>
      <c r="H32" s="55" t="str">
        <f aca="false">+B32</f>
        <v>BOXER MASCULINO</v>
      </c>
      <c r="I32" s="55" t="n">
        <f aca="false">+D32</f>
        <v>266</v>
      </c>
      <c r="J32" s="56" t="n">
        <f aca="false">28+78</f>
        <v>106</v>
      </c>
      <c r="K32" s="56" t="n">
        <f aca="false">+I32-J32</f>
        <v>160</v>
      </c>
      <c r="L32" s="55" t="n">
        <f aca="false">18+78</f>
        <v>96</v>
      </c>
      <c r="M32" s="54" t="n">
        <f aca="false">+J32-L32</f>
        <v>10</v>
      </c>
    </row>
    <row collapsed="false" customFormat="false" customHeight="true" hidden="false" ht="15" outlineLevel="0" r="33">
      <c r="A33" s="54"/>
      <c r="B33" s="54"/>
      <c r="C33" s="54"/>
      <c r="D33" s="54"/>
      <c r="E33" s="56" t="n">
        <f aca="false">+C33-D33</f>
        <v>0</v>
      </c>
      <c r="F33" s="57"/>
      <c r="G33" s="54"/>
      <c r="H33" s="54"/>
      <c r="I33" s="54"/>
      <c r="J33" s="56"/>
      <c r="K33" s="56"/>
      <c r="L33" s="54"/>
      <c r="M33" s="54"/>
    </row>
    <row collapsed="false" customFormat="false" customHeight="true" hidden="false" ht="15" outlineLevel="0" r="34">
      <c r="A34" s="54"/>
      <c r="B34" s="54"/>
      <c r="C34" s="54"/>
      <c r="D34" s="54"/>
      <c r="E34" s="56"/>
      <c r="F34" s="57"/>
      <c r="G34" s="54"/>
      <c r="H34" s="54"/>
      <c r="I34" s="54"/>
      <c r="J34" s="56"/>
      <c r="K34" s="56"/>
      <c r="L34" s="54"/>
      <c r="M34" s="54"/>
    </row>
    <row collapsed="false" customFormat="false" customHeight="true" hidden="false" ht="15.75" outlineLevel="0" r="35">
      <c r="A35" s="54"/>
      <c r="B35" s="58" t="s">
        <v>210</v>
      </c>
      <c r="C35" s="59" t="n">
        <f aca="false">SUM(C32:C34)</f>
        <v>1360</v>
      </c>
      <c r="D35" s="59" t="n">
        <f aca="false">SUM(D32:D34)</f>
        <v>266</v>
      </c>
      <c r="E35" s="60" t="n">
        <f aca="false">+C35-D35</f>
        <v>1094</v>
      </c>
      <c r="F35" s="57"/>
      <c r="G35" s="54"/>
      <c r="H35" s="54"/>
      <c r="I35" s="58" t="s">
        <v>210</v>
      </c>
      <c r="J35" s="60" t="n">
        <f aca="false">SUM(J32:J34)</f>
        <v>106</v>
      </c>
      <c r="K35" s="60" t="n">
        <f aca="false">SUM(K32:K34)</f>
        <v>160</v>
      </c>
      <c r="L35" s="60" t="n">
        <f aca="false">SUM(L32:L34)</f>
        <v>96</v>
      </c>
      <c r="M35" s="60" t="n">
        <f aca="false">SUM(M32:M34)</f>
        <v>10</v>
      </c>
    </row>
    <row collapsed="false" customFormat="false" customHeight="true" hidden="false" ht="15.75" outlineLevel="0" r="36">
      <c r="A36" s="62"/>
      <c r="B36" s="62"/>
      <c r="C36" s="62"/>
      <c r="D36" s="62"/>
      <c r="E36" s="62"/>
      <c r="F36" s="57"/>
      <c r="G36" s="62"/>
      <c r="H36" s="62"/>
      <c r="I36" s="62"/>
      <c r="J36" s="62"/>
      <c r="K36" s="62"/>
      <c r="L36" s="62"/>
      <c r="M36" s="62"/>
    </row>
    <row collapsed="false" customFormat="false" customHeight="true" hidden="false" ht="15" outlineLevel="0" r="37">
      <c r="A37" s="54" t="n">
        <v>2012</v>
      </c>
      <c r="B37" s="55" t="s">
        <v>299</v>
      </c>
      <c r="C37" s="55" t="n">
        <v>210</v>
      </c>
      <c r="D37" s="55" t="n">
        <v>210</v>
      </c>
      <c r="E37" s="56" t="n">
        <f aca="false">+C37-D37</f>
        <v>0</v>
      </c>
      <c r="F37" s="57"/>
      <c r="G37" s="54" t="n">
        <f aca="false">+A37</f>
        <v>2012</v>
      </c>
      <c r="H37" s="55" t="str">
        <f aca="false">+B37</f>
        <v>BOLSO</v>
      </c>
      <c r="I37" s="55" t="n">
        <f aca="false">+D37</f>
        <v>210</v>
      </c>
      <c r="J37" s="56"/>
      <c r="K37" s="56" t="n">
        <f aca="false">+I37-J37</f>
        <v>210</v>
      </c>
      <c r="L37" s="55"/>
      <c r="M37" s="54" t="n">
        <f aca="false">+J37-L37</f>
        <v>0</v>
      </c>
    </row>
    <row collapsed="false" customFormat="false" customHeight="true" hidden="false" ht="15" outlineLevel="0" r="38">
      <c r="A38" s="54"/>
      <c r="B38" s="54"/>
      <c r="C38" s="54"/>
      <c r="D38" s="54"/>
      <c r="E38" s="56"/>
      <c r="F38" s="57"/>
      <c r="G38" s="54"/>
      <c r="H38" s="54"/>
      <c r="I38" s="54"/>
      <c r="J38" s="56"/>
      <c r="K38" s="56"/>
      <c r="L38" s="54"/>
      <c r="M38" s="54"/>
    </row>
    <row collapsed="false" customFormat="false" customHeight="true" hidden="false" ht="15.75" outlineLevel="0" r="39">
      <c r="A39" s="54"/>
      <c r="B39" s="58" t="s">
        <v>210</v>
      </c>
      <c r="C39" s="59" t="n">
        <f aca="false">SUM(C37:C38)</f>
        <v>210</v>
      </c>
      <c r="D39" s="59" t="n">
        <f aca="false">SUM(D37:D38)</f>
        <v>210</v>
      </c>
      <c r="E39" s="60" t="n">
        <f aca="false">+C39-D39</f>
        <v>0</v>
      </c>
      <c r="F39" s="57"/>
      <c r="G39" s="54"/>
      <c r="H39" s="54"/>
      <c r="I39" s="58" t="s">
        <v>210</v>
      </c>
      <c r="J39" s="60" t="n">
        <f aca="false">SUM(J37:J38)</f>
        <v>0</v>
      </c>
      <c r="K39" s="60" t="n">
        <f aca="false">SUM(K37:K38)</f>
        <v>210</v>
      </c>
      <c r="L39" s="60" t="n">
        <f aca="false">SUM(L37:L38)</f>
        <v>0</v>
      </c>
      <c r="M39" s="60" t="n">
        <f aca="false">SUM(M37:M38)</f>
        <v>0</v>
      </c>
    </row>
    <row collapsed="false" customFormat="false" customHeight="true" hidden="false" ht="15.75" outlineLevel="0" r="40">
      <c r="A40" s="62"/>
      <c r="B40" s="62"/>
      <c r="C40" s="62"/>
      <c r="D40" s="62"/>
      <c r="E40" s="62"/>
      <c r="F40" s="57"/>
      <c r="G40" s="62"/>
      <c r="H40" s="62"/>
      <c r="I40" s="62"/>
      <c r="J40" s="62"/>
      <c r="K40" s="62"/>
      <c r="L40" s="62"/>
      <c r="M40" s="62"/>
    </row>
    <row collapsed="false" customFormat="false" customHeight="true" hidden="false" ht="15" outlineLevel="0" r="41">
      <c r="A41" s="54" t="s">
        <v>99</v>
      </c>
      <c r="B41" s="55" t="s">
        <v>100</v>
      </c>
      <c r="C41" s="55"/>
      <c r="D41" s="55"/>
      <c r="E41" s="56" t="n">
        <f aca="false">+C41-D41</f>
        <v>0</v>
      </c>
      <c r="F41" s="57"/>
      <c r="G41" s="54" t="str">
        <f aca="false">+A41</f>
        <v>´025</v>
      </c>
      <c r="H41" s="55" t="str">
        <f aca="false">+B41</f>
        <v>CARTUCHERA</v>
      </c>
      <c r="I41" s="55" t="n">
        <f aca="false">+D41</f>
        <v>0</v>
      </c>
      <c r="J41" s="56"/>
      <c r="K41" s="56" t="n">
        <f aca="false">+I41-J41</f>
        <v>0</v>
      </c>
      <c r="L41" s="55"/>
      <c r="M41" s="54" t="n">
        <f aca="false">+J41-L41</f>
        <v>0</v>
      </c>
    </row>
    <row collapsed="false" customFormat="false" customHeight="true" hidden="false" ht="15" outlineLevel="0" r="42">
      <c r="A42" s="54"/>
      <c r="B42" s="54"/>
      <c r="C42" s="54"/>
      <c r="D42" s="54"/>
      <c r="E42" s="56"/>
      <c r="F42" s="57"/>
      <c r="G42" s="54"/>
      <c r="H42" s="54"/>
      <c r="I42" s="54"/>
      <c r="J42" s="56"/>
      <c r="K42" s="56"/>
      <c r="L42" s="54"/>
      <c r="M42" s="54"/>
    </row>
    <row collapsed="false" customFormat="false" customHeight="true" hidden="false" ht="15" outlineLevel="0" r="43">
      <c r="A43" s="54"/>
      <c r="B43" s="54"/>
      <c r="C43" s="54"/>
      <c r="D43" s="54"/>
      <c r="E43" s="56" t="n">
        <f aca="false">+C43-D43</f>
        <v>0</v>
      </c>
      <c r="F43" s="57"/>
      <c r="G43" s="54" t="n">
        <f aca="false">+A43</f>
        <v>0</v>
      </c>
      <c r="H43" s="54" t="n">
        <f aca="false">+B43</f>
        <v>0</v>
      </c>
      <c r="I43" s="54" t="n">
        <f aca="false">+D43</f>
        <v>0</v>
      </c>
      <c r="J43" s="56"/>
      <c r="K43" s="56" t="n">
        <f aca="false">+I43-J43</f>
        <v>0</v>
      </c>
      <c r="L43" s="54"/>
      <c r="M43" s="54" t="n">
        <f aca="false">+J43-L43</f>
        <v>0</v>
      </c>
    </row>
    <row collapsed="false" customFormat="false" customHeight="true" hidden="false" ht="15.75" outlineLevel="0" r="44">
      <c r="A44" s="54"/>
      <c r="B44" s="58" t="s">
        <v>210</v>
      </c>
      <c r="C44" s="59" t="n">
        <f aca="false">SUM(C41:C43)</f>
        <v>0</v>
      </c>
      <c r="D44" s="59" t="n">
        <f aca="false">SUM(D41:D43)</f>
        <v>0</v>
      </c>
      <c r="E44" s="60" t="n">
        <f aca="false">+C44-D44</f>
        <v>0</v>
      </c>
      <c r="F44" s="57"/>
      <c r="G44" s="54"/>
      <c r="H44" s="54"/>
      <c r="I44" s="58" t="s">
        <v>210</v>
      </c>
      <c r="J44" s="60" t="n">
        <f aca="false">SUM(J41:J43)</f>
        <v>0</v>
      </c>
      <c r="K44" s="60" t="n">
        <f aca="false">SUM(K41:K43)</f>
        <v>0</v>
      </c>
      <c r="L44" s="60" t="n">
        <f aca="false">SUM(L41:L43)</f>
        <v>0</v>
      </c>
      <c r="M44" s="64"/>
    </row>
    <row collapsed="false" customFormat="false" customHeight="true" hidden="false" ht="15.75" outlineLevel="0" r="45">
      <c r="A45" s="62"/>
      <c r="B45" s="62"/>
      <c r="C45" s="62"/>
      <c r="D45" s="62"/>
      <c r="E45" s="62"/>
      <c r="F45" s="57"/>
      <c r="G45" s="62"/>
      <c r="H45" s="62"/>
      <c r="I45" s="62"/>
      <c r="J45" s="62"/>
      <c r="K45" s="62"/>
      <c r="L45" s="62"/>
      <c r="M45" s="62"/>
    </row>
    <row collapsed="false" customFormat="false" customHeight="true" hidden="false" ht="15" outlineLevel="0" r="46">
      <c r="A46" s="54" t="s">
        <v>29</v>
      </c>
      <c r="B46" s="55" t="s">
        <v>30</v>
      </c>
      <c r="C46" s="55" t="n">
        <v>77</v>
      </c>
      <c r="D46" s="55" t="n">
        <v>77</v>
      </c>
      <c r="E46" s="56" t="n">
        <f aca="false">+C46-D46</f>
        <v>0</v>
      </c>
      <c r="F46" s="57"/>
      <c r="G46" s="54" t="str">
        <f aca="false">+A46</f>
        <v>´001</v>
      </c>
      <c r="H46" s="55" t="str">
        <f aca="false">+B46</f>
        <v>OVEROL</v>
      </c>
      <c r="I46" s="55" t="n">
        <f aca="false">+D46</f>
        <v>77</v>
      </c>
      <c r="J46" s="56" t="n">
        <v>35</v>
      </c>
      <c r="K46" s="56" t="n">
        <f aca="false">+I46-J46</f>
        <v>42</v>
      </c>
      <c r="L46" s="55" t="n">
        <v>35</v>
      </c>
      <c r="M46" s="54" t="n">
        <f aca="false">+J46-L46</f>
        <v>0</v>
      </c>
    </row>
    <row collapsed="false" customFormat="false" customHeight="true" hidden="false" ht="15" outlineLevel="0" r="47">
      <c r="A47" s="54"/>
      <c r="B47" s="54"/>
      <c r="C47" s="54"/>
      <c r="D47" s="54"/>
      <c r="E47" s="56"/>
      <c r="F47" s="57"/>
      <c r="G47" s="54"/>
      <c r="H47" s="54"/>
      <c r="I47" s="54"/>
      <c r="J47" s="56"/>
      <c r="K47" s="56"/>
      <c r="L47" s="54"/>
      <c r="M47" s="54"/>
    </row>
    <row collapsed="false" customFormat="false" customHeight="true" hidden="false" ht="15" outlineLevel="0" r="48">
      <c r="A48" s="54"/>
      <c r="B48" s="54"/>
      <c r="C48" s="54"/>
      <c r="D48" s="54"/>
      <c r="E48" s="56" t="n">
        <f aca="false">+C48-D48</f>
        <v>0</v>
      </c>
      <c r="F48" s="57"/>
      <c r="G48" s="54" t="n">
        <f aca="false">+A48</f>
        <v>0</v>
      </c>
      <c r="H48" s="54" t="n">
        <f aca="false">+B48</f>
        <v>0</v>
      </c>
      <c r="I48" s="54" t="n">
        <f aca="false">+D48</f>
        <v>0</v>
      </c>
      <c r="J48" s="56"/>
      <c r="K48" s="56" t="n">
        <f aca="false">+I48-J48</f>
        <v>0</v>
      </c>
      <c r="L48" s="54"/>
      <c r="M48" s="54" t="n">
        <f aca="false">+J48-L48</f>
        <v>0</v>
      </c>
    </row>
    <row collapsed="false" customFormat="false" customHeight="true" hidden="false" ht="15.75" outlineLevel="0" r="49">
      <c r="A49" s="54"/>
      <c r="B49" s="58" t="s">
        <v>210</v>
      </c>
      <c r="C49" s="59" t="n">
        <f aca="false">SUM(C46:C48)</f>
        <v>77</v>
      </c>
      <c r="D49" s="59" t="n">
        <f aca="false">SUM(D46:D48)</f>
        <v>77</v>
      </c>
      <c r="E49" s="60" t="n">
        <f aca="false">+C49-D49</f>
        <v>0</v>
      </c>
      <c r="F49" s="57"/>
      <c r="G49" s="54"/>
      <c r="H49" s="54"/>
      <c r="I49" s="58" t="s">
        <v>210</v>
      </c>
      <c r="J49" s="60" t="n">
        <f aca="false">SUM(J46:J48)</f>
        <v>35</v>
      </c>
      <c r="K49" s="60" t="n">
        <f aca="false">SUM(K46:K48)</f>
        <v>42</v>
      </c>
      <c r="L49" s="60" t="n">
        <f aca="false">SUM(L46:L48)</f>
        <v>35</v>
      </c>
      <c r="M49" s="64"/>
    </row>
    <row collapsed="false" customFormat="false" customHeight="true" hidden="false" ht="15.75" outlineLevel="0" r="50">
      <c r="A50" s="62"/>
      <c r="B50" s="62"/>
      <c r="C50" s="62"/>
      <c r="D50" s="62"/>
      <c r="E50" s="62"/>
      <c r="F50" s="57"/>
      <c r="G50" s="62"/>
      <c r="H50" s="62"/>
      <c r="I50" s="62"/>
      <c r="J50" s="62"/>
      <c r="K50" s="62"/>
      <c r="L50" s="62"/>
      <c r="M50" s="62"/>
    </row>
    <row collapsed="false" customFormat="false" customHeight="true" hidden="false" ht="15" outlineLevel="0" r="51">
      <c r="A51" s="54" t="s">
        <v>34</v>
      </c>
      <c r="B51" s="55" t="s">
        <v>261</v>
      </c>
      <c r="C51" s="55" t="n">
        <v>14</v>
      </c>
      <c r="D51" s="55" t="n">
        <v>14</v>
      </c>
      <c r="E51" s="56" t="n">
        <f aca="false">+C51-D51</f>
        <v>0</v>
      </c>
      <c r="F51" s="57"/>
      <c r="G51" s="54" t="str">
        <f aca="false">+A51</f>
        <v>´005</v>
      </c>
      <c r="H51" s="55" t="str">
        <f aca="false">+B51</f>
        <v>SUDADERA NAÚTICA</v>
      </c>
      <c r="I51" s="55" t="n">
        <f aca="false">+D51</f>
        <v>14</v>
      </c>
      <c r="J51" s="56" t="n">
        <v>14</v>
      </c>
      <c r="K51" s="56" t="n">
        <f aca="false">+I51-J51</f>
        <v>0</v>
      </c>
      <c r="L51" s="55" t="n">
        <v>14</v>
      </c>
      <c r="M51" s="54" t="n">
        <f aca="false">+J51-L51</f>
        <v>0</v>
      </c>
    </row>
    <row collapsed="false" customFormat="false" customHeight="true" hidden="false" ht="15" outlineLevel="0" r="52">
      <c r="A52" s="54"/>
      <c r="B52" s="54"/>
      <c r="C52" s="54"/>
      <c r="D52" s="54"/>
      <c r="E52" s="56"/>
      <c r="F52" s="57"/>
      <c r="G52" s="54"/>
      <c r="H52" s="54"/>
      <c r="I52" s="54"/>
      <c r="J52" s="56"/>
      <c r="K52" s="56"/>
      <c r="L52" s="54"/>
      <c r="M52" s="54"/>
    </row>
    <row collapsed="false" customFormat="false" customHeight="true" hidden="false" ht="15.75" outlineLevel="0" r="53">
      <c r="A53" s="54"/>
      <c r="B53" s="58" t="s">
        <v>210</v>
      </c>
      <c r="C53" s="59" t="n">
        <f aca="false">SUM(C51:C52)</f>
        <v>14</v>
      </c>
      <c r="D53" s="59" t="n">
        <f aca="false">SUM(D51:D52)</f>
        <v>14</v>
      </c>
      <c r="E53" s="60" t="n">
        <f aca="false">+C53-D53</f>
        <v>0</v>
      </c>
      <c r="F53" s="57"/>
      <c r="G53" s="54"/>
      <c r="H53" s="54"/>
      <c r="I53" s="58" t="s">
        <v>210</v>
      </c>
      <c r="J53" s="60" t="n">
        <f aca="false">SUM(J51:J52)</f>
        <v>14</v>
      </c>
      <c r="K53" s="60" t="n">
        <f aca="false">SUM(K51:K52)</f>
        <v>0</v>
      </c>
      <c r="L53" s="60" t="n">
        <f aca="false">SUM(L51:L52)</f>
        <v>14</v>
      </c>
      <c r="M53" s="60" t="n">
        <f aca="false">SUM(M51:M52)</f>
        <v>0</v>
      </c>
    </row>
    <row collapsed="false" customFormat="false" customHeight="true" hidden="false" ht="15.75" outlineLevel="0" r="54">
      <c r="A54" s="62"/>
      <c r="B54" s="62"/>
      <c r="C54" s="62"/>
      <c r="D54" s="62"/>
      <c r="E54" s="62"/>
      <c r="F54" s="57"/>
      <c r="G54" s="62"/>
      <c r="H54" s="62"/>
      <c r="I54" s="62"/>
      <c r="J54" s="62"/>
      <c r="K54" s="62"/>
      <c r="L54" s="62"/>
      <c r="M54" s="62"/>
    </row>
    <row collapsed="false" customFormat="false" customHeight="true" hidden="false" ht="15" outlineLevel="0" r="55">
      <c r="A55" s="54" t="s">
        <v>56</v>
      </c>
      <c r="B55" s="55" t="s">
        <v>265</v>
      </c>
      <c r="C55" s="55" t="n">
        <v>240</v>
      </c>
      <c r="D55" s="55" t="n">
        <f aca="false">30+30+30+30+30+30+30+30</f>
        <v>240</v>
      </c>
      <c r="E55" s="56" t="n">
        <f aca="false">+C55-D55</f>
        <v>0</v>
      </c>
      <c r="F55" s="57"/>
      <c r="G55" s="54" t="str">
        <f aca="false">+A55</f>
        <v>´011</v>
      </c>
      <c r="H55" s="55" t="str">
        <f aca="false">+B55</f>
        <v>JEAN MASCULINO</v>
      </c>
      <c r="I55" s="55" t="n">
        <f aca="false">+D55</f>
        <v>240</v>
      </c>
      <c r="J55" s="56" t="n">
        <f aca="false">4+21+30+60+20</f>
        <v>135</v>
      </c>
      <c r="K55" s="56" t="n">
        <f aca="false">+I55-J55</f>
        <v>105</v>
      </c>
      <c r="L55" s="55" t="n">
        <f aca="false">4+21+27+30+29+15+3+15</f>
        <v>144</v>
      </c>
      <c r="M55" s="54" t="n">
        <f aca="false">+J55-L55</f>
        <v>-9</v>
      </c>
    </row>
    <row collapsed="false" customFormat="false" customHeight="true" hidden="false" ht="15" outlineLevel="0" r="56">
      <c r="A56" s="54"/>
      <c r="B56" s="54"/>
      <c r="C56" s="54"/>
      <c r="D56" s="54"/>
      <c r="E56" s="56"/>
      <c r="F56" s="57"/>
      <c r="G56" s="54"/>
      <c r="H56" s="54"/>
      <c r="I56" s="54"/>
      <c r="J56" s="56"/>
      <c r="K56" s="56"/>
      <c r="L56" s="54"/>
      <c r="M56" s="54"/>
    </row>
    <row collapsed="false" customFormat="false" customHeight="true" hidden="false" ht="15.75" outlineLevel="0" r="57">
      <c r="A57" s="54"/>
      <c r="B57" s="58" t="s">
        <v>210</v>
      </c>
      <c r="C57" s="59" t="n">
        <f aca="false">SUM(C55:C56)</f>
        <v>240</v>
      </c>
      <c r="D57" s="59" t="n">
        <f aca="false">SUM(D55:D56)</f>
        <v>240</v>
      </c>
      <c r="E57" s="60" t="n">
        <f aca="false">+C57-D57</f>
        <v>0</v>
      </c>
      <c r="F57" s="57"/>
      <c r="G57" s="54"/>
      <c r="H57" s="54"/>
      <c r="I57" s="58" t="s">
        <v>210</v>
      </c>
      <c r="J57" s="60" t="n">
        <f aca="false">SUM(J55:J56)</f>
        <v>135</v>
      </c>
      <c r="K57" s="60" t="n">
        <f aca="false">SUM(K55:K56)</f>
        <v>105</v>
      </c>
      <c r="L57" s="60" t="n">
        <f aca="false">SUM(L55:L56)</f>
        <v>144</v>
      </c>
      <c r="M57" s="60" t="n">
        <f aca="false">SUM(M55:M56)</f>
        <v>-9</v>
      </c>
    </row>
    <row collapsed="false" customFormat="false" customHeight="true" hidden="false" ht="15.75" outlineLevel="0" r="58">
      <c r="A58" s="62"/>
      <c r="B58" s="62"/>
      <c r="C58" s="62"/>
      <c r="D58" s="62"/>
      <c r="E58" s="62"/>
      <c r="F58" s="57"/>
      <c r="G58" s="62"/>
      <c r="H58" s="62"/>
      <c r="I58" s="62"/>
      <c r="J58" s="62"/>
      <c r="K58" s="62"/>
      <c r="L58" s="62"/>
      <c r="M58" s="62"/>
    </row>
    <row collapsed="false" customFormat="false" customHeight="true" hidden="false" ht="15" outlineLevel="0" r="59">
      <c r="A59" s="54" t="n">
        <v>2012</v>
      </c>
      <c r="B59" s="55" t="s">
        <v>264</v>
      </c>
      <c r="C59" s="55" t="n">
        <v>210</v>
      </c>
      <c r="D59" s="55" t="n">
        <f aca="false">30+30</f>
        <v>60</v>
      </c>
      <c r="E59" s="56" t="n">
        <f aca="false">+C59-D59</f>
        <v>150</v>
      </c>
      <c r="F59" s="57"/>
      <c r="G59" s="54" t="n">
        <f aca="false">+A59</f>
        <v>2012</v>
      </c>
      <c r="H59" s="55" t="str">
        <f aca="false">+B59</f>
        <v>CHAQUETA MASCULINA</v>
      </c>
      <c r="I59" s="55" t="n">
        <f aca="false">+D59</f>
        <v>60</v>
      </c>
      <c r="J59" s="56"/>
      <c r="K59" s="56" t="n">
        <f aca="false">+I59-J59</f>
        <v>60</v>
      </c>
      <c r="L59" s="55"/>
      <c r="M59" s="54" t="n">
        <f aca="false">+J59-L59</f>
        <v>0</v>
      </c>
    </row>
    <row collapsed="false" customFormat="false" customHeight="true" hidden="false" ht="15" outlineLevel="0" r="60">
      <c r="A60" s="54"/>
      <c r="B60" s="54"/>
      <c r="C60" s="54"/>
      <c r="D60" s="54"/>
      <c r="E60" s="56"/>
      <c r="F60" s="57"/>
      <c r="G60" s="54"/>
      <c r="H60" s="54"/>
      <c r="I60" s="54"/>
      <c r="J60" s="56"/>
      <c r="K60" s="56"/>
      <c r="L60" s="54"/>
      <c r="M60" s="54"/>
    </row>
    <row collapsed="false" customFormat="false" customHeight="true" hidden="false" ht="15.75" outlineLevel="0" r="61">
      <c r="A61" s="54"/>
      <c r="B61" s="58" t="s">
        <v>210</v>
      </c>
      <c r="C61" s="59" t="n">
        <f aca="false">SUM(C59:C60)</f>
        <v>210</v>
      </c>
      <c r="D61" s="59" t="n">
        <f aca="false">SUM(D59:D60)</f>
        <v>60</v>
      </c>
      <c r="E61" s="60" t="n">
        <f aca="false">+C61-D61</f>
        <v>150</v>
      </c>
      <c r="F61" s="57"/>
      <c r="G61" s="54"/>
      <c r="H61" s="54"/>
      <c r="I61" s="58" t="s">
        <v>210</v>
      </c>
      <c r="J61" s="60" t="n">
        <f aca="false">SUM(J59:J60)</f>
        <v>0</v>
      </c>
      <c r="K61" s="60" t="n">
        <f aca="false">SUM(K59:K60)</f>
        <v>60</v>
      </c>
      <c r="L61" s="60" t="n">
        <f aca="false">SUM(L59:L60)</f>
        <v>0</v>
      </c>
      <c r="M61" s="60" t="n">
        <f aca="false">SUM(M59:M60)</f>
        <v>0</v>
      </c>
    </row>
    <row collapsed="false" customFormat="false" customHeight="true" hidden="false" ht="15.75" outlineLevel="0" r="62">
      <c r="A62" s="62"/>
      <c r="B62" s="62"/>
      <c r="C62" s="62"/>
      <c r="D62" s="62"/>
      <c r="E62" s="62"/>
      <c r="F62" s="57"/>
      <c r="G62" s="62"/>
      <c r="H62" s="62"/>
      <c r="I62" s="62"/>
      <c r="J62" s="62"/>
      <c r="K62" s="62"/>
      <c r="L62" s="62"/>
      <c r="M62" s="62"/>
    </row>
    <row collapsed="false" customFormat="false" customHeight="true" hidden="false" ht="15" outlineLevel="0" r="63">
      <c r="A63" s="55" t="s">
        <v>42</v>
      </c>
      <c r="B63" s="63" t="s">
        <v>212</v>
      </c>
      <c r="C63" s="55" t="n">
        <v>80</v>
      </c>
      <c r="D63" s="55" t="n">
        <f aca="false">20+20+20+20</f>
        <v>80</v>
      </c>
      <c r="E63" s="56" t="n">
        <f aca="false">+C63-D63</f>
        <v>0</v>
      </c>
      <c r="F63" s="57"/>
      <c r="G63" s="54" t="s">
        <v>42</v>
      </c>
      <c r="H63" s="63" t="s">
        <v>212</v>
      </c>
      <c r="I63" s="55" t="n">
        <v>80</v>
      </c>
      <c r="J63" s="56"/>
      <c r="K63" s="56" t="n">
        <f aca="false">+I63-J63</f>
        <v>80</v>
      </c>
      <c r="L63" s="55"/>
      <c r="M63" s="54" t="n">
        <f aca="false">+J63-L63</f>
        <v>0</v>
      </c>
    </row>
    <row collapsed="false" customFormat="false" customHeight="true" hidden="false" ht="15" outlineLevel="0" r="64">
      <c r="A64" s="54" t="s">
        <v>102</v>
      </c>
      <c r="B64" s="63"/>
      <c r="C64" s="55" t="n">
        <v>124</v>
      </c>
      <c r="D64" s="55" t="n">
        <v>31</v>
      </c>
      <c r="E64" s="56" t="n">
        <f aca="false">+C64-D64</f>
        <v>93</v>
      </c>
      <c r="F64" s="57"/>
      <c r="G64" s="54" t="s">
        <v>102</v>
      </c>
      <c r="H64" s="63"/>
      <c r="I64" s="54" t="n">
        <f aca="false">+C64</f>
        <v>124</v>
      </c>
      <c r="J64" s="56"/>
      <c r="K64" s="56" t="n">
        <f aca="false">+I64-J64</f>
        <v>124</v>
      </c>
      <c r="L64" s="54"/>
      <c r="M64" s="54" t="n">
        <f aca="false">+J64-L64</f>
        <v>0</v>
      </c>
    </row>
    <row collapsed="false" customFormat="false" customHeight="true" hidden="false" ht="15" outlineLevel="0" r="65">
      <c r="A65" s="61"/>
      <c r="B65" s="61"/>
      <c r="C65" s="61"/>
      <c r="D65" s="61"/>
      <c r="E65" s="56"/>
      <c r="F65" s="57"/>
      <c r="G65" s="54"/>
      <c r="H65" s="54"/>
      <c r="I65" s="54"/>
      <c r="J65" s="56"/>
      <c r="K65" s="56"/>
      <c r="L65" s="54"/>
      <c r="M65" s="54"/>
    </row>
    <row collapsed="false" customFormat="false" customHeight="true" hidden="false" ht="15.75" outlineLevel="0" r="66">
      <c r="A66" s="61"/>
      <c r="B66" s="58" t="s">
        <v>210</v>
      </c>
      <c r="C66" s="59" t="n">
        <f aca="false">SUM(C63:C65)</f>
        <v>204</v>
      </c>
      <c r="D66" s="59" t="n">
        <f aca="false">SUM(D63:D65)</f>
        <v>111</v>
      </c>
      <c r="E66" s="60" t="n">
        <f aca="false">+C66-D66</f>
        <v>93</v>
      </c>
      <c r="F66" s="57"/>
      <c r="G66" s="54"/>
      <c r="H66" s="54"/>
      <c r="I66" s="58" t="s">
        <v>210</v>
      </c>
      <c r="J66" s="60" t="n">
        <f aca="false">SUM(J63:J65)</f>
        <v>0</v>
      </c>
      <c r="K66" s="60" t="n">
        <f aca="false">SUM(K63:K65)</f>
        <v>204</v>
      </c>
      <c r="L66" s="60" t="n">
        <f aca="false">SUM(L63:L65)</f>
        <v>0</v>
      </c>
      <c r="M66" s="60" t="n">
        <f aca="false">SUM(M63:M65)</f>
        <v>0</v>
      </c>
    </row>
    <row collapsed="false" customFormat="false" customHeight="true" hidden="false" ht="15.75" outlineLevel="0" r="67">
      <c r="A67" s="62"/>
      <c r="B67" s="62"/>
      <c r="C67" s="62"/>
      <c r="D67" s="62"/>
      <c r="E67" s="62"/>
      <c r="F67" s="57"/>
      <c r="G67" s="62"/>
      <c r="H67" s="62"/>
      <c r="I67" s="62"/>
      <c r="J67" s="62"/>
      <c r="K67" s="62"/>
      <c r="L67" s="62"/>
      <c r="M67" s="62"/>
    </row>
    <row collapsed="false" customFormat="false" customHeight="true" hidden="false" ht="15" outlineLevel="0" r="68">
      <c r="A68" s="54" t="s">
        <v>46</v>
      </c>
      <c r="B68" s="63" t="s">
        <v>214</v>
      </c>
      <c r="C68" s="55" t="n">
        <v>26</v>
      </c>
      <c r="D68" s="55" t="n">
        <v>26</v>
      </c>
      <c r="E68" s="56" t="n">
        <f aca="false">+C68-D68</f>
        <v>0</v>
      </c>
      <c r="F68" s="57"/>
      <c r="G68" s="54" t="s">
        <v>46</v>
      </c>
      <c r="H68" s="63" t="s">
        <v>214</v>
      </c>
      <c r="I68" s="55" t="n">
        <f aca="false">+D68</f>
        <v>26</v>
      </c>
      <c r="J68" s="56"/>
      <c r="K68" s="56" t="n">
        <f aca="false">+I68-J68</f>
        <v>26</v>
      </c>
      <c r="L68" s="55"/>
      <c r="M68" s="54" t="n">
        <f aca="false">+J68-L68</f>
        <v>0</v>
      </c>
    </row>
    <row collapsed="false" customFormat="false" customHeight="true" hidden="false" ht="15" outlineLevel="0" r="69">
      <c r="A69" s="54" t="s">
        <v>94</v>
      </c>
      <c r="B69" s="63"/>
      <c r="C69" s="54" t="n">
        <v>32</v>
      </c>
      <c r="D69" s="54" t="n">
        <v>32</v>
      </c>
      <c r="E69" s="56" t="n">
        <f aca="false">+C69-D69</f>
        <v>0</v>
      </c>
      <c r="F69" s="57"/>
      <c r="G69" s="54" t="s">
        <v>94</v>
      </c>
      <c r="H69" s="63"/>
      <c r="I69" s="54" t="n">
        <f aca="false">+D69</f>
        <v>32</v>
      </c>
      <c r="J69" s="56"/>
      <c r="K69" s="56"/>
      <c r="L69" s="54"/>
      <c r="M69" s="54"/>
    </row>
    <row collapsed="false" customFormat="false" customHeight="true" hidden="false" ht="15" outlineLevel="0" r="70">
      <c r="A70" s="54"/>
      <c r="B70" s="54"/>
      <c r="C70" s="54"/>
      <c r="D70" s="54"/>
      <c r="E70" s="56"/>
      <c r="F70" s="57"/>
      <c r="G70" s="54"/>
      <c r="H70" s="54"/>
      <c r="I70" s="54"/>
      <c r="J70" s="56"/>
      <c r="K70" s="56"/>
      <c r="L70" s="54"/>
      <c r="M70" s="54"/>
    </row>
    <row collapsed="false" customFormat="false" customHeight="true" hidden="false" ht="15.75" outlineLevel="0" r="71">
      <c r="A71" s="54"/>
      <c r="B71" s="58" t="s">
        <v>210</v>
      </c>
      <c r="C71" s="59" t="n">
        <f aca="false">SUM(C68:C70)</f>
        <v>58</v>
      </c>
      <c r="D71" s="59" t="n">
        <f aca="false">SUM(D68:D70)</f>
        <v>58</v>
      </c>
      <c r="E71" s="60" t="n">
        <f aca="false">+C71-D71</f>
        <v>0</v>
      </c>
      <c r="F71" s="57"/>
      <c r="G71" s="54"/>
      <c r="H71" s="54"/>
      <c r="I71" s="58" t="s">
        <v>210</v>
      </c>
      <c r="J71" s="60" t="n">
        <f aca="false">SUM(J68:J70)</f>
        <v>0</v>
      </c>
      <c r="K71" s="60" t="n">
        <f aca="false">SUM(K68:K70)</f>
        <v>26</v>
      </c>
      <c r="L71" s="60" t="n">
        <f aca="false">SUM(L68:L70)</f>
        <v>0</v>
      </c>
      <c r="M71" s="60" t="n">
        <f aca="false">SUM(M68:M70)</f>
        <v>0</v>
      </c>
    </row>
    <row collapsed="false" customFormat="false" customHeight="true" hidden="false" ht="15.75" outlineLevel="0" r="72">
      <c r="A72" s="65"/>
      <c r="B72" s="65"/>
      <c r="C72" s="65"/>
      <c r="D72" s="65"/>
      <c r="E72" s="65"/>
      <c r="F72" s="57"/>
      <c r="G72" s="62"/>
      <c r="H72" s="62"/>
      <c r="I72" s="62"/>
      <c r="J72" s="62"/>
      <c r="K72" s="62"/>
      <c r="L72" s="62"/>
      <c r="M72" s="62"/>
    </row>
    <row collapsed="false" customFormat="false" customHeight="true" hidden="false" ht="15" outlineLevel="0" r="73">
      <c r="A73" s="54" t="s">
        <v>60</v>
      </c>
      <c r="B73" s="55" t="s">
        <v>270</v>
      </c>
      <c r="C73" s="55" t="n">
        <v>137</v>
      </c>
      <c r="D73" s="55" t="n">
        <f aca="false">43+94</f>
        <v>137</v>
      </c>
      <c r="E73" s="56" t="n">
        <f aca="false">+C73-D73</f>
        <v>0</v>
      </c>
      <c r="F73" s="57"/>
      <c r="G73" s="54" t="str">
        <f aca="false">+A73</f>
        <v>´009</v>
      </c>
      <c r="H73" s="55" t="str">
        <f aca="false">+B73</f>
        <v>DELANTAL INSTRUCTORA</v>
      </c>
      <c r="I73" s="55" t="n">
        <f aca="false">+D73</f>
        <v>137</v>
      </c>
      <c r="J73" s="56" t="n">
        <v>48</v>
      </c>
      <c r="K73" s="56" t="n">
        <f aca="false">+I73-J73</f>
        <v>89</v>
      </c>
      <c r="L73" s="55" t="n">
        <v>48</v>
      </c>
      <c r="M73" s="54" t="n">
        <f aca="false">+J73-L73</f>
        <v>0</v>
      </c>
    </row>
    <row collapsed="false" customFormat="false" customHeight="true" hidden="false" ht="15" outlineLevel="0" r="74">
      <c r="A74" s="54"/>
      <c r="B74" s="54"/>
      <c r="C74" s="54"/>
      <c r="D74" s="54"/>
      <c r="E74" s="56"/>
      <c r="F74" s="57"/>
      <c r="G74" s="54"/>
      <c r="H74" s="54"/>
      <c r="I74" s="54"/>
      <c r="J74" s="56"/>
      <c r="K74" s="56"/>
      <c r="L74" s="54"/>
      <c r="M74" s="54"/>
    </row>
    <row collapsed="false" customFormat="false" customHeight="true" hidden="false" ht="15.75" outlineLevel="0" r="75">
      <c r="A75" s="54"/>
      <c r="B75" s="58" t="s">
        <v>210</v>
      </c>
      <c r="C75" s="59" t="n">
        <f aca="false">SUM(C73:C74)</f>
        <v>137</v>
      </c>
      <c r="D75" s="59" t="n">
        <f aca="false">SUM(D73:D74)</f>
        <v>137</v>
      </c>
      <c r="E75" s="60" t="n">
        <f aca="false">+C75-D75</f>
        <v>0</v>
      </c>
      <c r="F75" s="57"/>
      <c r="G75" s="54"/>
      <c r="H75" s="54"/>
      <c r="I75" s="58" t="s">
        <v>210</v>
      </c>
      <c r="J75" s="60" t="n">
        <f aca="false">SUM(J73:J74)</f>
        <v>48</v>
      </c>
      <c r="K75" s="60" t="n">
        <f aca="false">SUM(K73:K74)</f>
        <v>89</v>
      </c>
      <c r="L75" s="60" t="n">
        <f aca="false">SUM(L73:L74)</f>
        <v>48</v>
      </c>
      <c r="M75" s="60" t="n">
        <f aca="false">SUM(M73:M74)</f>
        <v>0</v>
      </c>
    </row>
    <row collapsed="false" customFormat="false" customHeight="true" hidden="false" ht="15.75" outlineLevel="0" r="76">
      <c r="A76" s="65"/>
      <c r="B76" s="65"/>
      <c r="C76" s="65"/>
      <c r="D76" s="65"/>
      <c r="E76" s="65"/>
      <c r="F76" s="57"/>
      <c r="G76" s="62"/>
      <c r="H76" s="62"/>
      <c r="I76" s="62"/>
      <c r="J76" s="62"/>
      <c r="K76" s="62"/>
      <c r="L76" s="62"/>
      <c r="M76" s="62"/>
    </row>
    <row collapsed="false" customFormat="false" customHeight="true" hidden="false" ht="15" outlineLevel="0" r="77">
      <c r="A77" s="54" t="s">
        <v>60</v>
      </c>
      <c r="B77" s="55" t="s">
        <v>297</v>
      </c>
      <c r="C77" s="55" t="n">
        <v>65</v>
      </c>
      <c r="D77" s="55" t="n">
        <v>65</v>
      </c>
      <c r="E77" s="56" t="n">
        <f aca="false">+C77-D77</f>
        <v>0</v>
      </c>
      <c r="F77" s="57"/>
      <c r="G77" s="54" t="str">
        <f aca="false">+A77</f>
        <v>´009</v>
      </c>
      <c r="H77" s="55" t="str">
        <f aca="false">+B77</f>
        <v>DELANTAL INSTRUCTOR</v>
      </c>
      <c r="I77" s="55" t="n">
        <f aca="false">+D77</f>
        <v>65</v>
      </c>
      <c r="J77" s="56"/>
      <c r="K77" s="56" t="n">
        <f aca="false">+I77-J77</f>
        <v>65</v>
      </c>
      <c r="L77" s="55"/>
      <c r="M77" s="54" t="n">
        <f aca="false">+J77-L77</f>
        <v>0</v>
      </c>
    </row>
    <row collapsed="false" customFormat="false" customHeight="true" hidden="false" ht="15" outlineLevel="0" r="78">
      <c r="A78" s="54"/>
      <c r="B78" s="54"/>
      <c r="C78" s="54"/>
      <c r="D78" s="54"/>
      <c r="E78" s="56"/>
      <c r="F78" s="57"/>
      <c r="G78" s="54"/>
      <c r="H78" s="54"/>
      <c r="I78" s="54"/>
      <c r="J78" s="56"/>
      <c r="K78" s="56"/>
      <c r="L78" s="54"/>
      <c r="M78" s="54"/>
    </row>
    <row collapsed="false" customFormat="false" customHeight="true" hidden="false" ht="15.75" outlineLevel="0" r="79">
      <c r="A79" s="54"/>
      <c r="B79" s="58" t="s">
        <v>210</v>
      </c>
      <c r="C79" s="59" t="n">
        <f aca="false">SUM(C77:C78)</f>
        <v>65</v>
      </c>
      <c r="D79" s="59" t="n">
        <f aca="false">SUM(D77:D78)</f>
        <v>65</v>
      </c>
      <c r="E79" s="60" t="n">
        <f aca="false">+C79-D79</f>
        <v>0</v>
      </c>
      <c r="F79" s="57"/>
      <c r="G79" s="54"/>
      <c r="H79" s="54"/>
      <c r="I79" s="58" t="s">
        <v>210</v>
      </c>
      <c r="J79" s="60" t="n">
        <f aca="false">SUM(J77:J78)</f>
        <v>0</v>
      </c>
      <c r="K79" s="60" t="n">
        <f aca="false">SUM(K77:K78)</f>
        <v>65</v>
      </c>
      <c r="L79" s="60" t="n">
        <f aca="false">SUM(L77:L78)</f>
        <v>0</v>
      </c>
      <c r="M79" s="60" t="n">
        <f aca="false">SUM(M77:M78)</f>
        <v>0</v>
      </c>
    </row>
    <row collapsed="false" customFormat="false" customHeight="true" hidden="false" ht="15.75" outlineLevel="0" r="80">
      <c r="A80" s="65"/>
      <c r="B80" s="65"/>
      <c r="C80" s="65"/>
      <c r="D80" s="65"/>
      <c r="E80" s="65"/>
      <c r="F80" s="57"/>
      <c r="G80" s="62"/>
      <c r="H80" s="62"/>
      <c r="I80" s="62"/>
      <c r="J80" s="62"/>
      <c r="K80" s="62"/>
      <c r="L80" s="62"/>
      <c r="M80" s="62"/>
    </row>
    <row collapsed="false" customFormat="false" customHeight="true" hidden="false" ht="15" outlineLevel="0" r="81">
      <c r="A81" s="54" t="s">
        <v>50</v>
      </c>
      <c r="B81" s="55" t="s">
        <v>275</v>
      </c>
      <c r="C81" s="55" t="n">
        <v>273</v>
      </c>
      <c r="D81" s="55" t="n">
        <f aca="false">45+45+30</f>
        <v>120</v>
      </c>
      <c r="E81" s="56" t="n">
        <f aca="false">+C81-D81</f>
        <v>153</v>
      </c>
      <c r="F81" s="57"/>
      <c r="G81" s="54" t="str">
        <f aca="false">+A81</f>
        <v>´002</v>
      </c>
      <c r="H81" s="55" t="str">
        <f aca="false">+B81</f>
        <v>PIJAMA MASCULINA</v>
      </c>
      <c r="I81" s="55" t="n">
        <f aca="false">+D81</f>
        <v>120</v>
      </c>
      <c r="J81" s="56" t="n">
        <f aca="false">42+3+45</f>
        <v>90</v>
      </c>
      <c r="K81" s="56" t="n">
        <f aca="false">+I81-J81</f>
        <v>30</v>
      </c>
      <c r="L81" s="55" t="n">
        <f aca="false">42+48</f>
        <v>90</v>
      </c>
      <c r="M81" s="54" t="n">
        <f aca="false">+J81-L81</f>
        <v>0</v>
      </c>
    </row>
    <row collapsed="false" customFormat="false" customHeight="true" hidden="false" ht="15" outlineLevel="0" r="82">
      <c r="A82" s="54"/>
      <c r="B82" s="54"/>
      <c r="C82" s="54"/>
      <c r="D82" s="54"/>
      <c r="E82" s="56"/>
      <c r="F82" s="57"/>
      <c r="G82" s="54"/>
      <c r="H82" s="54"/>
      <c r="I82" s="54"/>
      <c r="J82" s="56"/>
      <c r="K82" s="56"/>
      <c r="L82" s="54"/>
      <c r="M82" s="54"/>
    </row>
    <row collapsed="false" customFormat="false" customHeight="true" hidden="false" ht="15.75" outlineLevel="0" r="83">
      <c r="A83" s="54"/>
      <c r="B83" s="58" t="s">
        <v>210</v>
      </c>
      <c r="C83" s="59" t="n">
        <f aca="false">SUM(C81:C82)</f>
        <v>273</v>
      </c>
      <c r="D83" s="59" t="n">
        <f aca="false">SUM(D81:D82)</f>
        <v>120</v>
      </c>
      <c r="E83" s="60" t="n">
        <f aca="false">+C83-D83</f>
        <v>153</v>
      </c>
      <c r="F83" s="57"/>
      <c r="G83" s="54"/>
      <c r="H83" s="54"/>
      <c r="I83" s="58" t="s">
        <v>210</v>
      </c>
      <c r="J83" s="60" t="n">
        <f aca="false">SUM(J81:J82)</f>
        <v>90</v>
      </c>
      <c r="K83" s="60" t="n">
        <f aca="false">SUM(K81:K82)</f>
        <v>30</v>
      </c>
      <c r="L83" s="60" t="n">
        <f aca="false">SUM(L81:L82)</f>
        <v>90</v>
      </c>
      <c r="M83" s="60" t="n">
        <f aca="false">SUM(M81:M82)</f>
        <v>0</v>
      </c>
    </row>
    <row collapsed="false" customFormat="false" customHeight="true" hidden="false" ht="15.75" outlineLevel="0" r="84">
      <c r="A84" s="65"/>
      <c r="B84" s="65"/>
      <c r="C84" s="65"/>
      <c r="D84" s="65"/>
      <c r="E84" s="65"/>
      <c r="F84" s="57"/>
      <c r="G84" s="62"/>
      <c r="H84" s="62"/>
      <c r="I84" s="62"/>
      <c r="J84" s="62"/>
      <c r="K84" s="62"/>
      <c r="L84" s="62"/>
      <c r="M84" s="62"/>
    </row>
    <row collapsed="false" customFormat="false" customHeight="true" hidden="false" ht="15" outlineLevel="0" r="85">
      <c r="A85" s="54" t="s">
        <v>39</v>
      </c>
      <c r="B85" s="63" t="s">
        <v>288</v>
      </c>
      <c r="C85" s="55" t="n">
        <v>39</v>
      </c>
      <c r="D85" s="55" t="n">
        <v>39</v>
      </c>
      <c r="E85" s="56" t="n">
        <f aca="false">+C85-D85</f>
        <v>0</v>
      </c>
      <c r="F85" s="57"/>
      <c r="G85" s="54" t="str">
        <f aca="false">+A85</f>
        <v>´003</v>
      </c>
      <c r="H85" s="63" t="str">
        <f aca="false">+B85</f>
        <v>JC DOBLE</v>
      </c>
      <c r="I85" s="55" t="n">
        <f aca="false">+D85</f>
        <v>39</v>
      </c>
      <c r="J85" s="56" t="n">
        <f aca="false">39</f>
        <v>39</v>
      </c>
      <c r="K85" s="56" t="n">
        <f aca="false">+I85-J85</f>
        <v>0</v>
      </c>
      <c r="L85" s="55" t="n">
        <v>39</v>
      </c>
      <c r="M85" s="54" t="n">
        <f aca="false">+J85-L85</f>
        <v>0</v>
      </c>
    </row>
    <row collapsed="false" customFormat="false" customHeight="true" hidden="false" ht="15" outlineLevel="0" r="86">
      <c r="A86" s="54" t="s">
        <v>49</v>
      </c>
      <c r="B86" s="63" t="s">
        <v>288</v>
      </c>
      <c r="C86" s="54" t="n">
        <v>78</v>
      </c>
      <c r="D86" s="54" t="n">
        <f aca="false">39+39</f>
        <v>78</v>
      </c>
      <c r="E86" s="56" t="n">
        <f aca="false">+C86-D86</f>
        <v>0</v>
      </c>
      <c r="F86" s="57"/>
      <c r="G86" s="54" t="str">
        <f aca="false">+A86</f>
        <v>´004</v>
      </c>
      <c r="H86" s="63" t="str">
        <f aca="false">+B86</f>
        <v>JC DOBLE</v>
      </c>
      <c r="I86" s="54" t="n">
        <f aca="false">+D86</f>
        <v>78</v>
      </c>
      <c r="J86" s="56" t="n">
        <v>39</v>
      </c>
      <c r="K86" s="56" t="n">
        <f aca="false">+I86-J86</f>
        <v>39</v>
      </c>
      <c r="L86" s="54" t="n">
        <v>38</v>
      </c>
      <c r="M86" s="54" t="n">
        <f aca="false">+J86-L86</f>
        <v>1</v>
      </c>
    </row>
    <row collapsed="false" customFormat="false" customHeight="true" hidden="false" ht="15" outlineLevel="0" r="87">
      <c r="A87" s="54"/>
      <c r="B87" s="54"/>
      <c r="C87" s="54"/>
      <c r="D87" s="54"/>
      <c r="E87" s="56" t="n">
        <f aca="false">+C87-D87</f>
        <v>0</v>
      </c>
      <c r="F87" s="57"/>
      <c r="G87" s="54" t="n">
        <f aca="false">+A87</f>
        <v>0</v>
      </c>
      <c r="H87" s="54" t="n">
        <f aca="false">+B87</f>
        <v>0</v>
      </c>
      <c r="I87" s="54" t="n">
        <f aca="false">+D87</f>
        <v>0</v>
      </c>
      <c r="J87" s="56"/>
      <c r="K87" s="56" t="n">
        <f aca="false">+I87-J87</f>
        <v>0</v>
      </c>
      <c r="L87" s="54"/>
      <c r="M87" s="54" t="n">
        <f aca="false">+J87-L87</f>
        <v>0</v>
      </c>
    </row>
    <row collapsed="false" customFormat="false" customHeight="true" hidden="false" ht="15.75" outlineLevel="0" r="88">
      <c r="A88" s="54"/>
      <c r="B88" s="58" t="s">
        <v>210</v>
      </c>
      <c r="C88" s="59" t="n">
        <f aca="false">SUM(C85:C87)</f>
        <v>117</v>
      </c>
      <c r="D88" s="59" t="n">
        <f aca="false">SUM(D85:D87)</f>
        <v>117</v>
      </c>
      <c r="E88" s="60" t="n">
        <f aca="false">+C88-D88</f>
        <v>0</v>
      </c>
      <c r="F88" s="57"/>
      <c r="G88" s="54" t="n">
        <f aca="false">+A88</f>
        <v>0</v>
      </c>
      <c r="H88" s="61"/>
      <c r="I88" s="58" t="s">
        <v>210</v>
      </c>
      <c r="J88" s="60" t="n">
        <f aca="false">SUM(J85:J87)</f>
        <v>78</v>
      </c>
      <c r="K88" s="60" t="n">
        <f aca="false">SUM(K85:K87)</f>
        <v>39</v>
      </c>
      <c r="L88" s="60" t="n">
        <f aca="false">SUM(L85:L87)</f>
        <v>77</v>
      </c>
      <c r="M88" s="60" t="n">
        <f aca="false">SUM(M85:M87)</f>
        <v>1</v>
      </c>
    </row>
    <row collapsed="false" customFormat="false" customHeight="true" hidden="false" ht="15.75" outlineLevel="0" r="89">
      <c r="A89" s="65"/>
      <c r="B89" s="65"/>
      <c r="C89" s="65"/>
      <c r="D89" s="65"/>
      <c r="E89" s="65"/>
      <c r="F89" s="57"/>
      <c r="G89" s="62"/>
      <c r="H89" s="62"/>
      <c r="I89" s="62"/>
      <c r="J89" s="62"/>
      <c r="K89" s="62"/>
      <c r="L89" s="62"/>
      <c r="M89" s="62"/>
    </row>
    <row collapsed="false" customFormat="false" customHeight="true" hidden="false" ht="15" outlineLevel="0" r="90">
      <c r="A90" s="54" t="s">
        <v>89</v>
      </c>
      <c r="B90" s="55" t="s">
        <v>295</v>
      </c>
      <c r="C90" s="55" t="n">
        <v>100</v>
      </c>
      <c r="D90" s="55" t="n">
        <v>100</v>
      </c>
      <c r="E90" s="56" t="n">
        <f aca="false">+C90-D90</f>
        <v>0</v>
      </c>
      <c r="F90" s="57"/>
      <c r="G90" s="54" t="str">
        <f aca="false">+A90</f>
        <v>´029</v>
      </c>
      <c r="H90" s="55" t="str">
        <f aca="false">+B90</f>
        <v>JC SENCILLO</v>
      </c>
      <c r="I90" s="55" t="n">
        <f aca="false">+D90</f>
        <v>100</v>
      </c>
      <c r="J90" s="56"/>
      <c r="K90" s="56" t="n">
        <f aca="false">+I90-J90</f>
        <v>100</v>
      </c>
      <c r="L90" s="55"/>
      <c r="M90" s="54" t="n">
        <f aca="false">+J90-L90</f>
        <v>0</v>
      </c>
    </row>
    <row collapsed="false" customFormat="false" customHeight="true" hidden="false" ht="15" outlineLevel="0" r="91">
      <c r="A91" s="54"/>
      <c r="B91" s="54"/>
      <c r="C91" s="54"/>
      <c r="D91" s="54"/>
      <c r="E91" s="56" t="n">
        <f aca="false">+C91-D91</f>
        <v>0</v>
      </c>
      <c r="F91" s="57"/>
      <c r="G91" s="54" t="n">
        <f aca="false">+A91</f>
        <v>0</v>
      </c>
      <c r="H91" s="54" t="n">
        <f aca="false">+B91</f>
        <v>0</v>
      </c>
      <c r="I91" s="54" t="n">
        <f aca="false">+D91</f>
        <v>0</v>
      </c>
      <c r="J91" s="56"/>
      <c r="K91" s="56" t="n">
        <f aca="false">+I91-J91</f>
        <v>0</v>
      </c>
      <c r="L91" s="54"/>
      <c r="M91" s="54" t="n">
        <f aca="false">+J91-L91</f>
        <v>0</v>
      </c>
    </row>
    <row collapsed="false" customFormat="false" customHeight="true" hidden="false" ht="15" outlineLevel="0" r="92">
      <c r="A92" s="54"/>
      <c r="B92" s="54"/>
      <c r="C92" s="54"/>
      <c r="D92" s="54"/>
      <c r="E92" s="56" t="n">
        <f aca="false">+C92-D92</f>
        <v>0</v>
      </c>
      <c r="F92" s="57"/>
      <c r="G92" s="54" t="n">
        <f aca="false">+A92</f>
        <v>0</v>
      </c>
      <c r="H92" s="54" t="n">
        <f aca="false">+B92</f>
        <v>0</v>
      </c>
      <c r="I92" s="54" t="n">
        <f aca="false">+D92</f>
        <v>0</v>
      </c>
      <c r="J92" s="56"/>
      <c r="K92" s="56" t="n">
        <f aca="false">+I92-J92</f>
        <v>0</v>
      </c>
      <c r="L92" s="54"/>
      <c r="M92" s="54" t="n">
        <f aca="false">+J92-L92</f>
        <v>0</v>
      </c>
    </row>
    <row collapsed="false" customFormat="false" customHeight="true" hidden="false" ht="15.75" outlineLevel="0" r="93">
      <c r="A93" s="54"/>
      <c r="B93" s="58" t="s">
        <v>210</v>
      </c>
      <c r="C93" s="59" t="n">
        <f aca="false">SUM(C90:C92)</f>
        <v>100</v>
      </c>
      <c r="D93" s="59" t="n">
        <f aca="false">SUM(D90:D92)</f>
        <v>100</v>
      </c>
      <c r="E93" s="60" t="n">
        <f aca="false">+C93-D93</f>
        <v>0</v>
      </c>
      <c r="F93" s="57"/>
      <c r="G93" s="54" t="n">
        <f aca="false">+A93</f>
        <v>0</v>
      </c>
      <c r="H93" s="61"/>
      <c r="I93" s="58" t="s">
        <v>210</v>
      </c>
      <c r="J93" s="60" t="n">
        <f aca="false">SUM(J90:J92)</f>
        <v>0</v>
      </c>
      <c r="K93" s="60" t="n">
        <f aca="false">SUM(K90:K92)</f>
        <v>100</v>
      </c>
      <c r="L93" s="60" t="n">
        <f aca="false">SUM(L90:L92)</f>
        <v>0</v>
      </c>
      <c r="M93" s="60" t="n">
        <f aca="false">SUM(M90:M92)</f>
        <v>0</v>
      </c>
    </row>
    <row collapsed="false" customFormat="false" customHeight="true" hidden="false" ht="15.75" outlineLevel="0" r="94">
      <c r="A94" s="65"/>
      <c r="B94" s="65"/>
      <c r="C94" s="65"/>
      <c r="D94" s="65"/>
      <c r="E94" s="65"/>
      <c r="F94" s="57"/>
      <c r="G94" s="62"/>
      <c r="H94" s="62"/>
      <c r="I94" s="62"/>
      <c r="J94" s="62"/>
      <c r="K94" s="62"/>
      <c r="L94" s="62"/>
      <c r="M94" s="62"/>
    </row>
    <row collapsed="false" customFormat="false" customHeight="true" hidden="false" ht="15" outlineLevel="0" r="95">
      <c r="A95" s="54" t="s">
        <v>89</v>
      </c>
      <c r="B95" s="55" t="s">
        <v>239</v>
      </c>
      <c r="C95" s="55" t="n">
        <v>100</v>
      </c>
      <c r="D95" s="55" t="n">
        <v>100</v>
      </c>
      <c r="E95" s="56" t="n">
        <f aca="false">+C95-D95</f>
        <v>0</v>
      </c>
      <c r="F95" s="57"/>
      <c r="G95" s="54" t="str">
        <f aca="false">+A95</f>
        <v>´029</v>
      </c>
      <c r="H95" s="55" t="str">
        <f aca="false">+B95</f>
        <v>SÁBANA SENCILLA + FUNDA</v>
      </c>
      <c r="I95" s="55" t="n">
        <f aca="false">+D95</f>
        <v>100</v>
      </c>
      <c r="J95" s="56"/>
      <c r="K95" s="56" t="n">
        <f aca="false">+I95-J95</f>
        <v>100</v>
      </c>
      <c r="L95" s="55"/>
      <c r="M95" s="54" t="n">
        <f aca="false">+J95-L95</f>
        <v>0</v>
      </c>
    </row>
    <row collapsed="false" customFormat="false" customHeight="true" hidden="false" ht="15" outlineLevel="0" r="96">
      <c r="A96" s="54"/>
      <c r="B96" s="54"/>
      <c r="C96" s="54"/>
      <c r="D96" s="54"/>
      <c r="E96" s="56" t="n">
        <f aca="false">+C96-D96</f>
        <v>0</v>
      </c>
      <c r="F96" s="57"/>
      <c r="G96" s="54" t="n">
        <f aca="false">+A96</f>
        <v>0</v>
      </c>
      <c r="H96" s="54" t="n">
        <f aca="false">+B96</f>
        <v>0</v>
      </c>
      <c r="I96" s="54" t="n">
        <f aca="false">+D96</f>
        <v>0</v>
      </c>
      <c r="J96" s="56"/>
      <c r="K96" s="56" t="n">
        <f aca="false">+I96-J96</f>
        <v>0</v>
      </c>
      <c r="L96" s="54"/>
      <c r="M96" s="54" t="n">
        <f aca="false">+J96-L96</f>
        <v>0</v>
      </c>
    </row>
    <row collapsed="false" customFormat="false" customHeight="true" hidden="false" ht="15" outlineLevel="0" r="97">
      <c r="A97" s="54"/>
      <c r="B97" s="54"/>
      <c r="C97" s="54"/>
      <c r="D97" s="54"/>
      <c r="E97" s="56" t="n">
        <f aca="false">+C97-D97</f>
        <v>0</v>
      </c>
      <c r="F97" s="57"/>
      <c r="G97" s="54" t="n">
        <f aca="false">+A97</f>
        <v>0</v>
      </c>
      <c r="H97" s="54" t="n">
        <f aca="false">+B97</f>
        <v>0</v>
      </c>
      <c r="I97" s="54" t="n">
        <f aca="false">+D97</f>
        <v>0</v>
      </c>
      <c r="J97" s="56"/>
      <c r="K97" s="56" t="n">
        <f aca="false">+I97-J97</f>
        <v>0</v>
      </c>
      <c r="L97" s="54"/>
      <c r="M97" s="54" t="n">
        <f aca="false">+J97-L97</f>
        <v>0</v>
      </c>
    </row>
    <row collapsed="false" customFormat="false" customHeight="true" hidden="false" ht="15.75" outlineLevel="0" r="98">
      <c r="A98" s="54"/>
      <c r="B98" s="58" t="s">
        <v>210</v>
      </c>
      <c r="C98" s="59" t="n">
        <f aca="false">SUM(C95:C97)</f>
        <v>100</v>
      </c>
      <c r="D98" s="59" t="n">
        <f aca="false">SUM(D95:D97)</f>
        <v>100</v>
      </c>
      <c r="E98" s="60" t="n">
        <f aca="false">+C98-D98</f>
        <v>0</v>
      </c>
      <c r="F98" s="57"/>
      <c r="G98" s="54" t="n">
        <f aca="false">+A98</f>
        <v>0</v>
      </c>
      <c r="H98" s="61"/>
      <c r="I98" s="58" t="s">
        <v>210</v>
      </c>
      <c r="J98" s="60" t="n">
        <f aca="false">SUM(J95:J97)</f>
        <v>0</v>
      </c>
      <c r="K98" s="60" t="n">
        <f aca="false">SUM(K95:K97)</f>
        <v>100</v>
      </c>
      <c r="L98" s="60" t="n">
        <f aca="false">SUM(L95:L97)</f>
        <v>0</v>
      </c>
      <c r="M98" s="60" t="n">
        <f aca="false">SUM(M95:M97)</f>
        <v>0</v>
      </c>
    </row>
    <row collapsed="false" customFormat="false" customHeight="true" hidden="false" ht="15.75" outlineLevel="0" r="99">
      <c r="A99" s="65"/>
      <c r="B99" s="65"/>
      <c r="C99" s="65"/>
      <c r="D99" s="65"/>
      <c r="E99" s="65"/>
      <c r="F99" s="57"/>
      <c r="G99" s="62"/>
      <c r="H99" s="62"/>
      <c r="I99" s="62"/>
      <c r="J99" s="62"/>
      <c r="K99" s="62"/>
      <c r="L99" s="62"/>
      <c r="M99" s="62"/>
    </row>
    <row collapsed="false" customFormat="false" customHeight="true" hidden="false" ht="15" outlineLevel="0" r="100">
      <c r="A100" s="54" t="s">
        <v>76</v>
      </c>
      <c r="B100" s="55" t="s">
        <v>315</v>
      </c>
      <c r="C100" s="55" t="n">
        <f aca="false">711-152</f>
        <v>559</v>
      </c>
      <c r="D100" s="55"/>
      <c r="E100" s="56" t="n">
        <f aca="false">+C100-D100</f>
        <v>559</v>
      </c>
      <c r="F100" s="57"/>
      <c r="G100" s="54" t="str">
        <f aca="false">+A100</f>
        <v>´012</v>
      </c>
      <c r="H100" s="55" t="str">
        <f aca="false">+B100</f>
        <v>POLO MASCULINA</v>
      </c>
      <c r="I100" s="55" t="n">
        <f aca="false">+D100</f>
        <v>0</v>
      </c>
      <c r="J100" s="56"/>
      <c r="K100" s="56" t="n">
        <f aca="false">+I100-J100</f>
        <v>0</v>
      </c>
      <c r="L100" s="55"/>
      <c r="M100" s="54" t="n">
        <f aca="false">+J100-L100</f>
        <v>0</v>
      </c>
    </row>
    <row collapsed="false" customFormat="false" customHeight="true" hidden="false" ht="15" outlineLevel="0" r="101">
      <c r="A101" s="54"/>
      <c r="B101" s="54"/>
      <c r="C101" s="54"/>
      <c r="D101" s="54"/>
      <c r="E101" s="56"/>
      <c r="F101" s="57"/>
      <c r="G101" s="54"/>
      <c r="H101" s="54"/>
      <c r="I101" s="54"/>
      <c r="J101" s="56"/>
      <c r="K101" s="56"/>
      <c r="L101" s="54"/>
      <c r="M101" s="54"/>
    </row>
    <row collapsed="false" customFormat="false" customHeight="true" hidden="false" ht="15.75" outlineLevel="0" r="102">
      <c r="A102" s="54"/>
      <c r="B102" s="58" t="s">
        <v>210</v>
      </c>
      <c r="C102" s="59" t="n">
        <f aca="false">SUM(C100:C101)</f>
        <v>559</v>
      </c>
      <c r="D102" s="59" t="n">
        <f aca="false">SUM(D100:D101)</f>
        <v>0</v>
      </c>
      <c r="E102" s="60" t="n">
        <f aca="false">+C102-D102</f>
        <v>559</v>
      </c>
      <c r="F102" s="57"/>
      <c r="G102" s="54"/>
      <c r="H102" s="54"/>
      <c r="I102" s="58" t="s">
        <v>210</v>
      </c>
      <c r="J102" s="60" t="n">
        <f aca="false">SUM(J100:J101)</f>
        <v>0</v>
      </c>
      <c r="K102" s="60" t="n">
        <f aca="false">SUM(K100:K101)</f>
        <v>0</v>
      </c>
      <c r="L102" s="60" t="n">
        <f aca="false">SUM(L100:L101)</f>
        <v>0</v>
      </c>
      <c r="M102" s="60" t="n">
        <f aca="false">SUM(M100:M101)</f>
        <v>0</v>
      </c>
    </row>
    <row collapsed="false" customFormat="false" customHeight="true" hidden="false" ht="15.75" outlineLevel="0" r="103">
      <c r="A103" s="65"/>
      <c r="B103" s="65"/>
      <c r="C103" s="65"/>
      <c r="D103" s="65"/>
      <c r="E103" s="65"/>
      <c r="F103" s="57"/>
      <c r="G103" s="62"/>
      <c r="H103" s="62"/>
      <c r="I103" s="62"/>
      <c r="J103" s="62"/>
      <c r="K103" s="62"/>
      <c r="L103" s="62"/>
      <c r="M103" s="62"/>
    </row>
    <row collapsed="false" customFormat="false" customHeight="true" hidden="false" ht="15" outlineLevel="0" r="104">
      <c r="A104" s="55" t="s">
        <v>76</v>
      </c>
      <c r="B104" s="55" t="s">
        <v>282</v>
      </c>
      <c r="C104" s="55" t="n">
        <v>152</v>
      </c>
      <c r="D104" s="55" t="n">
        <f aca="false">68+64</f>
        <v>132</v>
      </c>
      <c r="E104" s="56" t="n">
        <f aca="false">+C104-D104</f>
        <v>20</v>
      </c>
      <c r="F104" s="57"/>
      <c r="G104" s="54" t="str">
        <f aca="false">+A104</f>
        <v>´012</v>
      </c>
      <c r="H104" s="55" t="str">
        <f aca="false">+B104</f>
        <v>POLO FEMENINA</v>
      </c>
      <c r="I104" s="55" t="n">
        <f aca="false">+D104</f>
        <v>132</v>
      </c>
      <c r="J104" s="56"/>
      <c r="K104" s="56" t="n">
        <f aca="false">+I104-J104</f>
        <v>132</v>
      </c>
      <c r="L104" s="55"/>
      <c r="M104" s="54" t="n">
        <f aca="false">+J104-L104</f>
        <v>0</v>
      </c>
    </row>
    <row collapsed="false" customFormat="false" customHeight="true" hidden="false" ht="15" outlineLevel="0" r="105">
      <c r="A105" s="55"/>
      <c r="B105" s="55"/>
      <c r="C105" s="55"/>
      <c r="D105" s="55"/>
      <c r="E105" s="66" t="n">
        <f aca="false">+C105-D105</f>
        <v>0</v>
      </c>
      <c r="F105" s="57"/>
      <c r="G105" s="54" t="n">
        <f aca="false">+A105</f>
        <v>0</v>
      </c>
      <c r="H105" s="54" t="n">
        <f aca="false">+B105</f>
        <v>0</v>
      </c>
      <c r="I105" s="54" t="n">
        <f aca="false">+D105</f>
        <v>0</v>
      </c>
      <c r="J105" s="56"/>
      <c r="K105" s="56" t="n">
        <f aca="false">+I105-J105</f>
        <v>0</v>
      </c>
      <c r="L105" s="54"/>
      <c r="M105" s="54" t="n">
        <f aca="false">+J105-L105</f>
        <v>0</v>
      </c>
    </row>
    <row collapsed="false" customFormat="false" customHeight="true" hidden="false" ht="15" outlineLevel="0" r="106">
      <c r="A106" s="55"/>
      <c r="B106" s="55"/>
      <c r="C106" s="55"/>
      <c r="D106" s="55"/>
      <c r="E106" s="66" t="n">
        <f aca="false">+C106-D106</f>
        <v>0</v>
      </c>
      <c r="F106" s="57"/>
      <c r="G106" s="54" t="n">
        <f aca="false">+A106</f>
        <v>0</v>
      </c>
      <c r="H106" s="54" t="n">
        <f aca="false">+B106</f>
        <v>0</v>
      </c>
      <c r="I106" s="54" t="n">
        <f aca="false">+D106</f>
        <v>0</v>
      </c>
      <c r="J106" s="56"/>
      <c r="K106" s="56" t="n">
        <f aca="false">+I106-J106</f>
        <v>0</v>
      </c>
      <c r="L106" s="54"/>
      <c r="M106" s="54" t="n">
        <f aca="false">+J106-L106</f>
        <v>0</v>
      </c>
    </row>
    <row collapsed="false" customFormat="false" customHeight="true" hidden="false" ht="15.75" outlineLevel="0" r="107">
      <c r="A107" s="55"/>
      <c r="B107" s="58" t="s">
        <v>210</v>
      </c>
      <c r="C107" s="59" t="n">
        <f aca="false">SUM(C104:C106)</f>
        <v>152</v>
      </c>
      <c r="D107" s="59" t="n">
        <f aca="false">SUM(D104:D106)</f>
        <v>132</v>
      </c>
      <c r="E107" s="60" t="n">
        <f aca="false">+C107-D107</f>
        <v>20</v>
      </c>
      <c r="F107" s="57"/>
      <c r="G107" s="61"/>
      <c r="H107" s="61"/>
      <c r="I107" s="58" t="s">
        <v>210</v>
      </c>
      <c r="J107" s="60" t="n">
        <f aca="false">SUM(J104:J106)</f>
        <v>0</v>
      </c>
      <c r="K107" s="60" t="n">
        <f aca="false">SUM(K104:K106)</f>
        <v>132</v>
      </c>
      <c r="L107" s="60" t="n">
        <f aca="false">SUM(L104:L106)</f>
        <v>0</v>
      </c>
      <c r="M107" s="60" t="n">
        <f aca="false">SUM(M104:M106)</f>
        <v>0</v>
      </c>
    </row>
    <row collapsed="false" customFormat="false" customHeight="true" hidden="false" ht="15.75" outlineLevel="0" r="108">
      <c r="A108" s="65"/>
      <c r="B108" s="65"/>
      <c r="C108" s="65"/>
      <c r="D108" s="65"/>
      <c r="E108" s="65"/>
      <c r="F108" s="67"/>
      <c r="G108" s="62"/>
      <c r="H108" s="62"/>
      <c r="I108" s="62"/>
      <c r="J108" s="62"/>
      <c r="K108" s="62"/>
      <c r="L108" s="62"/>
      <c r="M108" s="62"/>
    </row>
    <row collapsed="false" customFormat="false" customHeight="true" hidden="false" ht="15" outlineLevel="0" r="109">
      <c r="A109" s="55" t="n">
        <v>2012</v>
      </c>
      <c r="B109" s="55" t="s">
        <v>279</v>
      </c>
      <c r="C109" s="55" t="n">
        <v>84</v>
      </c>
      <c r="D109" s="55" t="n">
        <f aca="false">42+42</f>
        <v>84</v>
      </c>
      <c r="E109" s="56" t="n">
        <f aca="false">+C109-D109</f>
        <v>0</v>
      </c>
      <c r="F109" s="67"/>
      <c r="G109" s="54" t="n">
        <f aca="false">+A109</f>
        <v>2012</v>
      </c>
      <c r="H109" s="55" t="str">
        <f aca="false">+B109</f>
        <v>PIJAMA NIÑO</v>
      </c>
      <c r="I109" s="55" t="n">
        <f aca="false">+D109</f>
        <v>84</v>
      </c>
      <c r="J109" s="56" t="n">
        <f aca="false">24+60</f>
        <v>84</v>
      </c>
      <c r="K109" s="56" t="n">
        <f aca="false">+I109-J109</f>
        <v>0</v>
      </c>
      <c r="L109" s="55" t="n">
        <f aca="false">20+59</f>
        <v>79</v>
      </c>
      <c r="M109" s="54" t="n">
        <f aca="false">+J109-L109</f>
        <v>5</v>
      </c>
    </row>
    <row collapsed="false" customFormat="false" customHeight="true" hidden="false" ht="15" outlineLevel="0" r="110">
      <c r="A110" s="55"/>
      <c r="B110" s="55"/>
      <c r="C110" s="55"/>
      <c r="D110" s="55"/>
      <c r="E110" s="66"/>
      <c r="F110" s="67"/>
      <c r="G110" s="54" t="n">
        <f aca="false">+A110</f>
        <v>0</v>
      </c>
      <c r="H110" s="54" t="n">
        <f aca="false">+B110</f>
        <v>0</v>
      </c>
      <c r="I110" s="54" t="n">
        <f aca="false">+D110</f>
        <v>0</v>
      </c>
      <c r="J110" s="56"/>
      <c r="K110" s="56" t="n">
        <f aca="false">+I110-J110</f>
        <v>0</v>
      </c>
      <c r="L110" s="54"/>
      <c r="M110" s="54" t="n">
        <f aca="false">+J110-L110</f>
        <v>0</v>
      </c>
    </row>
    <row collapsed="false" customFormat="false" customHeight="true" hidden="false" ht="15" outlineLevel="0" r="111">
      <c r="A111" s="55"/>
      <c r="B111" s="55"/>
      <c r="C111" s="55"/>
      <c r="D111" s="55"/>
      <c r="E111" s="66"/>
      <c r="F111" s="67"/>
      <c r="G111" s="54" t="n">
        <f aca="false">+A111</f>
        <v>0</v>
      </c>
      <c r="H111" s="54" t="n">
        <f aca="false">+B111</f>
        <v>0</v>
      </c>
      <c r="I111" s="54" t="n">
        <f aca="false">+D111</f>
        <v>0</v>
      </c>
      <c r="J111" s="56"/>
      <c r="K111" s="56" t="n">
        <f aca="false">+I111-J111</f>
        <v>0</v>
      </c>
      <c r="L111" s="54"/>
      <c r="M111" s="54" t="n">
        <f aca="false">+J111-L111</f>
        <v>0</v>
      </c>
    </row>
    <row collapsed="false" customFormat="false" customHeight="true" hidden="false" ht="15.75" outlineLevel="0" r="112">
      <c r="A112" s="55"/>
      <c r="B112" s="58" t="s">
        <v>210</v>
      </c>
      <c r="C112" s="59" t="n">
        <f aca="false">SUM(C109:C111)</f>
        <v>84</v>
      </c>
      <c r="D112" s="59" t="n">
        <f aca="false">SUM(D109:D111)</f>
        <v>84</v>
      </c>
      <c r="E112" s="60" t="n">
        <f aca="false">+C112-D112</f>
        <v>0</v>
      </c>
      <c r="F112" s="67"/>
      <c r="G112" s="61"/>
      <c r="H112" s="61"/>
      <c r="I112" s="58" t="s">
        <v>210</v>
      </c>
      <c r="J112" s="60" t="n">
        <f aca="false">SUM(J109:J111)</f>
        <v>84</v>
      </c>
      <c r="K112" s="60" t="n">
        <f aca="false">SUM(K109:K111)</f>
        <v>0</v>
      </c>
      <c r="L112" s="60" t="n">
        <f aca="false">SUM(L109:L111)</f>
        <v>79</v>
      </c>
      <c r="M112" s="60" t="n">
        <f aca="false">SUM(M109:M111)</f>
        <v>5</v>
      </c>
    </row>
    <row collapsed="false" customFormat="false" customHeight="true" hidden="false" ht="15.75" outlineLevel="0" r="113">
      <c r="A113" s="65"/>
      <c r="B113" s="65"/>
      <c r="C113" s="65"/>
      <c r="D113" s="65"/>
      <c r="E113" s="65"/>
      <c r="F113" s="67"/>
      <c r="G113" s="62"/>
      <c r="H113" s="62"/>
      <c r="I113" s="62"/>
      <c r="J113" s="62"/>
      <c r="K113" s="62"/>
      <c r="L113" s="62"/>
      <c r="M113" s="62"/>
    </row>
    <row collapsed="false" customFormat="false" customHeight="true" hidden="false" ht="15" outlineLevel="0" r="114">
      <c r="A114" s="54" t="s">
        <v>108</v>
      </c>
      <c r="B114" s="55" t="s">
        <v>232</v>
      </c>
      <c r="C114" s="55" t="n">
        <v>40</v>
      </c>
      <c r="D114" s="55"/>
      <c r="E114" s="56" t="n">
        <f aca="false">+C114-D114</f>
        <v>40</v>
      </c>
      <c r="F114" s="67"/>
      <c r="G114" s="54" t="str">
        <f aca="false">+A114</f>
        <v>´024</v>
      </c>
      <c r="H114" s="55" t="str">
        <f aca="false">+B114</f>
        <v>CHALECO APRENDÍZ</v>
      </c>
      <c r="I114" s="55" t="n">
        <f aca="false">+D114</f>
        <v>0</v>
      </c>
      <c r="J114" s="56"/>
      <c r="K114" s="56" t="n">
        <f aca="false">+I114-J114</f>
        <v>0</v>
      </c>
      <c r="L114" s="55"/>
      <c r="M114" s="54" t="n">
        <f aca="false">+J114-L114</f>
        <v>0</v>
      </c>
    </row>
    <row collapsed="false" customFormat="false" customHeight="true" hidden="false" ht="15" outlineLevel="0" r="115">
      <c r="A115" s="55"/>
      <c r="B115" s="55"/>
      <c r="C115" s="55"/>
      <c r="D115" s="55"/>
      <c r="E115" s="66"/>
      <c r="F115" s="67"/>
      <c r="G115" s="54" t="n">
        <f aca="false">+A115</f>
        <v>0</v>
      </c>
      <c r="H115" s="54" t="n">
        <f aca="false">+B115</f>
        <v>0</v>
      </c>
      <c r="I115" s="54" t="n">
        <f aca="false">+D115</f>
        <v>0</v>
      </c>
      <c r="J115" s="56"/>
      <c r="K115" s="56" t="n">
        <f aca="false">+I115-J115</f>
        <v>0</v>
      </c>
      <c r="L115" s="54"/>
      <c r="M115" s="54" t="n">
        <f aca="false">+J115-L115</f>
        <v>0</v>
      </c>
    </row>
    <row collapsed="false" customFormat="false" customHeight="true" hidden="false" ht="15" outlineLevel="0" r="116">
      <c r="A116" s="55"/>
      <c r="B116" s="55"/>
      <c r="C116" s="55"/>
      <c r="D116" s="55"/>
      <c r="E116" s="66"/>
      <c r="F116" s="67"/>
      <c r="G116" s="54" t="n">
        <f aca="false">+A116</f>
        <v>0</v>
      </c>
      <c r="H116" s="54" t="n">
        <f aca="false">+B116</f>
        <v>0</v>
      </c>
      <c r="I116" s="54" t="n">
        <f aca="false">+D116</f>
        <v>0</v>
      </c>
      <c r="J116" s="56"/>
      <c r="K116" s="56" t="n">
        <f aca="false">+I116-J116</f>
        <v>0</v>
      </c>
      <c r="L116" s="54"/>
      <c r="M116" s="54" t="n">
        <f aca="false">+J116-L116</f>
        <v>0</v>
      </c>
    </row>
    <row collapsed="false" customFormat="false" customHeight="true" hidden="false" ht="15.75" outlineLevel="0" r="117">
      <c r="A117" s="55"/>
      <c r="B117" s="58" t="s">
        <v>210</v>
      </c>
      <c r="C117" s="59" t="n">
        <f aca="false">SUM(C114:C116)</f>
        <v>40</v>
      </c>
      <c r="D117" s="59" t="n">
        <f aca="false">SUM(D114:D116)</f>
        <v>0</v>
      </c>
      <c r="E117" s="60" t="n">
        <f aca="false">+C117-D117</f>
        <v>40</v>
      </c>
      <c r="F117" s="67"/>
      <c r="G117" s="61"/>
      <c r="H117" s="61"/>
      <c r="I117" s="58" t="s">
        <v>210</v>
      </c>
      <c r="J117" s="60" t="n">
        <f aca="false">SUM(J114:J116)</f>
        <v>0</v>
      </c>
      <c r="K117" s="60" t="n">
        <f aca="false">SUM(K114:K116)</f>
        <v>0</v>
      </c>
      <c r="L117" s="60" t="n">
        <f aca="false">SUM(L114:L116)</f>
        <v>0</v>
      </c>
      <c r="M117" s="60" t="n">
        <f aca="false">SUM(M114:M116)</f>
        <v>0</v>
      </c>
    </row>
    <row collapsed="false" customFormat="false" customHeight="true" hidden="false" ht="15.75" outlineLevel="0" r="118">
      <c r="A118" s="65"/>
      <c r="B118" s="65"/>
      <c r="C118" s="65"/>
      <c r="D118" s="65"/>
      <c r="E118" s="65"/>
      <c r="F118" s="67"/>
      <c r="G118" s="62"/>
      <c r="H118" s="62"/>
      <c r="I118" s="62"/>
      <c r="J118" s="62"/>
      <c r="K118" s="62"/>
      <c r="L118" s="62"/>
      <c r="M118" s="62"/>
    </row>
    <row collapsed="false" customFormat="false" customHeight="true" hidden="false" ht="15" outlineLevel="0" r="119">
      <c r="A119" s="54" t="s">
        <v>283</v>
      </c>
      <c r="B119" s="55" t="s">
        <v>109</v>
      </c>
      <c r="C119" s="55" t="n">
        <v>90</v>
      </c>
      <c r="D119" s="55" t="n">
        <v>30</v>
      </c>
      <c r="E119" s="56" t="n">
        <f aca="false">+C119-D119</f>
        <v>60</v>
      </c>
      <c r="F119" s="67"/>
      <c r="G119" s="54" t="str">
        <f aca="false">+A119</f>
        <v>APROVEC</v>
      </c>
      <c r="H119" s="55" t="str">
        <f aca="false">+B119</f>
        <v>CHALECO</v>
      </c>
      <c r="I119" s="55" t="n">
        <f aca="false">+D119</f>
        <v>30</v>
      </c>
      <c r="J119" s="56"/>
      <c r="K119" s="56" t="n">
        <f aca="false">+I119-J119</f>
        <v>30</v>
      </c>
      <c r="L119" s="55"/>
      <c r="M119" s="54" t="n">
        <f aca="false">+J119-L119</f>
        <v>0</v>
      </c>
    </row>
    <row collapsed="false" customFormat="false" customHeight="true" hidden="false" ht="15" outlineLevel="0" r="120">
      <c r="A120" s="55"/>
      <c r="B120" s="55"/>
      <c r="C120" s="55"/>
      <c r="D120" s="55"/>
      <c r="E120" s="66"/>
      <c r="F120" s="67"/>
      <c r="G120" s="54" t="n">
        <f aca="false">+A120</f>
        <v>0</v>
      </c>
      <c r="H120" s="54" t="n">
        <f aca="false">+B120</f>
        <v>0</v>
      </c>
      <c r="I120" s="54" t="n">
        <f aca="false">+D120</f>
        <v>0</v>
      </c>
      <c r="J120" s="56"/>
      <c r="K120" s="56" t="n">
        <f aca="false">+I120-J120</f>
        <v>0</v>
      </c>
      <c r="L120" s="54"/>
      <c r="M120" s="54" t="n">
        <f aca="false">+J120-L120</f>
        <v>0</v>
      </c>
    </row>
    <row collapsed="false" customFormat="false" customHeight="true" hidden="false" ht="15" outlineLevel="0" r="121">
      <c r="A121" s="55"/>
      <c r="B121" s="55"/>
      <c r="C121" s="55"/>
      <c r="D121" s="55"/>
      <c r="E121" s="66"/>
      <c r="F121" s="67"/>
      <c r="G121" s="54" t="n">
        <f aca="false">+A121</f>
        <v>0</v>
      </c>
      <c r="H121" s="54" t="n">
        <f aca="false">+B121</f>
        <v>0</v>
      </c>
      <c r="I121" s="54" t="n">
        <f aca="false">+D121</f>
        <v>0</v>
      </c>
      <c r="J121" s="56"/>
      <c r="K121" s="56" t="n">
        <f aca="false">+I121-J121</f>
        <v>0</v>
      </c>
      <c r="L121" s="54"/>
      <c r="M121" s="54" t="n">
        <f aca="false">+J121-L121</f>
        <v>0</v>
      </c>
    </row>
    <row collapsed="false" customFormat="false" customHeight="true" hidden="false" ht="15.75" outlineLevel="0" r="122">
      <c r="A122" s="55"/>
      <c r="B122" s="58" t="s">
        <v>210</v>
      </c>
      <c r="C122" s="59" t="n">
        <f aca="false">SUM(C119:C121)</f>
        <v>90</v>
      </c>
      <c r="D122" s="59" t="n">
        <f aca="false">SUM(D119:D121)</f>
        <v>30</v>
      </c>
      <c r="E122" s="60" t="n">
        <f aca="false">+C122-D122</f>
        <v>60</v>
      </c>
      <c r="F122" s="67"/>
      <c r="G122" s="61"/>
      <c r="H122" s="61"/>
      <c r="I122" s="58" t="s">
        <v>210</v>
      </c>
      <c r="J122" s="60" t="n">
        <f aca="false">SUM(J119:J121)</f>
        <v>0</v>
      </c>
      <c r="K122" s="60" t="n">
        <f aca="false">SUM(K119:K121)</f>
        <v>30</v>
      </c>
      <c r="L122" s="60" t="n">
        <f aca="false">SUM(L119:L121)</f>
        <v>0</v>
      </c>
      <c r="M122" s="60" t="n">
        <f aca="false">SUM(M119:M121)</f>
        <v>0</v>
      </c>
    </row>
    <row collapsed="false" customFormat="false" customHeight="true" hidden="false" ht="15.75" outlineLevel="0" r="123">
      <c r="A123" s="65"/>
      <c r="B123" s="65"/>
      <c r="C123" s="65"/>
      <c r="D123" s="65"/>
      <c r="E123" s="65"/>
      <c r="F123" s="67"/>
      <c r="G123" s="62"/>
      <c r="H123" s="62"/>
      <c r="I123" s="62"/>
      <c r="J123" s="62"/>
      <c r="K123" s="62"/>
      <c r="L123" s="62"/>
      <c r="M123" s="62"/>
    </row>
    <row collapsed="false" customFormat="false" customHeight="true" hidden="false" ht="15" outlineLevel="0" r="124">
      <c r="A124" s="54" t="s">
        <v>92</v>
      </c>
      <c r="B124" s="55" t="s">
        <v>240</v>
      </c>
      <c r="C124" s="55" t="n">
        <v>126</v>
      </c>
      <c r="D124" s="55" t="n">
        <v>126</v>
      </c>
      <c r="E124" s="56" t="n">
        <f aca="false">+C124-D124</f>
        <v>0</v>
      </c>
      <c r="F124" s="67"/>
      <c r="G124" s="54" t="str">
        <f aca="false">+A124</f>
        <v>´013</v>
      </c>
      <c r="H124" s="55" t="str">
        <f aca="false">+B124</f>
        <v>PIJAMA FEMENINA (LARGA)</v>
      </c>
      <c r="I124" s="55" t="n">
        <f aca="false">+D124</f>
        <v>126</v>
      </c>
      <c r="J124" s="56" t="n">
        <v>56</v>
      </c>
      <c r="K124" s="56" t="n">
        <f aca="false">+I124-J124</f>
        <v>70</v>
      </c>
      <c r="L124" s="55" t="n">
        <v>47</v>
      </c>
      <c r="M124" s="54" t="n">
        <f aca="false">+J124-L124</f>
        <v>9</v>
      </c>
    </row>
    <row collapsed="false" customFormat="false" customHeight="true" hidden="false" ht="15" outlineLevel="0" r="125">
      <c r="A125" s="55"/>
      <c r="B125" s="55"/>
      <c r="C125" s="55"/>
      <c r="D125" s="55"/>
      <c r="E125" s="66"/>
      <c r="F125" s="67"/>
      <c r="G125" s="54" t="n">
        <f aca="false">+A125</f>
        <v>0</v>
      </c>
      <c r="H125" s="54" t="n">
        <f aca="false">+B125</f>
        <v>0</v>
      </c>
      <c r="I125" s="54" t="n">
        <f aca="false">+D125</f>
        <v>0</v>
      </c>
      <c r="J125" s="56"/>
      <c r="K125" s="56" t="n">
        <f aca="false">+I125-J125</f>
        <v>0</v>
      </c>
      <c r="L125" s="54"/>
      <c r="M125" s="54" t="n">
        <f aca="false">+J125-L125</f>
        <v>0</v>
      </c>
    </row>
    <row collapsed="false" customFormat="false" customHeight="true" hidden="false" ht="15" outlineLevel="0" r="126">
      <c r="A126" s="55"/>
      <c r="B126" s="55"/>
      <c r="C126" s="55"/>
      <c r="D126" s="55"/>
      <c r="E126" s="66"/>
      <c r="F126" s="67"/>
      <c r="G126" s="54" t="n">
        <f aca="false">+A126</f>
        <v>0</v>
      </c>
      <c r="H126" s="54" t="n">
        <f aca="false">+B126</f>
        <v>0</v>
      </c>
      <c r="I126" s="54" t="n">
        <f aca="false">+D126</f>
        <v>0</v>
      </c>
      <c r="J126" s="56"/>
      <c r="K126" s="56" t="n">
        <f aca="false">+I126-J126</f>
        <v>0</v>
      </c>
      <c r="L126" s="54"/>
      <c r="M126" s="54" t="n">
        <f aca="false">+J126-L126</f>
        <v>0</v>
      </c>
    </row>
    <row collapsed="false" customFormat="false" customHeight="true" hidden="false" ht="15.75" outlineLevel="0" r="127">
      <c r="A127" s="55"/>
      <c r="B127" s="58" t="s">
        <v>210</v>
      </c>
      <c r="C127" s="59" t="n">
        <f aca="false">SUM(C124:C126)</f>
        <v>126</v>
      </c>
      <c r="D127" s="59" t="n">
        <f aca="false">SUM(D124:D126)</f>
        <v>126</v>
      </c>
      <c r="E127" s="60" t="n">
        <f aca="false">+C127-D127</f>
        <v>0</v>
      </c>
      <c r="F127" s="67"/>
      <c r="G127" s="61"/>
      <c r="H127" s="61"/>
      <c r="I127" s="58" t="s">
        <v>210</v>
      </c>
      <c r="J127" s="60" t="n">
        <f aca="false">SUM(J124:J126)</f>
        <v>56</v>
      </c>
      <c r="K127" s="60" t="n">
        <f aca="false">SUM(K124:K126)</f>
        <v>70</v>
      </c>
      <c r="L127" s="60" t="n">
        <f aca="false">SUM(L124:L126)</f>
        <v>47</v>
      </c>
      <c r="M127" s="60" t="n">
        <f aca="false">SUM(M124:M126)</f>
        <v>9</v>
      </c>
    </row>
    <row collapsed="false" customFormat="false" customHeight="true" hidden="false" ht="15.75" outlineLevel="0" r="128">
      <c r="A128" s="65"/>
      <c r="B128" s="65"/>
      <c r="C128" s="65"/>
      <c r="D128" s="65"/>
      <c r="E128" s="65"/>
      <c r="F128" s="67"/>
      <c r="G128" s="62"/>
      <c r="H128" s="62"/>
      <c r="I128" s="62"/>
      <c r="J128" s="62"/>
      <c r="K128" s="62"/>
      <c r="L128" s="62"/>
      <c r="M128" s="62"/>
    </row>
    <row collapsed="false" customFormat="false" customHeight="true" hidden="false" ht="15" outlineLevel="0" r="129">
      <c r="A129" s="54" t="s">
        <v>68</v>
      </c>
      <c r="B129" s="55" t="s">
        <v>69</v>
      </c>
      <c r="C129" s="55" t="n">
        <v>117</v>
      </c>
      <c r="D129" s="55" t="n">
        <v>10</v>
      </c>
      <c r="E129" s="56" t="n">
        <f aca="false">+C129-D129</f>
        <v>107</v>
      </c>
      <c r="F129" s="67"/>
      <c r="G129" s="54" t="str">
        <f aca="false">+A129</f>
        <v>´008</v>
      </c>
      <c r="H129" s="55" t="str">
        <f aca="false">+B129</f>
        <v>TOGA</v>
      </c>
      <c r="I129" s="55" t="n">
        <f aca="false">+D129</f>
        <v>10</v>
      </c>
      <c r="J129" s="56"/>
      <c r="K129" s="56" t="n">
        <f aca="false">+I129-J129</f>
        <v>10</v>
      </c>
      <c r="L129" s="55"/>
      <c r="M129" s="54" t="n">
        <f aca="false">+J129-L129</f>
        <v>0</v>
      </c>
    </row>
    <row collapsed="false" customFormat="false" customHeight="true" hidden="false" ht="15" outlineLevel="0" r="130">
      <c r="A130" s="55"/>
      <c r="B130" s="55"/>
      <c r="C130" s="55"/>
      <c r="D130" s="55"/>
      <c r="E130" s="66"/>
      <c r="F130" s="67"/>
      <c r="G130" s="54" t="n">
        <f aca="false">+A130</f>
        <v>0</v>
      </c>
      <c r="H130" s="54" t="n">
        <f aca="false">+B130</f>
        <v>0</v>
      </c>
      <c r="I130" s="54" t="n">
        <f aca="false">+D130</f>
        <v>0</v>
      </c>
      <c r="J130" s="56"/>
      <c r="K130" s="56" t="n">
        <f aca="false">+I130-J130</f>
        <v>0</v>
      </c>
      <c r="L130" s="54"/>
      <c r="M130" s="54" t="n">
        <f aca="false">+J130-L130</f>
        <v>0</v>
      </c>
    </row>
    <row collapsed="false" customFormat="false" customHeight="true" hidden="false" ht="15" outlineLevel="0" r="131">
      <c r="A131" s="55"/>
      <c r="B131" s="55"/>
      <c r="C131" s="55"/>
      <c r="D131" s="55"/>
      <c r="E131" s="66"/>
      <c r="F131" s="67"/>
      <c r="G131" s="54" t="n">
        <f aca="false">+A131</f>
        <v>0</v>
      </c>
      <c r="H131" s="54" t="n">
        <f aca="false">+B131</f>
        <v>0</v>
      </c>
      <c r="I131" s="54" t="n">
        <f aca="false">+D131</f>
        <v>0</v>
      </c>
      <c r="J131" s="56"/>
      <c r="K131" s="56" t="n">
        <f aca="false">+I131-J131</f>
        <v>0</v>
      </c>
      <c r="L131" s="54"/>
      <c r="M131" s="54" t="n">
        <f aca="false">+J131-L131</f>
        <v>0</v>
      </c>
    </row>
    <row collapsed="false" customFormat="false" customHeight="true" hidden="false" ht="15.75" outlineLevel="0" r="132">
      <c r="A132" s="55"/>
      <c r="B132" s="58" t="s">
        <v>210</v>
      </c>
      <c r="C132" s="59" t="n">
        <f aca="false">SUM(C129:C131)</f>
        <v>117</v>
      </c>
      <c r="D132" s="59" t="n">
        <f aca="false">SUM(D129:D131)</f>
        <v>10</v>
      </c>
      <c r="E132" s="60" t="n">
        <f aca="false">+C132-D132</f>
        <v>107</v>
      </c>
      <c r="F132" s="67"/>
      <c r="G132" s="61"/>
      <c r="H132" s="61"/>
      <c r="I132" s="58" t="s">
        <v>210</v>
      </c>
      <c r="J132" s="60" t="n">
        <f aca="false">SUM(J129:J131)</f>
        <v>0</v>
      </c>
      <c r="K132" s="60" t="n">
        <f aca="false">SUM(K129:K131)</f>
        <v>10</v>
      </c>
      <c r="L132" s="60" t="n">
        <f aca="false">SUM(L129:L131)</f>
        <v>0</v>
      </c>
      <c r="M132" s="60" t="n">
        <f aca="false">SUM(M129:M131)</f>
        <v>0</v>
      </c>
    </row>
    <row collapsed="false" customFormat="false" customHeight="true" hidden="false" ht="15.75" outlineLevel="0" r="133">
      <c r="A133" s="65"/>
      <c r="B133" s="65"/>
      <c r="C133" s="65"/>
      <c r="D133" s="65"/>
      <c r="E133" s="65"/>
      <c r="F133" s="67"/>
      <c r="G133" s="62"/>
      <c r="H133" s="62"/>
      <c r="I133" s="62"/>
      <c r="J133" s="62"/>
      <c r="K133" s="62"/>
      <c r="L133" s="62"/>
      <c r="M133" s="62"/>
    </row>
    <row collapsed="false" customFormat="false" customHeight="true" hidden="false" ht="15" outlineLevel="0" r="134">
      <c r="A134" s="54" t="s">
        <v>283</v>
      </c>
      <c r="B134" s="55" t="s">
        <v>316</v>
      </c>
      <c r="C134" s="55" t="n">
        <v>78</v>
      </c>
      <c r="D134" s="55" t="n">
        <v>78</v>
      </c>
      <c r="E134" s="56" t="n">
        <f aca="false">+C134-D134</f>
        <v>0</v>
      </c>
      <c r="F134" s="67"/>
      <c r="G134" s="54" t="str">
        <f aca="false">+A134</f>
        <v>APROVEC</v>
      </c>
      <c r="H134" s="55" t="str">
        <f aca="false">+B134</f>
        <v>CORTINA</v>
      </c>
      <c r="I134" s="55" t="n">
        <f aca="false">+D134</f>
        <v>78</v>
      </c>
      <c r="J134" s="56"/>
      <c r="K134" s="56" t="n">
        <f aca="false">+I134-J134</f>
        <v>78</v>
      </c>
      <c r="L134" s="55"/>
      <c r="M134" s="54" t="n">
        <f aca="false">+J134-L134</f>
        <v>0</v>
      </c>
    </row>
    <row collapsed="false" customFormat="false" customHeight="true" hidden="false" ht="15" outlineLevel="0" r="135">
      <c r="A135" s="55"/>
      <c r="B135" s="55"/>
      <c r="C135" s="55"/>
      <c r="D135" s="55"/>
      <c r="E135" s="66"/>
      <c r="F135" s="67"/>
      <c r="G135" s="54" t="n">
        <f aca="false">+A135</f>
        <v>0</v>
      </c>
      <c r="H135" s="54" t="n">
        <f aca="false">+B135</f>
        <v>0</v>
      </c>
      <c r="I135" s="54" t="n">
        <f aca="false">+D135</f>
        <v>0</v>
      </c>
      <c r="J135" s="56"/>
      <c r="K135" s="56" t="n">
        <f aca="false">+I135-J135</f>
        <v>0</v>
      </c>
      <c r="L135" s="54"/>
      <c r="M135" s="54" t="n">
        <f aca="false">+J135-L135</f>
        <v>0</v>
      </c>
    </row>
    <row collapsed="false" customFormat="false" customHeight="true" hidden="false" ht="15" outlineLevel="0" r="136">
      <c r="A136" s="55"/>
      <c r="B136" s="55"/>
      <c r="C136" s="55"/>
      <c r="D136" s="55"/>
      <c r="E136" s="66"/>
      <c r="F136" s="67"/>
      <c r="G136" s="54" t="n">
        <f aca="false">+A136</f>
        <v>0</v>
      </c>
      <c r="H136" s="54" t="n">
        <f aca="false">+B136</f>
        <v>0</v>
      </c>
      <c r="I136" s="54" t="n">
        <f aca="false">+D136</f>
        <v>0</v>
      </c>
      <c r="J136" s="56"/>
      <c r="K136" s="56" t="n">
        <f aca="false">+I136-J136</f>
        <v>0</v>
      </c>
      <c r="L136" s="54"/>
      <c r="M136" s="54" t="n">
        <f aca="false">+J136-L136</f>
        <v>0</v>
      </c>
    </row>
    <row collapsed="false" customFormat="false" customHeight="true" hidden="false" ht="15.75" outlineLevel="0" r="137">
      <c r="A137" s="55"/>
      <c r="B137" s="58" t="s">
        <v>210</v>
      </c>
      <c r="C137" s="59" t="n">
        <f aca="false">SUM(C134:C136)</f>
        <v>78</v>
      </c>
      <c r="D137" s="59" t="n">
        <f aca="false">SUM(D134:D136)</f>
        <v>78</v>
      </c>
      <c r="E137" s="60" t="n">
        <f aca="false">+C137-D137</f>
        <v>0</v>
      </c>
      <c r="F137" s="67"/>
      <c r="G137" s="61"/>
      <c r="H137" s="61"/>
      <c r="I137" s="58" t="s">
        <v>210</v>
      </c>
      <c r="J137" s="60" t="n">
        <f aca="false">SUM(J134:J136)</f>
        <v>0</v>
      </c>
      <c r="K137" s="60" t="n">
        <f aca="false">SUM(K134:K136)</f>
        <v>78</v>
      </c>
      <c r="L137" s="60" t="n">
        <f aca="false">SUM(L134:L136)</f>
        <v>0</v>
      </c>
      <c r="M137" s="60" t="n">
        <f aca="false">SUM(M134:M136)</f>
        <v>0</v>
      </c>
    </row>
    <row collapsed="false" customFormat="false" customHeight="true" hidden="false" ht="15.75" outlineLevel="0" r="138">
      <c r="A138" s="65"/>
      <c r="B138" s="65"/>
      <c r="C138" s="65"/>
      <c r="D138" s="65"/>
      <c r="E138" s="65"/>
      <c r="F138" s="67"/>
      <c r="G138" s="62"/>
      <c r="H138" s="62"/>
      <c r="I138" s="62"/>
      <c r="J138" s="62"/>
      <c r="K138" s="62"/>
      <c r="L138" s="62"/>
      <c r="M138" s="62"/>
    </row>
    <row collapsed="false" customFormat="false" customHeight="true" hidden="false" ht="15" outlineLevel="0" r="139">
      <c r="A139" s="54" t="s">
        <v>283</v>
      </c>
      <c r="B139" s="55" t="s">
        <v>100</v>
      </c>
      <c r="C139" s="55" t="n">
        <f aca="false">69+190</f>
        <v>259</v>
      </c>
      <c r="D139" s="55" t="n">
        <f aca="false">69+190</f>
        <v>259</v>
      </c>
      <c r="E139" s="56" t="n">
        <f aca="false">+C139-D139</f>
        <v>0</v>
      </c>
      <c r="F139" s="67"/>
      <c r="G139" s="54" t="str">
        <f aca="false">+A139</f>
        <v>APROVEC</v>
      </c>
      <c r="H139" s="55" t="str">
        <f aca="false">+B139</f>
        <v>CARTUCHERA</v>
      </c>
      <c r="I139" s="55" t="n">
        <f aca="false">+D139</f>
        <v>259</v>
      </c>
      <c r="J139" s="56"/>
      <c r="K139" s="56" t="n">
        <f aca="false">+I139-J139</f>
        <v>259</v>
      </c>
      <c r="L139" s="55"/>
      <c r="M139" s="54" t="n">
        <f aca="false">+J139-L139</f>
        <v>0</v>
      </c>
    </row>
    <row collapsed="false" customFormat="false" customHeight="true" hidden="false" ht="15" outlineLevel="0" r="140">
      <c r="A140" s="55"/>
      <c r="B140" s="55"/>
      <c r="C140" s="55"/>
      <c r="D140" s="55"/>
      <c r="E140" s="66"/>
      <c r="F140" s="67"/>
      <c r="G140" s="54" t="n">
        <f aca="false">+A140</f>
        <v>0</v>
      </c>
      <c r="H140" s="54" t="n">
        <f aca="false">+B140</f>
        <v>0</v>
      </c>
      <c r="I140" s="54" t="n">
        <f aca="false">+D140</f>
        <v>0</v>
      </c>
      <c r="J140" s="56"/>
      <c r="K140" s="56" t="n">
        <f aca="false">+I140-J140</f>
        <v>0</v>
      </c>
      <c r="L140" s="54"/>
      <c r="M140" s="54" t="n">
        <f aca="false">+J140-L140</f>
        <v>0</v>
      </c>
    </row>
    <row collapsed="false" customFormat="false" customHeight="true" hidden="false" ht="15" outlineLevel="0" r="141">
      <c r="A141" s="55"/>
      <c r="B141" s="55"/>
      <c r="C141" s="55"/>
      <c r="D141" s="55"/>
      <c r="E141" s="66"/>
      <c r="F141" s="67"/>
      <c r="G141" s="54" t="n">
        <f aca="false">+A141</f>
        <v>0</v>
      </c>
      <c r="H141" s="54" t="n">
        <f aca="false">+B141</f>
        <v>0</v>
      </c>
      <c r="I141" s="54" t="n">
        <f aca="false">+D141</f>
        <v>0</v>
      </c>
      <c r="J141" s="56"/>
      <c r="K141" s="56" t="n">
        <f aca="false">+I141-J141</f>
        <v>0</v>
      </c>
      <c r="L141" s="54"/>
      <c r="M141" s="54" t="n">
        <f aca="false">+J141-L141</f>
        <v>0</v>
      </c>
    </row>
    <row collapsed="false" customFormat="false" customHeight="true" hidden="false" ht="15.75" outlineLevel="0" r="142">
      <c r="A142" s="55"/>
      <c r="B142" s="58" t="s">
        <v>210</v>
      </c>
      <c r="C142" s="59" t="n">
        <f aca="false">SUM(C139:C141)</f>
        <v>259</v>
      </c>
      <c r="D142" s="59" t="n">
        <f aca="false">SUM(D139:D141)</f>
        <v>259</v>
      </c>
      <c r="E142" s="60" t="n">
        <f aca="false">+C142-D142</f>
        <v>0</v>
      </c>
      <c r="F142" s="67"/>
      <c r="G142" s="61"/>
      <c r="H142" s="61"/>
      <c r="I142" s="58" t="s">
        <v>210</v>
      </c>
      <c r="J142" s="60" t="n">
        <f aca="false">SUM(J139:J141)</f>
        <v>0</v>
      </c>
      <c r="K142" s="60" t="n">
        <f aca="false">SUM(K139:K141)</f>
        <v>259</v>
      </c>
      <c r="L142" s="60" t="n">
        <f aca="false">SUM(L139:L141)</f>
        <v>0</v>
      </c>
      <c r="M142" s="60" t="n">
        <f aca="false">SUM(M139:M141)</f>
        <v>0</v>
      </c>
    </row>
    <row collapsed="false" customFormat="false" customHeight="true" hidden="false" ht="15" outlineLevel="0" r="143">
      <c r="A143" s="54" t="s">
        <v>283</v>
      </c>
      <c r="B143" s="55" t="s">
        <v>293</v>
      </c>
      <c r="C143" s="55" t="n">
        <v>75</v>
      </c>
      <c r="D143" s="55" t="n">
        <v>75</v>
      </c>
      <c r="E143" s="56" t="n">
        <f aca="false">+C143-D143</f>
        <v>0</v>
      </c>
      <c r="F143" s="67"/>
      <c r="G143" s="54" t="str">
        <f aca="false">+A143</f>
        <v>APROVEC</v>
      </c>
      <c r="H143" s="55" t="str">
        <f aca="false">+B143</f>
        <v>COJÍN</v>
      </c>
      <c r="I143" s="55" t="n">
        <f aca="false">+D143</f>
        <v>75</v>
      </c>
      <c r="J143" s="56"/>
      <c r="K143" s="56" t="n">
        <f aca="false">+I143-J143</f>
        <v>75</v>
      </c>
      <c r="L143" s="55"/>
      <c r="M143" s="54" t="n">
        <f aca="false">+J143-L143</f>
        <v>0</v>
      </c>
    </row>
    <row collapsed="false" customFormat="false" customHeight="true" hidden="false" ht="15" outlineLevel="0" r="144">
      <c r="A144" s="55"/>
      <c r="B144" s="55"/>
      <c r="C144" s="55"/>
      <c r="D144" s="55"/>
      <c r="E144" s="66"/>
      <c r="F144" s="67"/>
      <c r="G144" s="54" t="n">
        <f aca="false">+A144</f>
        <v>0</v>
      </c>
      <c r="H144" s="54" t="n">
        <f aca="false">+B144</f>
        <v>0</v>
      </c>
      <c r="I144" s="54" t="n">
        <f aca="false">+D144</f>
        <v>0</v>
      </c>
      <c r="J144" s="56"/>
      <c r="K144" s="56" t="n">
        <f aca="false">+I144-J144</f>
        <v>0</v>
      </c>
      <c r="L144" s="54"/>
      <c r="M144" s="54" t="n">
        <f aca="false">+J144-L144</f>
        <v>0</v>
      </c>
    </row>
    <row collapsed="false" customFormat="false" customHeight="true" hidden="false" ht="15" outlineLevel="0" r="145">
      <c r="A145" s="55"/>
      <c r="B145" s="55"/>
      <c r="C145" s="55"/>
      <c r="D145" s="55"/>
      <c r="E145" s="66"/>
      <c r="F145" s="67"/>
      <c r="G145" s="54" t="n">
        <f aca="false">+A145</f>
        <v>0</v>
      </c>
      <c r="H145" s="54" t="n">
        <f aca="false">+B145</f>
        <v>0</v>
      </c>
      <c r="I145" s="54" t="n">
        <f aca="false">+D145</f>
        <v>0</v>
      </c>
      <c r="J145" s="56"/>
      <c r="K145" s="56" t="n">
        <f aca="false">+I145-J145</f>
        <v>0</v>
      </c>
      <c r="L145" s="54"/>
      <c r="M145" s="54" t="n">
        <f aca="false">+J145-L145</f>
        <v>0</v>
      </c>
    </row>
    <row collapsed="false" customFormat="false" customHeight="true" hidden="false" ht="15.75" outlineLevel="0" r="146">
      <c r="A146" s="55"/>
      <c r="B146" s="58" t="s">
        <v>210</v>
      </c>
      <c r="C146" s="59" t="n">
        <f aca="false">SUM(C143:C145)</f>
        <v>75</v>
      </c>
      <c r="D146" s="59" t="n">
        <f aca="false">SUM(D143:D145)</f>
        <v>75</v>
      </c>
      <c r="E146" s="60" t="n">
        <f aca="false">+C146-D146</f>
        <v>0</v>
      </c>
      <c r="F146" s="67"/>
      <c r="G146" s="61"/>
      <c r="H146" s="61"/>
      <c r="I146" s="58" t="s">
        <v>210</v>
      </c>
      <c r="J146" s="60" t="n">
        <f aca="false">SUM(J143:J145)</f>
        <v>0</v>
      </c>
      <c r="K146" s="60" t="n">
        <f aca="false">SUM(K143:K145)</f>
        <v>75</v>
      </c>
      <c r="L146" s="60" t="n">
        <f aca="false">SUM(L143:L145)</f>
        <v>0</v>
      </c>
      <c r="M146" s="60" t="n">
        <f aca="false">SUM(M143:M145)</f>
        <v>0</v>
      </c>
    </row>
    <row collapsed="false" customFormat="false" customHeight="true" hidden="false" ht="15.75" outlineLevel="0" r="147">
      <c r="A147" s="65"/>
      <c r="B147" s="65"/>
      <c r="C147" s="65"/>
      <c r="D147" s="65"/>
      <c r="E147" s="65"/>
      <c r="F147" s="67"/>
      <c r="G147" s="62"/>
      <c r="H147" s="62"/>
      <c r="I147" s="62"/>
      <c r="J147" s="62"/>
      <c r="K147" s="62"/>
      <c r="L147" s="62"/>
      <c r="M147" s="62"/>
    </row>
    <row collapsed="false" customFormat="false" customHeight="true" hidden="false" ht="15" outlineLevel="0" r="148">
      <c r="A148" s="54" t="s">
        <v>116</v>
      </c>
      <c r="B148" s="63" t="s">
        <v>278</v>
      </c>
      <c r="C148" s="55" t="n">
        <v>40</v>
      </c>
      <c r="D148" s="55" t="n">
        <v>20</v>
      </c>
      <c r="E148" s="56" t="n">
        <f aca="false">+C148-D148</f>
        <v>20</v>
      </c>
      <c r="F148" s="67"/>
      <c r="G148" s="54" t="str">
        <f aca="false">+A148</f>
        <v>´037</v>
      </c>
      <c r="H148" s="63" t="str">
        <f aca="false">+B148</f>
        <v>CONJUNTO INTERIOR</v>
      </c>
      <c r="I148" s="55" t="n">
        <f aca="false">+D148</f>
        <v>20</v>
      </c>
      <c r="J148" s="56"/>
      <c r="K148" s="56" t="n">
        <f aca="false">+I148-J148</f>
        <v>20</v>
      </c>
      <c r="L148" s="55"/>
      <c r="M148" s="54" t="n">
        <f aca="false">+J148-L148</f>
        <v>0</v>
      </c>
    </row>
    <row collapsed="false" customFormat="false" customHeight="true" hidden="false" ht="15" outlineLevel="0" r="149">
      <c r="A149" s="54" t="s">
        <v>120</v>
      </c>
      <c r="B149" s="63" t="s">
        <v>278</v>
      </c>
      <c r="C149" s="55"/>
      <c r="D149" s="55"/>
      <c r="E149" s="66"/>
      <c r="F149" s="67"/>
      <c r="G149" s="54" t="str">
        <f aca="false">+A149</f>
        <v>´039</v>
      </c>
      <c r="H149" s="63" t="str">
        <f aca="false">+B149</f>
        <v>CONJUNTO INTERIOR</v>
      </c>
      <c r="I149" s="54" t="n">
        <f aca="false">+D149</f>
        <v>0</v>
      </c>
      <c r="J149" s="56"/>
      <c r="K149" s="56" t="n">
        <f aca="false">+I149-J149</f>
        <v>0</v>
      </c>
      <c r="L149" s="54"/>
      <c r="M149" s="54" t="n">
        <f aca="false">+J149-L149</f>
        <v>0</v>
      </c>
    </row>
    <row collapsed="false" customFormat="false" customHeight="true" hidden="false" ht="15" outlineLevel="0" r="150">
      <c r="A150" s="55"/>
      <c r="B150" s="55"/>
      <c r="C150" s="55"/>
      <c r="D150" s="55"/>
      <c r="E150" s="66"/>
      <c r="F150" s="67"/>
      <c r="G150" s="54" t="n">
        <f aca="false">+A150</f>
        <v>0</v>
      </c>
      <c r="H150" s="54" t="n">
        <f aca="false">+B150</f>
        <v>0</v>
      </c>
      <c r="I150" s="54" t="n">
        <f aca="false">+D150</f>
        <v>0</v>
      </c>
      <c r="J150" s="56"/>
      <c r="K150" s="56" t="n">
        <f aca="false">+I150-J150</f>
        <v>0</v>
      </c>
      <c r="L150" s="54"/>
      <c r="M150" s="54" t="n">
        <f aca="false">+J150-L150</f>
        <v>0</v>
      </c>
    </row>
    <row collapsed="false" customFormat="false" customHeight="true" hidden="false" ht="15.75" outlineLevel="0" r="151">
      <c r="A151" s="55"/>
      <c r="B151" s="58" t="s">
        <v>210</v>
      </c>
      <c r="C151" s="59" t="n">
        <f aca="false">SUM(C148:C150)</f>
        <v>40</v>
      </c>
      <c r="D151" s="59" t="n">
        <f aca="false">SUM(D148:D150)</f>
        <v>20</v>
      </c>
      <c r="E151" s="60" t="n">
        <f aca="false">+C151-D151</f>
        <v>20</v>
      </c>
      <c r="F151" s="67"/>
      <c r="G151" s="61"/>
      <c r="H151" s="61"/>
      <c r="I151" s="58" t="s">
        <v>210</v>
      </c>
      <c r="J151" s="60" t="n">
        <f aca="false">SUM(J148:J150)</f>
        <v>0</v>
      </c>
      <c r="K151" s="60" t="n">
        <f aca="false">SUM(K148:K150)</f>
        <v>20</v>
      </c>
      <c r="L151" s="60" t="n">
        <f aca="false">SUM(L148:L150)</f>
        <v>0</v>
      </c>
      <c r="M151" s="60" t="n">
        <f aca="false">SUM(M148:M150)</f>
        <v>0</v>
      </c>
    </row>
    <row collapsed="false" customFormat="false" customHeight="true" hidden="false" ht="15.75" outlineLevel="0" r="152">
      <c r="A152" s="65"/>
      <c r="B152" s="65"/>
      <c r="C152" s="65"/>
      <c r="D152" s="65"/>
      <c r="E152" s="65"/>
      <c r="F152" s="67"/>
      <c r="G152" s="62"/>
      <c r="H152" s="62"/>
      <c r="I152" s="62"/>
      <c r="J152" s="62"/>
      <c r="K152" s="62"/>
      <c r="L152" s="62"/>
      <c r="M152" s="62"/>
    </row>
    <row collapsed="false" customFormat="false" customHeight="true" hidden="false" ht="15" outlineLevel="0" r="153">
      <c r="A153" s="54" t="s">
        <v>121</v>
      </c>
      <c r="B153" s="55" t="s">
        <v>122</v>
      </c>
      <c r="C153" s="55"/>
      <c r="D153" s="55"/>
      <c r="E153" s="56" t="n">
        <f aca="false">+C153-D153</f>
        <v>0</v>
      </c>
      <c r="F153" s="67"/>
      <c r="G153" s="54" t="str">
        <f aca="false">+A153</f>
        <v>´040</v>
      </c>
      <c r="H153" s="55" t="str">
        <f aca="false">+B153</f>
        <v>TANGA</v>
      </c>
      <c r="I153" s="55" t="n">
        <f aca="false">+D153</f>
        <v>0</v>
      </c>
      <c r="J153" s="56"/>
      <c r="K153" s="56" t="n">
        <f aca="false">+I153-J153</f>
        <v>0</v>
      </c>
      <c r="L153" s="55"/>
      <c r="M153" s="54" t="n">
        <f aca="false">+J153-L153</f>
        <v>0</v>
      </c>
    </row>
    <row collapsed="false" customFormat="false" customHeight="true" hidden="false" ht="15" outlineLevel="0" r="154">
      <c r="A154" s="55"/>
      <c r="B154" s="55"/>
      <c r="C154" s="55"/>
      <c r="D154" s="55"/>
      <c r="E154" s="66"/>
      <c r="F154" s="67"/>
      <c r="G154" s="54" t="n">
        <f aca="false">+A154</f>
        <v>0</v>
      </c>
      <c r="H154" s="54" t="n">
        <f aca="false">+B154</f>
        <v>0</v>
      </c>
      <c r="I154" s="54" t="n">
        <f aca="false">+D154</f>
        <v>0</v>
      </c>
      <c r="J154" s="56"/>
      <c r="K154" s="56" t="n">
        <f aca="false">+I154-J154</f>
        <v>0</v>
      </c>
      <c r="L154" s="54"/>
      <c r="M154" s="54" t="n">
        <f aca="false">+J154-L154</f>
        <v>0</v>
      </c>
    </row>
    <row collapsed="false" customFormat="false" customHeight="true" hidden="false" ht="15" outlineLevel="0" r="155">
      <c r="A155" s="55"/>
      <c r="B155" s="55"/>
      <c r="C155" s="55"/>
      <c r="D155" s="55"/>
      <c r="E155" s="66"/>
      <c r="F155" s="67"/>
      <c r="G155" s="54" t="n">
        <f aca="false">+A155</f>
        <v>0</v>
      </c>
      <c r="H155" s="54" t="n">
        <f aca="false">+B155</f>
        <v>0</v>
      </c>
      <c r="I155" s="54" t="n">
        <f aca="false">+D155</f>
        <v>0</v>
      </c>
      <c r="J155" s="56"/>
      <c r="K155" s="56" t="n">
        <f aca="false">+I155-J155</f>
        <v>0</v>
      </c>
      <c r="L155" s="54"/>
      <c r="M155" s="54" t="n">
        <f aca="false">+J155-L155</f>
        <v>0</v>
      </c>
    </row>
    <row collapsed="false" customFormat="false" customHeight="true" hidden="false" ht="15.75" outlineLevel="0" r="156">
      <c r="A156" s="55"/>
      <c r="B156" s="58" t="s">
        <v>210</v>
      </c>
      <c r="C156" s="59" t="n">
        <f aca="false">SUM(C153:C155)</f>
        <v>0</v>
      </c>
      <c r="D156" s="59" t="n">
        <f aca="false">SUM(D153:D155)</f>
        <v>0</v>
      </c>
      <c r="E156" s="60" t="n">
        <f aca="false">+C156-D156</f>
        <v>0</v>
      </c>
      <c r="F156" s="67"/>
      <c r="G156" s="61"/>
      <c r="H156" s="61"/>
      <c r="I156" s="58" t="s">
        <v>210</v>
      </c>
      <c r="J156" s="60" t="n">
        <f aca="false">SUM(J153:J155)</f>
        <v>0</v>
      </c>
      <c r="K156" s="60" t="n">
        <f aca="false">SUM(K153:K155)</f>
        <v>0</v>
      </c>
      <c r="L156" s="60" t="n">
        <f aca="false">SUM(L153:L155)</f>
        <v>0</v>
      </c>
      <c r="M156" s="60" t="n">
        <f aca="false">SUM(M153:M155)</f>
        <v>0</v>
      </c>
    </row>
  </sheetData>
  <mergeCells count="75">
    <mergeCell ref="A1:K1"/>
    <mergeCell ref="A2:E2"/>
    <mergeCell ref="G2:M2"/>
    <mergeCell ref="A7:E7"/>
    <mergeCell ref="G7:M7"/>
    <mergeCell ref="A11:E11"/>
    <mergeCell ref="G11:M11"/>
    <mergeCell ref="B12:B13"/>
    <mergeCell ref="H12:H13"/>
    <mergeCell ref="A16:E16"/>
    <mergeCell ref="G16:M16"/>
    <mergeCell ref="A21:E21"/>
    <mergeCell ref="G21:M21"/>
    <mergeCell ref="A26:E26"/>
    <mergeCell ref="G26:M26"/>
    <mergeCell ref="A31:E31"/>
    <mergeCell ref="G31:M31"/>
    <mergeCell ref="A36:E36"/>
    <mergeCell ref="G36:M36"/>
    <mergeCell ref="A40:E40"/>
    <mergeCell ref="G40:M40"/>
    <mergeCell ref="A45:E45"/>
    <mergeCell ref="G45:M45"/>
    <mergeCell ref="A50:E50"/>
    <mergeCell ref="G50:M50"/>
    <mergeCell ref="A54:E54"/>
    <mergeCell ref="G54:M54"/>
    <mergeCell ref="A58:E58"/>
    <mergeCell ref="G58:M58"/>
    <mergeCell ref="A62:E62"/>
    <mergeCell ref="G62:M62"/>
    <mergeCell ref="B63:B64"/>
    <mergeCell ref="H63:H64"/>
    <mergeCell ref="A67:E67"/>
    <mergeCell ref="G67:M67"/>
    <mergeCell ref="B68:B69"/>
    <mergeCell ref="H68:H69"/>
    <mergeCell ref="A72:E72"/>
    <mergeCell ref="G72:M72"/>
    <mergeCell ref="A76:E76"/>
    <mergeCell ref="G76:M76"/>
    <mergeCell ref="A80:E80"/>
    <mergeCell ref="G80:M80"/>
    <mergeCell ref="A84:E84"/>
    <mergeCell ref="G84:M84"/>
    <mergeCell ref="B85:B86"/>
    <mergeCell ref="H85:H86"/>
    <mergeCell ref="A89:E89"/>
    <mergeCell ref="G89:M89"/>
    <mergeCell ref="A94:E94"/>
    <mergeCell ref="G94:M94"/>
    <mergeCell ref="A99:E99"/>
    <mergeCell ref="G99:M99"/>
    <mergeCell ref="A103:E103"/>
    <mergeCell ref="G103:M103"/>
    <mergeCell ref="A108:E108"/>
    <mergeCell ref="G108:M108"/>
    <mergeCell ref="A113:E113"/>
    <mergeCell ref="G113:M113"/>
    <mergeCell ref="A118:E118"/>
    <mergeCell ref="G118:M118"/>
    <mergeCell ref="A123:E123"/>
    <mergeCell ref="G123:M123"/>
    <mergeCell ref="A128:E128"/>
    <mergeCell ref="G128:M128"/>
    <mergeCell ref="A133:E133"/>
    <mergeCell ref="G133:M133"/>
    <mergeCell ref="A138:E138"/>
    <mergeCell ref="G138:M138"/>
    <mergeCell ref="A147:E147"/>
    <mergeCell ref="G147:M147"/>
    <mergeCell ref="B148:B149"/>
    <mergeCell ref="H148:H149"/>
    <mergeCell ref="A152:E152"/>
    <mergeCell ref="G152:M15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2" activeCellId="0" pane="topLeft" sqref="C22"/>
    </sheetView>
  </sheetViews>
  <cols>
    <col collapsed="false" hidden="false" max="1" min="1" style="14" width="10.921568627451"/>
    <col collapsed="false" hidden="false" max="2" min="2" style="14" width="12.5921568627451"/>
    <col collapsed="false" hidden="false" max="1025" min="3" style="14" width="10.921568627451"/>
  </cols>
  <sheetData>
    <row collapsed="false" customFormat="false" customHeight="true" hidden="false" ht="30" outlineLevel="0" r="1">
      <c r="A1" s="3" t="s">
        <v>317</v>
      </c>
      <c r="B1" s="3" t="s">
        <v>318</v>
      </c>
      <c r="C1" s="3" t="s">
        <v>319</v>
      </c>
      <c r="D1" s="3" t="s">
        <v>320</v>
      </c>
    </row>
    <row collapsed="false" customFormat="false" customHeight="true" hidden="false" ht="15" outlineLevel="0" r="2">
      <c r="A2" s="68" t="s">
        <v>321</v>
      </c>
      <c r="B2" s="7" t="n">
        <v>9</v>
      </c>
      <c r="C2" s="7" t="n">
        <f aca="false">+OP!I6</f>
        <v>56</v>
      </c>
      <c r="D2" s="69" t="n">
        <f aca="false">+C2/B2</f>
        <v>6.22222222222222</v>
      </c>
    </row>
    <row collapsed="false" customFormat="false" customHeight="true" hidden="false" ht="15" outlineLevel="0" r="3">
      <c r="A3" s="68" t="s">
        <v>322</v>
      </c>
      <c r="B3" s="7" t="n">
        <v>20</v>
      </c>
      <c r="C3" s="7" t="n">
        <f aca="false">+OP!I20</f>
        <v>1071</v>
      </c>
      <c r="D3" s="69" t="n">
        <f aca="false">+C3/B3</f>
        <v>53.55</v>
      </c>
    </row>
    <row collapsed="false" customFormat="false" customHeight="true" hidden="false" ht="15" outlineLevel="0" r="4">
      <c r="A4" s="68" t="s">
        <v>323</v>
      </c>
      <c r="B4" s="7" t="n">
        <v>18</v>
      </c>
      <c r="C4" s="7" t="n">
        <f aca="false">+OP!I42</f>
        <v>3583</v>
      </c>
      <c r="D4" s="69" t="n">
        <f aca="false">+C4/B4</f>
        <v>199.055555555556</v>
      </c>
    </row>
    <row collapsed="false" customFormat="false" customHeight="true" hidden="false" ht="15" outlineLevel="0" r="5">
      <c r="A5" s="68" t="s">
        <v>324</v>
      </c>
      <c r="B5" s="7" t="n">
        <v>22</v>
      </c>
      <c r="C5" s="7"/>
      <c r="D5" s="69" t="n">
        <f aca="false">+C5/B5</f>
        <v>0</v>
      </c>
    </row>
    <row collapsed="false" customFormat="false" customHeight="true" hidden="false" ht="15" outlineLevel="0" r="6">
      <c r="A6" s="68" t="s">
        <v>325</v>
      </c>
      <c r="B6" s="7" t="n">
        <v>21</v>
      </c>
      <c r="C6" s="7"/>
      <c r="D6" s="69" t="n">
        <f aca="false">+C6/B6</f>
        <v>0</v>
      </c>
    </row>
    <row collapsed="false" customFormat="false" customHeight="true" hidden="false" ht="15" outlineLevel="0" r="7">
      <c r="A7" s="68" t="s">
        <v>326</v>
      </c>
      <c r="B7" s="7" t="n">
        <v>18</v>
      </c>
      <c r="C7" s="7"/>
      <c r="D7" s="69" t="n">
        <f aca="false">+C7/B7</f>
        <v>0</v>
      </c>
    </row>
    <row collapsed="false" customFormat="false" customHeight="true" hidden="false" ht="15" outlineLevel="0" r="8">
      <c r="A8" s="68" t="s">
        <v>327</v>
      </c>
      <c r="B8" s="7"/>
      <c r="C8" s="7"/>
      <c r="D8" s="69" t="e">
        <f aca="false">+C8/B8</f>
        <v>#DIV/0!</v>
      </c>
    </row>
    <row collapsed="false" customFormat="false" customHeight="true" hidden="false" ht="15" outlineLevel="0" r="9">
      <c r="A9" s="68" t="s">
        <v>328</v>
      </c>
      <c r="B9" s="7"/>
      <c r="C9" s="7"/>
      <c r="D9" s="69" t="e">
        <f aca="false">+C9/B9</f>
        <v>#DIV/0!</v>
      </c>
    </row>
    <row collapsed="false" customFormat="false" customHeight="true" hidden="false" ht="15" outlineLevel="0" r="10">
      <c r="A10" s="68" t="s">
        <v>329</v>
      </c>
      <c r="B10" s="7"/>
      <c r="C10" s="7"/>
      <c r="D10" s="69" t="e">
        <f aca="false">+C10/B10</f>
        <v>#DIV/0!</v>
      </c>
    </row>
    <row collapsed="false" customFormat="false" customHeight="true" hidden="false" ht="15" outlineLevel="0" r="11">
      <c r="A11" s="68" t="s">
        <v>330</v>
      </c>
      <c r="B11" s="7"/>
      <c r="C11" s="7"/>
      <c r="D11" s="69" t="e">
        <f aca="false">+C11/B11</f>
        <v>#DIV/0!</v>
      </c>
    </row>
    <row collapsed="false" customFormat="false" customHeight="true" hidden="false" ht="15" outlineLevel="0" r="12">
      <c r="A12" s="68" t="s">
        <v>331</v>
      </c>
      <c r="B12" s="7"/>
      <c r="C12" s="7"/>
      <c r="D12" s="69" t="e">
        <f aca="false">+C12/B12</f>
        <v>#DIV/0!</v>
      </c>
    </row>
    <row collapsed="false" customFormat="false" customHeight="true" hidden="false" ht="15" outlineLevel="0" r="13">
      <c r="A13" s="68" t="s">
        <v>332</v>
      </c>
      <c r="B13" s="7"/>
      <c r="C13" s="7"/>
      <c r="D13" s="69" t="e">
        <f aca="false">+C13/B13</f>
        <v>#DIV/0!</v>
      </c>
    </row>
    <row collapsed="false" customFormat="false" customHeight="true" hidden="false" ht="15" outlineLevel="0" r="14">
      <c r="A14" s="70" t="s">
        <v>333</v>
      </c>
      <c r="B14" s="71" t="n">
        <f aca="false">SUM(B2:B13)</f>
        <v>108</v>
      </c>
      <c r="C14" s="71" t="n">
        <f aca="false">SUM(C2:C13)</f>
        <v>4710</v>
      </c>
      <c r="D14" s="72" t="e">
        <f aca="false">AVERAGE(D2:D13)</f>
        <v>#DIV/0!</v>
      </c>
    </row>
    <row collapsed="false" customFormat="false" customHeight="true" hidden="false" ht="15" outlineLevel="0" r="15">
      <c r="A15" s="73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2013-01-29T13:06:31.00Z</dcterms:created>
  <dc:creator> </dc:creator>
  <cp:lastModifiedBy> </cp:lastModifiedBy>
  <dcterms:modified xsi:type="dcterms:W3CDTF">2013-04-02T17:06:23.00Z</dcterms:modified>
  <cp:revision>0</cp:revision>
</cp:coreProperties>
</file>