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her\source\repos\AspGen\AspGen\"/>
    </mc:Choice>
  </mc:AlternateContent>
  <xr:revisionPtr revIDLastSave="0" documentId="13_ncr:1_{C8AD0B38-E931-47D6-84D8-1A733F36480A}" xr6:coauthVersionLast="47" xr6:coauthVersionMax="47" xr10:uidLastSave="{00000000-0000-0000-0000-000000000000}"/>
  <bookViews>
    <workbookView xWindow="5724" yWindow="276" windowWidth="12228" windowHeight="10008" xr2:uid="{1DB2B732-DFE0-42D2-9BCB-866490501F74}"/>
  </bookViews>
  <sheets>
    <sheet name="Sheet1" sheetId="1" r:id="rId1"/>
    <sheet name="Sheet2" sheetId="2" r:id="rId2"/>
  </sheets>
  <definedNames>
    <definedName name="C_">Sheet1!$B$2</definedName>
    <definedName name="k">Sheet1!$B$5</definedName>
    <definedName name="x">Sheet1!$B$8</definedName>
    <definedName name="y">Sheet1!$B$7</definedName>
    <definedName name="z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2" i="1"/>
  <c r="J1" i="1"/>
  <c r="J14" i="1"/>
  <c r="J13" i="1"/>
  <c r="J12" i="1"/>
  <c r="G13" i="2"/>
  <c r="H6" i="2"/>
  <c r="G6" i="2"/>
  <c r="H5" i="2"/>
  <c r="G5" i="2"/>
  <c r="E4" i="1"/>
  <c r="E3" i="1"/>
  <c r="B10" i="1"/>
  <c r="B11" i="1" s="1"/>
  <c r="E6" i="1" s="1"/>
  <c r="B2" i="1"/>
  <c r="J15" i="1" l="1"/>
  <c r="B12" i="1"/>
  <c r="B13" i="1" s="1"/>
  <c r="B17" i="1" s="1"/>
  <c r="F9" i="1"/>
  <c r="H9" i="1" s="1"/>
  <c r="B14" i="1"/>
  <c r="E9" i="1"/>
  <c r="E8" i="1"/>
  <c r="F8" i="1"/>
  <c r="H8" i="1" s="1"/>
  <c r="B16" i="1"/>
  <c r="J19" i="1" l="1"/>
  <c r="J18" i="1"/>
  <c r="J20" i="1"/>
  <c r="B15" i="1"/>
  <c r="E13" i="1" s="1"/>
  <c r="B18" i="1" l="1"/>
  <c r="E15" i="1"/>
  <c r="E18" i="1" s="1"/>
  <c r="E22" i="1" s="1"/>
  <c r="E17" i="1" l="1"/>
  <c r="E21" i="1" s="1"/>
  <c r="G18" i="1"/>
  <c r="G17" i="1" l="1"/>
  <c r="J5" i="1" l="1"/>
  <c r="J7" i="1" l="1"/>
  <c r="K2" i="1"/>
  <c r="K1" i="1"/>
  <c r="K3" i="1"/>
  <c r="L7" i="1"/>
  <c r="K7" i="1"/>
</calcChain>
</file>

<file path=xl/sharedStrings.xml><?xml version="1.0" encoding="utf-8"?>
<sst xmlns="http://schemas.openxmlformats.org/spreadsheetml/2006/main" count="67" uniqueCount="55">
  <si>
    <t>R</t>
  </si>
  <si>
    <t>C</t>
  </si>
  <si>
    <t>x</t>
  </si>
  <si>
    <t>y</t>
  </si>
  <si>
    <t>rsq</t>
  </si>
  <si>
    <t>ad</t>
  </si>
  <si>
    <t>ae</t>
  </si>
  <si>
    <t>k</t>
  </si>
  <si>
    <t>sqrtvalue</t>
  </si>
  <si>
    <t>f</t>
  </si>
  <si>
    <t xml:space="preserve">g </t>
  </si>
  <si>
    <t>fp</t>
  </si>
  <si>
    <t>gp</t>
  </si>
  <si>
    <t>slope</t>
  </si>
  <si>
    <t>f'g/g^2</t>
  </si>
  <si>
    <t>dev Y</t>
  </si>
  <si>
    <t>dev X</t>
  </si>
  <si>
    <t>total x</t>
  </si>
  <si>
    <t>total y</t>
  </si>
  <si>
    <t>diff x</t>
  </si>
  <si>
    <t>diff y</t>
  </si>
  <si>
    <t>all spherical</t>
  </si>
  <si>
    <t>full equation</t>
  </si>
  <si>
    <t>dev R</t>
  </si>
  <si>
    <t>dz/dr</t>
  </si>
  <si>
    <t>r</t>
  </si>
  <si>
    <t>dev y</t>
  </si>
  <si>
    <t>dev x</t>
  </si>
  <si>
    <t>fg'/g^2</t>
  </si>
  <si>
    <t>=B13*B16/B14^2</t>
  </si>
  <si>
    <t xml:space="preserve"> Pos X </t>
  </si>
  <si>
    <t xml:space="preserve"> Pos Y </t>
  </si>
  <si>
    <t xml:space="preserve"> Pos Z </t>
  </si>
  <si>
    <t xml:space="preserve"> Dir X </t>
  </si>
  <si>
    <t xml:space="preserve"> Dir Y </t>
  </si>
  <si>
    <t xml:space="preserve"> Dir Z </t>
  </si>
  <si>
    <t xml:space="preserve"> Nrm X </t>
  </si>
  <si>
    <t xml:space="preserve"> Nrm Y </t>
  </si>
  <si>
    <t xml:space="preserve"> Nrm Z </t>
  </si>
  <si>
    <t xml:space="preserve">   T+ Geometry.100 mm EFL Lens.Surface 1</t>
  </si>
  <si>
    <t>R1 only</t>
  </si>
  <si>
    <t>y/R</t>
  </si>
  <si>
    <t>diff</t>
  </si>
  <si>
    <t>R1 + K1</t>
  </si>
  <si>
    <t>z</t>
  </si>
  <si>
    <t>df/dx</t>
  </si>
  <si>
    <t>df/dy</t>
  </si>
  <si>
    <t>Mag</t>
  </si>
  <si>
    <t>Unit Normal</t>
  </si>
  <si>
    <t>df/dz</t>
  </si>
  <si>
    <t>dF/dx</t>
  </si>
  <si>
    <t>dF/dy</t>
  </si>
  <si>
    <t>dF/dz</t>
  </si>
  <si>
    <t>mag</t>
  </si>
  <si>
    <t>unit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</si>
</sst>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"/>
    <numFmt numFmtId="165" formatCode="0.000000000000"/>
    <numFmt numFmtId="166" formatCode="0.000000000000000"/>
    <numFmt numFmtId="167" formatCode="0.0000000"/>
    <numFmt numFmtId="172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quotePrefix="1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EF98-C48B-45ED-B791-A4EBFA7B9564}">
  <dimension ref="A1:L25"/>
  <sheetViews>
    <sheetView tabSelected="1" topLeftCell="G1" zoomScaleNormal="100" workbookViewId="0">
      <selection activeCell="B10" sqref="B10"/>
    </sheetView>
  </sheetViews>
  <sheetFormatPr defaultRowHeight="14.4" x14ac:dyDescent="0.3"/>
  <cols>
    <col min="2" max="2" width="14.5546875" customWidth="1"/>
    <col min="5" max="5" width="15.44140625" customWidth="1"/>
    <col min="6" max="6" width="20.88671875" style="1" customWidth="1"/>
    <col min="7" max="7" width="20.88671875" customWidth="1"/>
    <col min="8" max="8" width="19.33203125" customWidth="1"/>
    <col min="9" max="9" width="16.6640625" customWidth="1"/>
    <col min="10" max="10" width="19.109375" customWidth="1"/>
    <col min="11" max="11" width="16.6640625" customWidth="1"/>
  </cols>
  <sheetData>
    <row r="1" spans="1:12" x14ac:dyDescent="0.3">
      <c r="A1" t="s">
        <v>0</v>
      </c>
      <c r="B1">
        <v>58</v>
      </c>
      <c r="I1" t="s">
        <v>45</v>
      </c>
      <c r="J1" s="3">
        <f>-x*C_</f>
        <v>-3.4482758620689655E-2</v>
      </c>
      <c r="K1" s="3">
        <f>J1/$J$5</f>
        <v>-3.4445660429614819E-2</v>
      </c>
    </row>
    <row r="2" spans="1:12" x14ac:dyDescent="0.3">
      <c r="A2" t="s">
        <v>1</v>
      </c>
      <c r="B2">
        <f>1/B1</f>
        <v>1.7241379310344827E-2</v>
      </c>
      <c r="I2" t="s">
        <v>46</v>
      </c>
      <c r="J2" s="3">
        <f>-y*C_</f>
        <v>-8.6206896551724144E-2</v>
      </c>
      <c r="K2" s="3">
        <f t="shared" ref="K2:K3" si="0">J2/$J$5</f>
        <v>-8.6114151074037068E-2</v>
      </c>
    </row>
    <row r="3" spans="1:12" x14ac:dyDescent="0.3">
      <c r="A3" t="s">
        <v>5</v>
      </c>
      <c r="B3">
        <v>0</v>
      </c>
      <c r="D3" t="s">
        <v>15</v>
      </c>
      <c r="E3" s="2">
        <f>B7/SQRT(B1^2-(B7^2+B8^2))</f>
        <v>8.658089785895598E-2</v>
      </c>
      <c r="F3" s="1" t="s">
        <v>21</v>
      </c>
      <c r="I3" t="s">
        <v>49</v>
      </c>
      <c r="J3" s="3">
        <f>1 - C_*z*(1+k)</f>
        <v>0.99676199905424789</v>
      </c>
      <c r="K3" s="3">
        <f t="shared" si="0"/>
        <v>0.99568963510843356</v>
      </c>
    </row>
    <row r="4" spans="1:12" x14ac:dyDescent="0.3">
      <c r="A4" t="s">
        <v>6</v>
      </c>
      <c r="B4">
        <v>0</v>
      </c>
      <c r="D4" t="s">
        <v>16</v>
      </c>
      <c r="E4" s="2">
        <f>B8/SQRT(B1^2-(B7^2+B8^2))</f>
        <v>3.463235914358239E-2</v>
      </c>
    </row>
    <row r="5" spans="1:12" x14ac:dyDescent="0.3">
      <c r="A5" t="s">
        <v>7</v>
      </c>
      <c r="B5">
        <v>-0.25</v>
      </c>
      <c r="E5" s="2"/>
      <c r="I5" t="s">
        <v>47</v>
      </c>
      <c r="J5">
        <f>SQRT(J1^2+J2^2+J3^2)</f>
        <v>1.0010770062356806</v>
      </c>
    </row>
    <row r="6" spans="1:12" x14ac:dyDescent="0.3">
      <c r="D6" t="s">
        <v>23</v>
      </c>
      <c r="E6" s="2">
        <f>B11/SQRT(B1^2-(B7^2+B8^2))</f>
        <v>9.3250480824031368E-2</v>
      </c>
      <c r="F6" s="1" t="s">
        <v>24</v>
      </c>
    </row>
    <row r="7" spans="1:12" x14ac:dyDescent="0.3">
      <c r="A7" t="s">
        <v>3</v>
      </c>
      <c r="B7">
        <v>5</v>
      </c>
      <c r="E7" s="2"/>
      <c r="I7" t="s">
        <v>48</v>
      </c>
      <c r="J7">
        <f>J1/J5</f>
        <v>-3.4445660429614819E-2</v>
      </c>
      <c r="K7">
        <f>J2/J5</f>
        <v>-8.6114151074037068E-2</v>
      </c>
      <c r="L7">
        <f>J3/J5</f>
        <v>0.99568963510843356</v>
      </c>
    </row>
    <row r="8" spans="1:12" x14ac:dyDescent="0.3">
      <c r="A8" t="s">
        <v>2</v>
      </c>
      <c r="B8">
        <v>2</v>
      </c>
      <c r="D8" t="s">
        <v>26</v>
      </c>
      <c r="E8" s="2">
        <f>E6*SIN(ATAN(5/2))</f>
        <v>8.6580897858955966E-2</v>
      </c>
      <c r="F8" s="6">
        <f>B7*B2</f>
        <v>8.6206896551724144E-2</v>
      </c>
      <c r="G8" s="3">
        <v>8.6206896551719994E-2</v>
      </c>
      <c r="H8" s="3">
        <f>F8-G8</f>
        <v>4.1494585545365226E-15</v>
      </c>
    </row>
    <row r="9" spans="1:12" x14ac:dyDescent="0.3">
      <c r="A9" t="s">
        <v>44</v>
      </c>
      <c r="B9">
        <v>0.2504054064715</v>
      </c>
      <c r="D9" t="s">
        <v>27</v>
      </c>
      <c r="E9" s="2">
        <f>E6*COS(ATAN(5/2))</f>
        <v>3.4632359143582397E-2</v>
      </c>
      <c r="F9" s="6">
        <f>B8*B2</f>
        <v>3.4482758620689655E-2</v>
      </c>
      <c r="G9" s="3">
        <v>3.4482758620690002E-2</v>
      </c>
      <c r="H9" s="3">
        <f>F9-G9</f>
        <v>-3.4694469519536142E-16</v>
      </c>
    </row>
    <row r="10" spans="1:12" x14ac:dyDescent="0.3">
      <c r="A10" t="s">
        <v>4</v>
      </c>
      <c r="B10">
        <f>B7^2+B8^2</f>
        <v>29</v>
      </c>
      <c r="E10" s="2"/>
    </row>
    <row r="11" spans="1:12" x14ac:dyDescent="0.3">
      <c r="A11" t="s">
        <v>25</v>
      </c>
      <c r="B11">
        <f>SQRT(B10)</f>
        <v>5.3851648071345037</v>
      </c>
      <c r="E11" s="2"/>
    </row>
    <row r="12" spans="1:12" x14ac:dyDescent="0.3">
      <c r="A12" t="s">
        <v>8</v>
      </c>
      <c r="B12">
        <f>1 - (1+B5)*B2^2*B10</f>
        <v>0.99353448275862066</v>
      </c>
      <c r="E12" s="2"/>
      <c r="I12" t="s">
        <v>50</v>
      </c>
      <c r="J12">
        <f>2*x</f>
        <v>4</v>
      </c>
    </row>
    <row r="13" spans="1:12" x14ac:dyDescent="0.3">
      <c r="A13" t="s">
        <v>8</v>
      </c>
      <c r="B13">
        <f>SQRT(B12)</f>
        <v>0.996761999054248</v>
      </c>
      <c r="D13" t="s">
        <v>14</v>
      </c>
      <c r="E13" s="2">
        <f>B16*B15/B15^2</f>
        <v>1.7269338377344005E-2</v>
      </c>
      <c r="F13" s="1">
        <v>1.7241379310344827E-2</v>
      </c>
      <c r="I13" t="s">
        <v>51</v>
      </c>
      <c r="J13">
        <f>2*y</f>
        <v>10</v>
      </c>
    </row>
    <row r="14" spans="1:12" x14ac:dyDescent="0.3">
      <c r="A14" t="s">
        <v>9</v>
      </c>
      <c r="B14">
        <f>B2*B10</f>
        <v>0.5</v>
      </c>
      <c r="E14" s="2"/>
      <c r="I14" t="s">
        <v>52</v>
      </c>
      <c r="J14">
        <f>2*(z-B1)</f>
        <v>-115.499189187057</v>
      </c>
    </row>
    <row r="15" spans="1:12" x14ac:dyDescent="0.3">
      <c r="A15" t="s">
        <v>10</v>
      </c>
      <c r="B15">
        <f>1+B13</f>
        <v>1.996761999054248</v>
      </c>
      <c r="D15" t="s">
        <v>28</v>
      </c>
      <c r="E15" s="5">
        <f>B14*B17/B15^2</f>
        <v>-4.6749820963118317E-5</v>
      </c>
      <c r="F15" s="5" t="s">
        <v>29</v>
      </c>
      <c r="I15" t="s">
        <v>53</v>
      </c>
      <c r="J15">
        <f>SQRT(J12^2+J13^2+J14^2)</f>
        <v>116.00027027066611</v>
      </c>
    </row>
    <row r="16" spans="1:12" x14ac:dyDescent="0.3">
      <c r="A16" t="s">
        <v>11</v>
      </c>
      <c r="B16">
        <f>2*B2</f>
        <v>3.4482758620689655E-2</v>
      </c>
      <c r="E16" s="2"/>
    </row>
    <row r="17" spans="1:11" x14ac:dyDescent="0.3">
      <c r="A17" t="s">
        <v>12</v>
      </c>
      <c r="B17">
        <f>(-1+B5)*B2^2/B13</f>
        <v>-3.7278854030004037E-4</v>
      </c>
      <c r="D17" t="s">
        <v>17</v>
      </c>
      <c r="E17" s="3">
        <f>B8*(E13-E15)</f>
        <v>3.4632176396614249E-2</v>
      </c>
      <c r="F17" s="1" t="s">
        <v>22</v>
      </c>
      <c r="G17" s="4">
        <f>G9-E17</f>
        <v>-1.4941777592424738E-4</v>
      </c>
    </row>
    <row r="18" spans="1:11" x14ac:dyDescent="0.3">
      <c r="A18" t="s">
        <v>13</v>
      </c>
      <c r="B18">
        <f>(B16*B15 - B14*B17)/B15^2</f>
        <v>1.7316088198307121E-2</v>
      </c>
      <c r="D18" t="s">
        <v>18</v>
      </c>
      <c r="E18" s="3">
        <f>B7*(E13-E15)</f>
        <v>8.6580440991535626E-2</v>
      </c>
      <c r="G18" s="3">
        <f>G8-E18</f>
        <v>-3.7354443981563179E-4</v>
      </c>
      <c r="I18" t="s">
        <v>54</v>
      </c>
      <c r="J18" s="3">
        <f>J12/$J$15</f>
        <v>3.4482678278823897E-2</v>
      </c>
    </row>
    <row r="19" spans="1:11" x14ac:dyDescent="0.3">
      <c r="J19" s="3">
        <f t="shared" ref="J19:J20" si="1">J13/$J$15</f>
        <v>8.6206695697059757E-2</v>
      </c>
    </row>
    <row r="20" spans="1:11" x14ac:dyDescent="0.3">
      <c r="J20" s="3">
        <f t="shared" si="1"/>
        <v>-0.99568034555057572</v>
      </c>
      <c r="K20" s="3">
        <v>0.995680325378</v>
      </c>
    </row>
    <row r="21" spans="1:11" x14ac:dyDescent="0.3">
      <c r="A21" t="s">
        <v>44</v>
      </c>
      <c r="B21">
        <v>0.2505411280764</v>
      </c>
      <c r="D21" t="s">
        <v>19</v>
      </c>
      <c r="E21">
        <f>E4-E17</f>
        <v>1.8274696814146729E-7</v>
      </c>
    </row>
    <row r="22" spans="1:11" x14ac:dyDescent="0.3">
      <c r="D22" t="s">
        <v>20</v>
      </c>
      <c r="E22">
        <f>E3-E18</f>
        <v>4.5686742035366823E-7</v>
      </c>
    </row>
    <row r="25" spans="1:11" x14ac:dyDescent="0.3">
      <c r="F25" s="9">
        <v>-3.4445660429610003E-2</v>
      </c>
      <c r="G25" s="9">
        <v>-8.6114151074039996E-2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87E2-6710-4B3B-9056-678E4377F4E8}">
  <dimension ref="A1:J13"/>
  <sheetViews>
    <sheetView workbookViewId="0">
      <selection activeCell="G11" sqref="G11:H11"/>
    </sheetView>
  </sheetViews>
  <sheetFormatPr defaultRowHeight="14.4" x14ac:dyDescent="0.3"/>
  <cols>
    <col min="1" max="2" width="8.88671875" style="7"/>
    <col min="3" max="6" width="13.21875" style="7" customWidth="1"/>
    <col min="7" max="9" width="18.33203125" style="7" customWidth="1"/>
  </cols>
  <sheetData>
    <row r="1" spans="1:10" x14ac:dyDescent="0.3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</row>
    <row r="2" spans="1:10" x14ac:dyDescent="0.3">
      <c r="A2" s="7">
        <v>2</v>
      </c>
      <c r="B2" s="7">
        <v>5</v>
      </c>
      <c r="C2" s="7">
        <v>0.25054100000000001</v>
      </c>
      <c r="D2" s="7">
        <v>-1.1527000000000001E-2</v>
      </c>
      <c r="E2" s="7">
        <v>-2.8818E-2</v>
      </c>
      <c r="F2" s="7">
        <v>0.99951800000000002</v>
      </c>
      <c r="G2" s="9">
        <v>-3.4482758620690002E-2</v>
      </c>
      <c r="H2" s="9">
        <v>-8.6206896551719994E-2</v>
      </c>
      <c r="I2" s="9">
        <v>0.995680325378</v>
      </c>
      <c r="J2" t="s">
        <v>39</v>
      </c>
    </row>
    <row r="3" spans="1:10" x14ac:dyDescent="0.3">
      <c r="G3" s="8"/>
      <c r="H3" s="8"/>
      <c r="I3" s="8"/>
    </row>
    <row r="5" spans="1:10" x14ac:dyDescent="0.3">
      <c r="A5" s="7" t="s">
        <v>40</v>
      </c>
      <c r="C5" s="7" t="s">
        <v>41</v>
      </c>
      <c r="G5" s="9">
        <f>A2/58</f>
        <v>3.4482758620689655E-2</v>
      </c>
      <c r="H5" s="9">
        <f>B2/58</f>
        <v>8.6206896551724144E-2</v>
      </c>
    </row>
    <row r="6" spans="1:10" x14ac:dyDescent="0.3">
      <c r="A6" s="7" t="s">
        <v>42</v>
      </c>
      <c r="G6" s="9">
        <f>G2+G5</f>
        <v>-3.4694469519536142E-16</v>
      </c>
      <c r="H6" s="9">
        <f>H2+H5</f>
        <v>4.1494585545365226E-15</v>
      </c>
    </row>
    <row r="10" spans="1:10" x14ac:dyDescent="0.3">
      <c r="A10" s="7" t="s">
        <v>30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</row>
    <row r="11" spans="1:10" x14ac:dyDescent="0.3">
      <c r="A11" s="7">
        <v>2</v>
      </c>
      <c r="B11" s="7">
        <v>5</v>
      </c>
      <c r="C11" s="7">
        <v>0.25040499999999999</v>
      </c>
      <c r="D11" s="7">
        <v>-1.1514E-2</v>
      </c>
      <c r="E11" s="7">
        <v>-2.8787E-2</v>
      </c>
      <c r="F11" s="7">
        <v>0.99951900000000005</v>
      </c>
      <c r="G11" s="9">
        <v>-3.4445660429610003E-2</v>
      </c>
      <c r="H11" s="9">
        <v>-8.6114151074039996E-2</v>
      </c>
      <c r="I11" s="9">
        <v>0.99568963510840003</v>
      </c>
    </row>
    <row r="13" spans="1:10" x14ac:dyDescent="0.3">
      <c r="A13" s="7" t="s">
        <v>43</v>
      </c>
      <c r="C13" s="7" t="s">
        <v>41</v>
      </c>
      <c r="G13" s="9">
        <f>A2/58+A2*(1-0.25)*0.5/58</f>
        <v>4.7413793103448273E-2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C_</vt:lpstr>
      <vt:lpstr>k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Herrit</dc:creator>
  <cp:lastModifiedBy>Gary Herrit</cp:lastModifiedBy>
  <dcterms:created xsi:type="dcterms:W3CDTF">2021-08-22T18:40:52Z</dcterms:created>
  <dcterms:modified xsi:type="dcterms:W3CDTF">2021-08-23T18:31:59Z</dcterms:modified>
</cp:coreProperties>
</file>