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her\source\repos\AspGen\AspGen\"/>
    </mc:Choice>
  </mc:AlternateContent>
  <xr:revisionPtr revIDLastSave="0" documentId="13_ncr:1_{E4AC891C-6B9B-46EE-9DC2-8C32CE105F54}" xr6:coauthVersionLast="47" xr6:coauthVersionMax="47" xr10:uidLastSave="{00000000-0000-0000-0000-000000000000}"/>
  <bookViews>
    <workbookView xWindow="-108" yWindow="-108" windowWidth="23256" windowHeight="12576" activeTab="1" xr2:uid="{1DB2B732-DFE0-42D2-9BCB-866490501F74}"/>
  </bookViews>
  <sheets>
    <sheet name="Sheet1" sheetId="1" r:id="rId1"/>
    <sheet name="Sheet3" sheetId="3" r:id="rId2"/>
    <sheet name="Sheet2" sheetId="2" r:id="rId3"/>
  </sheets>
  <definedNames>
    <definedName name="aoi">Sheet3!$K$4</definedName>
    <definedName name="aor">Sheet3!$L$4</definedName>
    <definedName name="C_">Sheet1!$B$2</definedName>
    <definedName name="DirX">Sheet3!$E$3</definedName>
    <definedName name="DirY">Sheet3!$F$3</definedName>
    <definedName name="DirZ">Sheet3!$G$3</definedName>
    <definedName name="hypo">Sheet3!$H$8</definedName>
    <definedName name="k">Sheet1!$B$5</definedName>
    <definedName name="Nx">Sheet3!$H$3</definedName>
    <definedName name="Ny">Sheet3!$I$3</definedName>
    <definedName name="Nz">Sheet3!$J$3</definedName>
    <definedName name="x">Sheet1!$B$8</definedName>
    <definedName name="y">Sheet1!$B$7</definedName>
    <definedName name="z">Sheet1!$B$9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3" l="1"/>
  <c r="H8" i="3"/>
  <c r="E22" i="3"/>
  <c r="E24" i="3"/>
  <c r="E26" i="3"/>
  <c r="K21" i="3"/>
  <c r="J12" i="3"/>
  <c r="J13" i="3" s="1"/>
  <c r="J15" i="3" s="1"/>
  <c r="K19" i="3"/>
  <c r="L4" i="3"/>
  <c r="K18" i="3"/>
  <c r="F16" i="3"/>
  <c r="F19" i="3"/>
  <c r="G19" i="3" s="1"/>
  <c r="E19" i="3"/>
  <c r="E16" i="3"/>
  <c r="E14" i="3"/>
  <c r="E15" i="3"/>
  <c r="K6" i="3"/>
  <c r="K7" i="3" s="1"/>
  <c r="L7" i="3"/>
  <c r="L8" i="3" s="1"/>
  <c r="L6" i="3"/>
  <c r="K4" i="3"/>
  <c r="E23" i="3" l="1"/>
  <c r="F23" i="3" s="1"/>
  <c r="F22" i="3"/>
  <c r="B31" i="1"/>
  <c r="B28" i="1"/>
  <c r="B30" i="1"/>
  <c r="B27" i="1"/>
  <c r="B25" i="1"/>
  <c r="I5" i="2"/>
  <c r="J3" i="1"/>
  <c r="J2" i="1"/>
  <c r="J1" i="1"/>
  <c r="J14" i="1"/>
  <c r="J13" i="1"/>
  <c r="J12" i="1"/>
  <c r="G13" i="2"/>
  <c r="H6" i="2"/>
  <c r="G6" i="2"/>
  <c r="H5" i="2"/>
  <c r="G5" i="2"/>
  <c r="E4" i="1"/>
  <c r="E3" i="1"/>
  <c r="B10" i="1"/>
  <c r="B11" i="1" s="1"/>
  <c r="E6" i="1" s="1"/>
  <c r="B2" i="1"/>
  <c r="J15" i="1" l="1"/>
  <c r="B12" i="1"/>
  <c r="B13" i="1" s="1"/>
  <c r="B17" i="1" s="1"/>
  <c r="F9" i="1"/>
  <c r="H9" i="1" s="1"/>
  <c r="B14" i="1"/>
  <c r="E9" i="1"/>
  <c r="E8" i="1"/>
  <c r="F8" i="1"/>
  <c r="H8" i="1" s="1"/>
  <c r="B16" i="1"/>
  <c r="J19" i="1" l="1"/>
  <c r="J18" i="1"/>
  <c r="J20" i="1"/>
  <c r="B15" i="1"/>
  <c r="E13" i="1" s="1"/>
  <c r="B18" i="1" l="1"/>
  <c r="E15" i="1"/>
  <c r="E18" i="1" s="1"/>
  <c r="E22" i="1" s="1"/>
  <c r="E17" i="1" l="1"/>
  <c r="E21" i="1" s="1"/>
  <c r="G18" i="1"/>
  <c r="G17" i="1" l="1"/>
  <c r="J5" i="1" l="1"/>
  <c r="J7" i="1" l="1"/>
  <c r="K2" i="1"/>
  <c r="K1" i="1"/>
  <c r="K3" i="1"/>
  <c r="L7" i="1"/>
  <c r="K7" i="1"/>
</calcChain>
</file>

<file path=xl/sharedStrings.xml><?xml version="1.0" encoding="utf-8"?>
<sst xmlns="http://schemas.openxmlformats.org/spreadsheetml/2006/main" count="109" uniqueCount="88">
  <si>
    <t>R</t>
  </si>
  <si>
    <t>C</t>
  </si>
  <si>
    <t>x</t>
  </si>
  <si>
    <t>y</t>
  </si>
  <si>
    <t>rsq</t>
  </si>
  <si>
    <t>ad</t>
  </si>
  <si>
    <t>ae</t>
  </si>
  <si>
    <t>k</t>
  </si>
  <si>
    <t>sqrtvalue</t>
  </si>
  <si>
    <t>f</t>
  </si>
  <si>
    <t xml:space="preserve">g </t>
  </si>
  <si>
    <t>fp</t>
  </si>
  <si>
    <t>gp</t>
  </si>
  <si>
    <t>slope</t>
  </si>
  <si>
    <t>f'g/g^2</t>
  </si>
  <si>
    <t>dev Y</t>
  </si>
  <si>
    <t>dev X</t>
  </si>
  <si>
    <t>total x</t>
  </si>
  <si>
    <t>total y</t>
  </si>
  <si>
    <t>diff x</t>
  </si>
  <si>
    <t>diff y</t>
  </si>
  <si>
    <t>all spherical</t>
  </si>
  <si>
    <t>full equation</t>
  </si>
  <si>
    <t>dev R</t>
  </si>
  <si>
    <t>dz/dr</t>
  </si>
  <si>
    <t>r</t>
  </si>
  <si>
    <t>dev y</t>
  </si>
  <si>
    <t>dev x</t>
  </si>
  <si>
    <t>fg'/g^2</t>
  </si>
  <si>
    <t>=B13*B16/B14^2</t>
  </si>
  <si>
    <t xml:space="preserve"> Pos X </t>
  </si>
  <si>
    <t xml:space="preserve"> Pos Y </t>
  </si>
  <si>
    <t xml:space="preserve"> Pos Z </t>
  </si>
  <si>
    <t xml:space="preserve"> Dir X </t>
  </si>
  <si>
    <t xml:space="preserve"> Dir Y </t>
  </si>
  <si>
    <t xml:space="preserve"> Dir Z </t>
  </si>
  <si>
    <t xml:space="preserve"> Nrm X </t>
  </si>
  <si>
    <t xml:space="preserve"> Nrm Y </t>
  </si>
  <si>
    <t xml:space="preserve"> Nrm Z </t>
  </si>
  <si>
    <t xml:space="preserve">   T+ Geometry.100 mm EFL Lens.Surface 1</t>
  </si>
  <si>
    <t>R1 only</t>
  </si>
  <si>
    <t>y/R</t>
  </si>
  <si>
    <t>diff</t>
  </si>
  <si>
    <t>R1 + K1</t>
  </si>
  <si>
    <t>z</t>
  </si>
  <si>
    <t>df/dx</t>
  </si>
  <si>
    <t>df/dy</t>
  </si>
  <si>
    <t>Mag</t>
  </si>
  <si>
    <t>Unit Normal</t>
  </si>
  <si>
    <t>df/dz</t>
  </si>
  <si>
    <t>dF/dx</t>
  </si>
  <si>
    <t>dF/dy</t>
  </si>
  <si>
    <t>dF/dz</t>
  </si>
  <si>
    <t>mag</t>
  </si>
  <si>
    <t>unit vector</t>
  </si>
  <si>
    <t>r^4</t>
  </si>
  <si>
    <t>rsq^2</t>
  </si>
  <si>
    <t>r^6</t>
  </si>
  <si>
    <t>rsq^3</t>
  </si>
  <si>
    <t>---Ray#:</t>
  </si>
  <si>
    <t>Wavelength (um):</t>
  </si>
  <si>
    <t>Start material:</t>
  </si>
  <si>
    <t>Air   (Air)</t>
  </si>
  <si>
    <t xml:space="preserve"> Ang Inc </t>
  </si>
  <si>
    <t xml:space="preserve"> Ang Exi </t>
  </si>
  <si>
    <t xml:space="preserve">            double aoi1 = ray.AngleY - norm1;</t>
  </si>
  <si>
    <t xml:space="preserve">            double aor1 = Math.Asin(Math.Sin(aoi1) / lensp.n);</t>
  </si>
  <si>
    <t xml:space="preserve">            double m1 = Math.Tan(aor1 - aoi1 + ray.AngleY);</t>
  </si>
  <si>
    <t xml:space="preserve">            double DIRY1 = Math.Sin(Math.Atan(m1));</t>
  </si>
  <si>
    <t>aoi1</t>
  </si>
  <si>
    <t>aor1</t>
  </si>
  <si>
    <t>diry</t>
  </si>
  <si>
    <t>dirx</t>
  </si>
  <si>
    <t>DirX</t>
  </si>
  <si>
    <t>DirY</t>
  </si>
  <si>
    <t>DirZ</t>
  </si>
  <si>
    <t xml:space="preserve">   asin(^) in degrees</t>
  </si>
  <si>
    <t xml:space="preserve">    'ASIN(SIN(J13*PI()/180)/1.5)*180/PI()</t>
  </si>
  <si>
    <t>AOI</t>
  </si>
  <si>
    <t>aor</t>
  </si>
  <si>
    <t xml:space="preserve">    '=ASIN(SIN(aoi)/1.5)</t>
  </si>
  <si>
    <t xml:space="preserve">   asin(sqrt(nx^2 + ny^2))</t>
  </si>
  <si>
    <t xml:space="preserve">   =asin(sqrt(nx^2+ny^2)/1.5)</t>
  </si>
  <si>
    <t>dirz</t>
  </si>
  <si>
    <t>=SQRT(1 - DirX^2-DirY^2)</t>
  </si>
  <si>
    <t>hypo = sqrt(Nx^2+Ny^2)</t>
  </si>
  <si>
    <t>=Nx * Sin(AOR-AOI)/sqrt(Nx^2+Ny^2)</t>
  </si>
  <si>
    <t>=Ny * Sin(AOR-AOI)/sqrt(Nx^2+Ny^2)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</si>
</sst>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"/>
    <numFmt numFmtId="165" formatCode="0.000000000000"/>
    <numFmt numFmtId="166" formatCode="0.000000000000000"/>
    <numFmt numFmtId="167" formatCode="0.0000000"/>
    <numFmt numFmtId="168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quotePrefix="1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EF98-C48B-45ED-B791-A4EBFA7B9564}">
  <dimension ref="A1:L31"/>
  <sheetViews>
    <sheetView topLeftCell="A8" zoomScaleNormal="100" workbookViewId="0">
      <selection activeCell="B32" sqref="B32"/>
    </sheetView>
  </sheetViews>
  <sheetFormatPr defaultRowHeight="14.4" x14ac:dyDescent="0.3"/>
  <cols>
    <col min="2" max="2" width="14.5546875" customWidth="1"/>
    <col min="5" max="5" width="15.44140625" customWidth="1"/>
    <col min="6" max="6" width="20.88671875" style="1" customWidth="1"/>
    <col min="7" max="7" width="20.88671875" customWidth="1"/>
    <col min="8" max="8" width="19.33203125" customWidth="1"/>
    <col min="9" max="9" width="16.6640625" customWidth="1"/>
    <col min="10" max="10" width="19.109375" customWidth="1"/>
    <col min="11" max="11" width="16.6640625" customWidth="1"/>
  </cols>
  <sheetData>
    <row r="1" spans="1:12" x14ac:dyDescent="0.3">
      <c r="A1" t="s">
        <v>0</v>
      </c>
      <c r="B1">
        <v>58</v>
      </c>
      <c r="I1" t="s">
        <v>45</v>
      </c>
      <c r="J1" s="3">
        <f>-x*C_</f>
        <v>-3.4482758620689655E-2</v>
      </c>
      <c r="K1" s="3">
        <f>J1/$J$5</f>
        <v>-3.4482758620689676E-2</v>
      </c>
    </row>
    <row r="2" spans="1:12" x14ac:dyDescent="0.3">
      <c r="A2" t="s">
        <v>1</v>
      </c>
      <c r="B2">
        <f>1/B1</f>
        <v>1.7241379310344827E-2</v>
      </c>
      <c r="I2" t="s">
        <v>46</v>
      </c>
      <c r="J2" s="3">
        <f>-y*C_</f>
        <v>-8.6206896551724144E-2</v>
      </c>
      <c r="K2" s="3">
        <f t="shared" ref="K2:K3" si="0">J2/$J$5</f>
        <v>-8.6206896551724199E-2</v>
      </c>
    </row>
    <row r="3" spans="1:12" x14ac:dyDescent="0.3">
      <c r="A3" t="s">
        <v>5</v>
      </c>
      <c r="B3">
        <v>0</v>
      </c>
      <c r="D3" t="s">
        <v>15</v>
      </c>
      <c r="E3" s="2">
        <f>B7/SQRT(B1^2-(B7^2+B8^2))</f>
        <v>8.658089785895598E-2</v>
      </c>
      <c r="F3" s="1" t="s">
        <v>21</v>
      </c>
      <c r="I3" t="s">
        <v>49</v>
      </c>
      <c r="J3" s="3">
        <f>1 - C_*z*(1+k)</f>
        <v>0.99568032537799311</v>
      </c>
      <c r="K3" s="3">
        <f t="shared" si="0"/>
        <v>0.99568032537799378</v>
      </c>
    </row>
    <row r="4" spans="1:12" x14ac:dyDescent="0.3">
      <c r="A4" t="s">
        <v>6</v>
      </c>
      <c r="B4">
        <v>0</v>
      </c>
      <c r="D4" t="s">
        <v>16</v>
      </c>
      <c r="E4" s="2">
        <f>B8/SQRT(B1^2-(B7^2+B8^2))</f>
        <v>3.463235914358239E-2</v>
      </c>
    </row>
    <row r="5" spans="1:12" x14ac:dyDescent="0.3">
      <c r="A5" t="s">
        <v>7</v>
      </c>
      <c r="B5">
        <v>0</v>
      </c>
      <c r="E5" s="2"/>
      <c r="I5" t="s">
        <v>47</v>
      </c>
      <c r="J5">
        <f>SQRT(J1^2+J2^2+J3^2)</f>
        <v>0.99999999999999933</v>
      </c>
    </row>
    <row r="6" spans="1:12" x14ac:dyDescent="0.3">
      <c r="D6" t="s">
        <v>23</v>
      </c>
      <c r="E6" s="2">
        <f>B11/SQRT(B1^2-(B7^2+B8^2))</f>
        <v>9.3250480824031368E-2</v>
      </c>
      <c r="F6" s="1" t="s">
        <v>24</v>
      </c>
    </row>
    <row r="7" spans="1:12" x14ac:dyDescent="0.3">
      <c r="A7" t="s">
        <v>3</v>
      </c>
      <c r="B7">
        <v>5</v>
      </c>
      <c r="E7" s="2"/>
      <c r="I7" t="s">
        <v>48</v>
      </c>
      <c r="J7">
        <f>J1/J5</f>
        <v>-3.4482758620689676E-2</v>
      </c>
      <c r="K7">
        <f>J2/J5</f>
        <v>-8.6206896551724199E-2</v>
      </c>
      <c r="L7">
        <f>J3/J5</f>
        <v>0.99568032537799378</v>
      </c>
    </row>
    <row r="8" spans="1:12" x14ac:dyDescent="0.3">
      <c r="A8" t="s">
        <v>2</v>
      </c>
      <c r="B8">
        <v>2</v>
      </c>
      <c r="D8" t="s">
        <v>26</v>
      </c>
      <c r="E8" s="2">
        <f>E6*SIN(ATAN(5/2))</f>
        <v>8.6580897858955966E-2</v>
      </c>
      <c r="F8" s="6">
        <f>B7*B2</f>
        <v>8.6206896551724144E-2</v>
      </c>
      <c r="G8" s="3">
        <v>8.6206896551719994E-2</v>
      </c>
      <c r="H8" s="3">
        <f>F8-G8</f>
        <v>4.1494585545365226E-15</v>
      </c>
    </row>
    <row r="9" spans="1:12" x14ac:dyDescent="0.3">
      <c r="A9" t="s">
        <v>44</v>
      </c>
      <c r="B9">
        <v>0.2505411280764</v>
      </c>
      <c r="D9" t="s">
        <v>27</v>
      </c>
      <c r="E9" s="2">
        <f>E6*COS(ATAN(5/2))</f>
        <v>3.4632359143582397E-2</v>
      </c>
      <c r="F9" s="6">
        <f>B8*B2</f>
        <v>3.4482758620689655E-2</v>
      </c>
      <c r="G9" s="3">
        <v>3.4482758620690002E-2</v>
      </c>
      <c r="H9" s="3">
        <f>F9-G9</f>
        <v>-3.4694469519536142E-16</v>
      </c>
    </row>
    <row r="10" spans="1:12" x14ac:dyDescent="0.3">
      <c r="A10" t="s">
        <v>4</v>
      </c>
      <c r="B10">
        <f>B7^2+B8^2</f>
        <v>29</v>
      </c>
      <c r="E10" s="2"/>
    </row>
    <row r="11" spans="1:12" x14ac:dyDescent="0.3">
      <c r="A11" t="s">
        <v>25</v>
      </c>
      <c r="B11">
        <f>SQRT(B10)</f>
        <v>5.3851648071345037</v>
      </c>
      <c r="E11" s="2"/>
    </row>
    <row r="12" spans="1:12" x14ac:dyDescent="0.3">
      <c r="A12" t="s">
        <v>8</v>
      </c>
      <c r="B12">
        <f>1 - (1+B5)*B2^2*B10</f>
        <v>0.99137931034482762</v>
      </c>
      <c r="E12" s="2"/>
      <c r="I12" t="s">
        <v>50</v>
      </c>
      <c r="J12">
        <f>2*x</f>
        <v>4</v>
      </c>
    </row>
    <row r="13" spans="1:12" x14ac:dyDescent="0.3">
      <c r="A13" t="s">
        <v>8</v>
      </c>
      <c r="B13">
        <f>SQRT(B12)</f>
        <v>0.99568032537799378</v>
      </c>
      <c r="D13" t="s">
        <v>14</v>
      </c>
      <c r="E13" s="2">
        <f>B16*B15/B15^2</f>
        <v>1.7278698488024838E-2</v>
      </c>
      <c r="F13" s="1">
        <v>1.7241379310344827E-2</v>
      </c>
      <c r="I13" t="s">
        <v>51</v>
      </c>
      <c r="J13">
        <f>2*y</f>
        <v>10</v>
      </c>
    </row>
    <row r="14" spans="1:12" x14ac:dyDescent="0.3">
      <c r="A14" t="s">
        <v>9</v>
      </c>
      <c r="B14">
        <f>B2*B10</f>
        <v>0.5</v>
      </c>
      <c r="E14" s="2"/>
      <c r="I14" t="s">
        <v>52</v>
      </c>
      <c r="J14">
        <f>2*(z-B1)</f>
        <v>-115.4989177438472</v>
      </c>
    </row>
    <row r="15" spans="1:12" x14ac:dyDescent="0.3">
      <c r="A15" t="s">
        <v>10</v>
      </c>
      <c r="B15">
        <f>1+B13</f>
        <v>1.9956803253779938</v>
      </c>
      <c r="D15" t="s">
        <v>28</v>
      </c>
      <c r="E15" s="5">
        <f>B14*B17/B15^2</f>
        <v>-3.7481083766359804E-5</v>
      </c>
      <c r="F15" s="5" t="s">
        <v>29</v>
      </c>
      <c r="I15" t="s">
        <v>53</v>
      </c>
      <c r="J15">
        <f>SQRT(J12^2+J13^2+J14^2)</f>
        <v>115.99999999999991</v>
      </c>
    </row>
    <row r="16" spans="1:12" x14ac:dyDescent="0.3">
      <c r="A16" t="s">
        <v>11</v>
      </c>
      <c r="B16">
        <f>2*B2</f>
        <v>3.4482758620689655E-2</v>
      </c>
      <c r="E16" s="2"/>
    </row>
    <row r="17" spans="1:11" x14ac:dyDescent="0.3">
      <c r="A17" t="s">
        <v>12</v>
      </c>
      <c r="B17">
        <f>(-1+B5)*B2^2/B13</f>
        <v>-2.9855482020329648E-4</v>
      </c>
      <c r="D17" t="s">
        <v>17</v>
      </c>
      <c r="E17" s="3">
        <f>B8*(E13-E15)</f>
        <v>3.4632359143582397E-2</v>
      </c>
      <c r="F17" s="1" t="s">
        <v>22</v>
      </c>
      <c r="G17" s="4">
        <f>G9-E17</f>
        <v>-1.4960052289239578E-4</v>
      </c>
    </row>
    <row r="18" spans="1:11" x14ac:dyDescent="0.3">
      <c r="A18" t="s">
        <v>13</v>
      </c>
      <c r="B18">
        <f>(B16*B15 - B14*B17)/B15^2</f>
        <v>1.7316179571791199E-2</v>
      </c>
      <c r="D18" t="s">
        <v>18</v>
      </c>
      <c r="E18" s="3">
        <f>B7*(E13-E15)</f>
        <v>8.6580897858955994E-2</v>
      </c>
      <c r="G18" s="3">
        <f>G8-E18</f>
        <v>-3.7400130723599934E-4</v>
      </c>
      <c r="I18" t="s">
        <v>54</v>
      </c>
      <c r="J18" s="3">
        <f>J12/$J$15</f>
        <v>3.4482758620689682E-2</v>
      </c>
    </row>
    <row r="19" spans="1:11" x14ac:dyDescent="0.3">
      <c r="J19" s="3">
        <f t="shared" ref="J19:J20" si="1">J13/$J$15</f>
        <v>8.6206896551724199E-2</v>
      </c>
    </row>
    <row r="20" spans="1:11" x14ac:dyDescent="0.3">
      <c r="J20" s="3">
        <f t="shared" si="1"/>
        <v>-0.99568032537799389</v>
      </c>
      <c r="K20" s="3">
        <v>0.995680325378</v>
      </c>
    </row>
    <row r="21" spans="1:11" x14ac:dyDescent="0.3">
      <c r="A21" t="s">
        <v>44</v>
      </c>
      <c r="B21">
        <v>0.2505411280764</v>
      </c>
      <c r="D21" t="s">
        <v>19</v>
      </c>
      <c r="E21">
        <f>E4-E17</f>
        <v>0</v>
      </c>
    </row>
    <row r="22" spans="1:11" x14ac:dyDescent="0.3">
      <c r="D22" t="s">
        <v>20</v>
      </c>
      <c r="E22">
        <f>E3-E18</f>
        <v>0</v>
      </c>
    </row>
    <row r="25" spans="1:11" x14ac:dyDescent="0.3">
      <c r="A25" t="s">
        <v>25</v>
      </c>
      <c r="B25">
        <f xml:space="preserve"> SQRT(B10)</f>
        <v>5.3851648071345037</v>
      </c>
      <c r="F25" s="9">
        <v>-3.4445660429610003E-2</v>
      </c>
      <c r="G25" s="9">
        <v>-8.6114151074039996E-2</v>
      </c>
    </row>
    <row r="27" spans="1:11" x14ac:dyDescent="0.3">
      <c r="A27" t="s">
        <v>55</v>
      </c>
      <c r="B27">
        <f>B25^4</f>
        <v>840.99999999999977</v>
      </c>
    </row>
    <row r="28" spans="1:11" x14ac:dyDescent="0.3">
      <c r="A28" t="s">
        <v>56</v>
      </c>
      <c r="B28">
        <f>B10*B10</f>
        <v>841</v>
      </c>
    </row>
    <row r="30" spans="1:11" x14ac:dyDescent="0.3">
      <c r="A30" t="s">
        <v>57</v>
      </c>
      <c r="B30">
        <f>B25^6</f>
        <v>24388.999999999989</v>
      </c>
    </row>
    <row r="31" spans="1:11" x14ac:dyDescent="0.3">
      <c r="A31" t="s">
        <v>58</v>
      </c>
      <c r="B31">
        <f>B10^3</f>
        <v>24389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47554-0B6A-4FA9-9FFC-062FF27574BB}">
  <dimension ref="A1:L26"/>
  <sheetViews>
    <sheetView tabSelected="1" workbookViewId="0">
      <selection activeCell="G10" sqref="G10"/>
    </sheetView>
  </sheetViews>
  <sheetFormatPr defaultRowHeight="14.4" x14ac:dyDescent="0.3"/>
  <cols>
    <col min="1" max="1" width="39.33203125" customWidth="1"/>
    <col min="2" max="10" width="13.33203125" customWidth="1"/>
    <col min="11" max="11" width="16.5546875" customWidth="1"/>
    <col min="12" max="12" width="13.33203125" customWidth="1"/>
  </cols>
  <sheetData>
    <row r="1" spans="1:12" x14ac:dyDescent="0.3">
      <c r="B1" t="s">
        <v>59</v>
      </c>
      <c r="C1">
        <v>0</v>
      </c>
      <c r="D1" t="s">
        <v>60</v>
      </c>
      <c r="F1">
        <v>1</v>
      </c>
      <c r="H1" t="s">
        <v>61</v>
      </c>
      <c r="J1" t="s">
        <v>62</v>
      </c>
    </row>
    <row r="2" spans="1:12" x14ac:dyDescent="0.3">
      <c r="B2" t="s">
        <v>30</v>
      </c>
      <c r="C2" t="s">
        <v>31</v>
      </c>
      <c r="D2" t="s">
        <v>32</v>
      </c>
      <c r="E2" t="s">
        <v>73</v>
      </c>
      <c r="F2" t="s">
        <v>74</v>
      </c>
      <c r="G2" t="s">
        <v>75</v>
      </c>
      <c r="H2" t="s">
        <v>36</v>
      </c>
      <c r="I2" t="s">
        <v>37</v>
      </c>
      <c r="J2" t="s">
        <v>38</v>
      </c>
      <c r="K2" t="s">
        <v>63</v>
      </c>
      <c r="L2" t="s">
        <v>64</v>
      </c>
    </row>
    <row r="3" spans="1:12" x14ac:dyDescent="0.3">
      <c r="B3">
        <v>2</v>
      </c>
      <c r="C3">
        <v>5</v>
      </c>
      <c r="D3">
        <v>0.2505411280764</v>
      </c>
      <c r="E3">
        <v>-1.1527433417539999E-2</v>
      </c>
      <c r="F3">
        <v>-2.88185835438E-2</v>
      </c>
      <c r="G3">
        <v>0.99951818768909995</v>
      </c>
      <c r="H3">
        <v>-3.4482758620599997E-2</v>
      </c>
      <c r="I3">
        <v>-8.6206896549999995E-2</v>
      </c>
      <c r="J3">
        <v>0.995680325378</v>
      </c>
      <c r="K3">
        <v>5.3274527418700002</v>
      </c>
      <c r="L3">
        <v>3.5487883308699999</v>
      </c>
    </row>
    <row r="4" spans="1:12" x14ac:dyDescent="0.3">
      <c r="K4">
        <f>K3*PI()/180</f>
        <v>9.2981591090031068E-2</v>
      </c>
      <c r="L4">
        <f>L3*PI()/180</f>
        <v>6.1938040830035422E-2</v>
      </c>
    </row>
    <row r="6" spans="1:12" x14ac:dyDescent="0.3">
      <c r="K6">
        <f>ASIN(SQRT(H3^2+I3^2))</f>
        <v>9.2981591088557011E-2</v>
      </c>
      <c r="L6">
        <f>L3</f>
        <v>3.5487883308699999</v>
      </c>
    </row>
    <row r="7" spans="1:12" x14ac:dyDescent="0.3">
      <c r="E7" t="s">
        <v>69</v>
      </c>
      <c r="H7" t="s">
        <v>85</v>
      </c>
      <c r="K7">
        <f>K4-K6</f>
        <v>1.4740569875826282E-12</v>
      </c>
      <c r="L7">
        <f>ASIN(SIN(K4)/1.5)*180/PI()</f>
        <v>3.5487883308683625</v>
      </c>
    </row>
    <row r="8" spans="1:12" x14ac:dyDescent="0.3">
      <c r="E8" t="s">
        <v>70</v>
      </c>
      <c r="H8">
        <f>SQRT(Nx^2+Ny^2)</f>
        <v>9.2847669086891807E-2</v>
      </c>
      <c r="L8">
        <f>(TAN(L7*PI()/180)/1.5)</f>
        <v>4.134491152966175E-2</v>
      </c>
    </row>
    <row r="12" spans="1:12" x14ac:dyDescent="0.3">
      <c r="J12">
        <f>ASIN(SQRT(Nx^2+Ny^2))</f>
        <v>9.2981591088557011E-2</v>
      </c>
      <c r="K12" t="s">
        <v>81</v>
      </c>
    </row>
    <row r="13" spans="1:12" x14ac:dyDescent="0.3">
      <c r="A13" t="s">
        <v>65</v>
      </c>
      <c r="J13">
        <f>ASIN(J12)*180/PI()</f>
        <v>5.3351592449952063</v>
      </c>
      <c r="K13" t="s">
        <v>76</v>
      </c>
    </row>
    <row r="14" spans="1:12" x14ac:dyDescent="0.3">
      <c r="A14" t="s">
        <v>66</v>
      </c>
      <c r="E14">
        <f>K3</f>
        <v>5.3274527418700002</v>
      </c>
    </row>
    <row r="15" spans="1:12" x14ac:dyDescent="0.3">
      <c r="A15" t="s">
        <v>67</v>
      </c>
      <c r="E15">
        <f>L3</f>
        <v>3.5487883308699999</v>
      </c>
      <c r="J15">
        <f>ASIN(SIN(J13*PI()/180)/1.5)*180/PI()</f>
        <v>3.5539136166393286</v>
      </c>
      <c r="K15" s="10" t="s">
        <v>77</v>
      </c>
    </row>
    <row r="16" spans="1:12" x14ac:dyDescent="0.3">
      <c r="A16" t="s">
        <v>68</v>
      </c>
      <c r="E16">
        <f>SIN((E14-E15)*PI()/180)</f>
        <v>3.1038564378268879E-2</v>
      </c>
      <c r="F16">
        <f>SQRT(DirX^2+DirY^2)</f>
        <v>3.1038564378314891E-2</v>
      </c>
    </row>
    <row r="18" spans="4:12" x14ac:dyDescent="0.3">
      <c r="J18" t="s">
        <v>78</v>
      </c>
      <c r="K18">
        <f>SQRT(Nx^2+Ny^2)</f>
        <v>9.2847669086891807E-2</v>
      </c>
      <c r="L18" t="s">
        <v>81</v>
      </c>
    </row>
    <row r="19" spans="4:12" x14ac:dyDescent="0.3">
      <c r="E19">
        <f>SQRT(E3^2+F3^2)</f>
        <v>3.1038564378314891E-2</v>
      </c>
      <c r="F19">
        <f>SQRT(I3^2+H3^2)</f>
        <v>9.2847669086891807E-2</v>
      </c>
      <c r="G19">
        <f>F19/E19</f>
        <v>2.9913648052536823</v>
      </c>
      <c r="J19" t="s">
        <v>79</v>
      </c>
      <c r="K19">
        <f>ASIN(SIN(aoi)/1.5)</f>
        <v>6.1938040830006841E-2</v>
      </c>
      <c r="L19" s="10" t="s">
        <v>80</v>
      </c>
    </row>
    <row r="21" spans="4:12" x14ac:dyDescent="0.3">
      <c r="K21">
        <f>ASIN(SQRT(Nx^2+Ny^2)/1.5)</f>
        <v>6.1938040829026514E-2</v>
      </c>
      <c r="L21" s="10" t="s">
        <v>82</v>
      </c>
    </row>
    <row r="22" spans="4:12" x14ac:dyDescent="0.3">
      <c r="D22" t="s">
        <v>72</v>
      </c>
      <c r="E22">
        <f>H3*E19/F19</f>
        <v>-1.152743341769567E-2</v>
      </c>
      <c r="F22">
        <f>E3-E22</f>
        <v>1.5567061528720672E-13</v>
      </c>
      <c r="G22">
        <f>(Nx*SIN(aor-aoi)/hypo)</f>
        <v>1.1527433417678579E-2</v>
      </c>
      <c r="I22" s="10" t="s">
        <v>86</v>
      </c>
    </row>
    <row r="23" spans="4:12" x14ac:dyDescent="0.3">
      <c r="D23" t="s">
        <v>71</v>
      </c>
      <c r="E23">
        <f>I3*E19/F19</f>
        <v>-2.8818583543737734E-2</v>
      </c>
      <c r="F23">
        <f>F3-E23</f>
        <v>-6.2266164446711514E-14</v>
      </c>
      <c r="I23" s="10" t="s">
        <v>87</v>
      </c>
    </row>
    <row r="24" spans="4:12" x14ac:dyDescent="0.3">
      <c r="D24" t="s">
        <v>83</v>
      </c>
      <c r="E24">
        <f>SQRT(1 - DirX^2-DirY^2)</f>
        <v>0.99951818768911516</v>
      </c>
      <c r="I24" s="10" t="s">
        <v>84</v>
      </c>
    </row>
    <row r="26" spans="4:12" x14ac:dyDescent="0.3">
      <c r="D26" t="s">
        <v>53</v>
      </c>
      <c r="E26">
        <f>SQRT(DirX^2+DirY^2+DirZ^2)</f>
        <v>0.9999999999999849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587E2-6710-4B3B-9056-678E4377F4E8}">
  <dimension ref="A1:J13"/>
  <sheetViews>
    <sheetView workbookViewId="0">
      <selection activeCell="I5" sqref="I5"/>
    </sheetView>
  </sheetViews>
  <sheetFormatPr defaultRowHeight="14.4" x14ac:dyDescent="0.3"/>
  <cols>
    <col min="1" max="2" width="8.88671875" style="7"/>
    <col min="3" max="6" width="13.21875" style="7" customWidth="1"/>
    <col min="7" max="9" width="18.33203125" style="7" customWidth="1"/>
  </cols>
  <sheetData>
    <row r="1" spans="1:10" x14ac:dyDescent="0.3">
      <c r="A1" s="7" t="s">
        <v>30</v>
      </c>
      <c r="B1" s="7" t="s">
        <v>31</v>
      </c>
      <c r="C1" s="7" t="s">
        <v>32</v>
      </c>
      <c r="D1" s="7" t="s">
        <v>33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38</v>
      </c>
    </row>
    <row r="2" spans="1:10" x14ac:dyDescent="0.3">
      <c r="A2" s="7">
        <v>2</v>
      </c>
      <c r="B2" s="7">
        <v>5</v>
      </c>
      <c r="C2" s="7">
        <v>0.25054100000000001</v>
      </c>
      <c r="D2" s="7">
        <v>-1.1527000000000001E-2</v>
      </c>
      <c r="E2" s="7">
        <v>-2.8818E-2</v>
      </c>
      <c r="F2" s="7">
        <v>0.99951800000000002</v>
      </c>
      <c r="G2" s="9">
        <v>-3.4482758620690002E-2</v>
      </c>
      <c r="H2" s="9">
        <v>-8.6206896551719994E-2</v>
      </c>
      <c r="I2" s="9">
        <v>0.995680325378</v>
      </c>
      <c r="J2" t="s">
        <v>39</v>
      </c>
    </row>
    <row r="3" spans="1:10" x14ac:dyDescent="0.3">
      <c r="G3" s="8"/>
      <c r="H3" s="8"/>
      <c r="I3" s="8"/>
    </row>
    <row r="4" spans="1:10" x14ac:dyDescent="0.3">
      <c r="A4" s="7" t="s">
        <v>40</v>
      </c>
      <c r="C4" s="7" t="s">
        <v>41</v>
      </c>
    </row>
    <row r="5" spans="1:10" x14ac:dyDescent="0.3">
      <c r="A5" s="7" t="s">
        <v>42</v>
      </c>
      <c r="G5" s="9">
        <f>A2/58</f>
        <v>3.4482758620689655E-2</v>
      </c>
      <c r="H5" s="9">
        <f>B2/58</f>
        <v>8.6206896551724144E-2</v>
      </c>
      <c r="I5" s="7">
        <f>-(2*z + 1)*(29)/(2*58)</f>
        <v>-0.37527056403820003</v>
      </c>
    </row>
    <row r="6" spans="1:10" x14ac:dyDescent="0.3">
      <c r="G6" s="9">
        <f>G2+G5</f>
        <v>-3.4694469519536142E-16</v>
      </c>
      <c r="H6" s="9">
        <f>H2+H5</f>
        <v>4.1494585545365226E-15</v>
      </c>
    </row>
    <row r="8" spans="1:10" x14ac:dyDescent="0.3">
      <c r="A8" s="7" t="s">
        <v>43</v>
      </c>
      <c r="C8" s="7" t="s">
        <v>41</v>
      </c>
    </row>
    <row r="10" spans="1:10" x14ac:dyDescent="0.3">
      <c r="A10" s="7" t="s">
        <v>30</v>
      </c>
      <c r="B10" s="7" t="s">
        <v>31</v>
      </c>
      <c r="C10" s="7" t="s">
        <v>32</v>
      </c>
      <c r="D10" s="7" t="s">
        <v>33</v>
      </c>
      <c r="E10" s="7" t="s">
        <v>34</v>
      </c>
      <c r="F10" s="7" t="s">
        <v>35</v>
      </c>
      <c r="G10" s="7" t="s">
        <v>36</v>
      </c>
      <c r="H10" s="7" t="s">
        <v>37</v>
      </c>
      <c r="I10" s="7" t="s">
        <v>38</v>
      </c>
    </row>
    <row r="11" spans="1:10" x14ac:dyDescent="0.3">
      <c r="A11" s="7">
        <v>2</v>
      </c>
      <c r="B11" s="7">
        <v>5</v>
      </c>
      <c r="C11" s="7">
        <v>0.25040499999999999</v>
      </c>
      <c r="D11" s="7">
        <v>-1.1514E-2</v>
      </c>
      <c r="E11" s="7">
        <v>-2.8787E-2</v>
      </c>
      <c r="F11" s="7">
        <v>0.99951900000000005</v>
      </c>
      <c r="G11" s="9">
        <v>-3.4445660429610003E-2</v>
      </c>
      <c r="H11" s="9">
        <v>-8.6114151074039996E-2</v>
      </c>
      <c r="I11" s="9">
        <v>0.99568963510840003</v>
      </c>
    </row>
    <row r="13" spans="1:10" x14ac:dyDescent="0.3">
      <c r="G13" s="9">
        <f>A2/58+A2*(1-0.25)*0.5/58</f>
        <v>4.7413793103448273E-2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Sheet1</vt:lpstr>
      <vt:lpstr>Sheet3</vt:lpstr>
      <vt:lpstr>Sheet2</vt:lpstr>
      <vt:lpstr>aoi</vt:lpstr>
      <vt:lpstr>aor</vt:lpstr>
      <vt:lpstr>C_</vt:lpstr>
      <vt:lpstr>DirX</vt:lpstr>
      <vt:lpstr>DirY</vt:lpstr>
      <vt:lpstr>DirZ</vt:lpstr>
      <vt:lpstr>hypo</vt:lpstr>
      <vt:lpstr>k</vt:lpstr>
      <vt:lpstr>Nx</vt:lpstr>
      <vt:lpstr>Ny</vt:lpstr>
      <vt:lpstr>Nz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Herrit</dc:creator>
  <cp:lastModifiedBy>Gary Herrit</cp:lastModifiedBy>
  <dcterms:created xsi:type="dcterms:W3CDTF">2021-08-22T18:40:52Z</dcterms:created>
  <dcterms:modified xsi:type="dcterms:W3CDTF">2021-08-26T17:28:06Z</dcterms:modified>
</cp:coreProperties>
</file>