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work\projectTest\solidityTest\"/>
    </mc:Choice>
  </mc:AlternateContent>
  <xr:revisionPtr revIDLastSave="0" documentId="13_ncr:1_{7D778724-EB5F-4593-B056-4A88327BD616}" xr6:coauthVersionLast="47" xr6:coauthVersionMax="47" xr10:uidLastSave="{00000000-0000-0000-0000-000000000000}"/>
  <bookViews>
    <workbookView xWindow="28680" yWindow="-120" windowWidth="29040" windowHeight="15840" tabRatio="456" firstSheet="2" activeTab="7" xr2:uid="{00000000-000D-0000-FFFF-FFFF00000000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  <sheet name="合约检测checklis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D9" i="7"/>
  <c r="G9" i="7" s="1"/>
  <c r="K8" i="7"/>
  <c r="G8" i="7"/>
  <c r="D8" i="7"/>
  <c r="C8" i="7" s="1"/>
  <c r="K7" i="7"/>
  <c r="D7" i="7"/>
  <c r="C7" i="7" s="1"/>
  <c r="K6" i="7"/>
  <c r="D6" i="7"/>
  <c r="G6" i="7" s="1"/>
  <c r="K5" i="7"/>
  <c r="D5" i="7"/>
  <c r="G5" i="7" s="1"/>
  <c r="C5" i="7"/>
  <c r="L5" i="7" s="1"/>
  <c r="A5" i="7"/>
  <c r="K4" i="7"/>
  <c r="D4" i="7"/>
  <c r="C4" i="7" s="1"/>
  <c r="E21" i="5"/>
  <c r="D21" i="5"/>
  <c r="C21" i="5"/>
  <c r="I21" i="5" s="1"/>
  <c r="F20" i="5"/>
  <c r="E20" i="5"/>
  <c r="G20" i="5" s="1"/>
  <c r="H20" i="5" s="1"/>
  <c r="J20" i="5" s="1"/>
  <c r="D20" i="5"/>
  <c r="C20" i="5"/>
  <c r="I20" i="5" s="1"/>
  <c r="I19" i="5"/>
  <c r="K19" i="5" s="1"/>
  <c r="E19" i="5"/>
  <c r="G19" i="5" s="1"/>
  <c r="D19" i="5"/>
  <c r="C19" i="5"/>
  <c r="F19" i="5" s="1"/>
  <c r="F18" i="5"/>
  <c r="E18" i="5"/>
  <c r="G18" i="5" s="1"/>
  <c r="H18" i="5" s="1"/>
  <c r="J18" i="5" s="1"/>
  <c r="D18" i="5"/>
  <c r="C18" i="5"/>
  <c r="E17" i="5"/>
  <c r="D17" i="5"/>
  <c r="K17" i="5" s="1"/>
  <c r="C17" i="5"/>
  <c r="I17" i="5" s="1"/>
  <c r="F6" i="5"/>
  <c r="E6" i="5"/>
  <c r="G6" i="5" s="1"/>
  <c r="H6" i="5" s="1"/>
  <c r="M6" i="5" s="1"/>
  <c r="D6" i="5"/>
  <c r="K6" i="5" s="1"/>
  <c r="L6" i="5" s="1"/>
  <c r="N6" i="5" s="1"/>
  <c r="C6" i="5"/>
  <c r="I6" i="5" s="1"/>
  <c r="J6" i="5" s="1"/>
  <c r="I5" i="5"/>
  <c r="K5" i="5" s="1"/>
  <c r="E5" i="5"/>
  <c r="G5" i="5" s="1"/>
  <c r="D5" i="5"/>
  <c r="C5" i="5"/>
  <c r="F5" i="5" s="1"/>
  <c r="F4" i="5"/>
  <c r="E4" i="5"/>
  <c r="I4" i="5" s="1"/>
  <c r="J4" i="5" s="1"/>
  <c r="D4" i="5"/>
  <c r="C4" i="5"/>
  <c r="E3" i="5"/>
  <c r="D3" i="5"/>
  <c r="K3" i="5" s="1"/>
  <c r="C3" i="5"/>
  <c r="I3" i="5" s="1"/>
  <c r="F2" i="5"/>
  <c r="E2" i="5"/>
  <c r="D2" i="5"/>
  <c r="C2" i="5"/>
  <c r="I2" i="5" s="1"/>
  <c r="J2" i="5" s="1"/>
  <c r="B25" i="3"/>
  <c r="N18" i="3"/>
  <c r="J18" i="3" s="1"/>
  <c r="A18" i="3"/>
  <c r="N17" i="3"/>
  <c r="J17" i="3"/>
  <c r="H17" i="3" s="1"/>
  <c r="A17" i="3"/>
  <c r="N16" i="3"/>
  <c r="J16" i="3"/>
  <c r="H16" i="3" s="1"/>
  <c r="A16" i="3"/>
  <c r="N15" i="3"/>
  <c r="J15" i="3"/>
  <c r="H15" i="3"/>
  <c r="I15" i="3" s="1"/>
  <c r="A15" i="3"/>
  <c r="N14" i="3"/>
  <c r="J14" i="3"/>
  <c r="H14" i="3"/>
  <c r="B14" i="3" s="1"/>
  <c r="A14" i="3"/>
  <c r="N13" i="3"/>
  <c r="J13" i="3"/>
  <c r="H13" i="3"/>
  <c r="B13" i="3" s="1"/>
  <c r="A13" i="3"/>
  <c r="N12" i="3"/>
  <c r="J12" i="3"/>
  <c r="H12" i="3"/>
  <c r="B12" i="3" s="1"/>
  <c r="A12" i="3"/>
  <c r="N11" i="3"/>
  <c r="J11" i="3" s="1"/>
  <c r="A11" i="3"/>
  <c r="N10" i="3"/>
  <c r="J10" i="3" s="1"/>
  <c r="A10" i="3"/>
  <c r="N9" i="3"/>
  <c r="J9" i="3"/>
  <c r="A9" i="3"/>
  <c r="N8" i="3"/>
  <c r="L11" i="4"/>
  <c r="K11" i="4"/>
  <c r="J11" i="4"/>
  <c r="I11" i="4"/>
  <c r="G11" i="4"/>
  <c r="F11" i="4"/>
  <c r="E11" i="4"/>
  <c r="D11" i="4"/>
  <c r="C11" i="4"/>
  <c r="H8" i="4"/>
  <c r="H5" i="4"/>
  <c r="H9" i="4" s="1"/>
  <c r="H4" i="4"/>
  <c r="H3" i="4"/>
  <c r="M25" i="1"/>
  <c r="J25" i="1"/>
  <c r="L25" i="1" s="1"/>
  <c r="G25" i="1"/>
  <c r="A25" i="1"/>
  <c r="N25" i="1" s="1"/>
  <c r="N24" i="1"/>
  <c r="M24" i="1"/>
  <c r="L24" i="1"/>
  <c r="J24" i="1"/>
  <c r="G24" i="1"/>
  <c r="A24" i="1"/>
  <c r="F24" i="1" s="1"/>
  <c r="M23" i="1"/>
  <c r="J23" i="1"/>
  <c r="A23" i="1" s="1"/>
  <c r="G23" i="1"/>
  <c r="M22" i="1"/>
  <c r="J22" i="1"/>
  <c r="L22" i="1" s="1"/>
  <c r="G22" i="1"/>
  <c r="A22" i="1"/>
  <c r="N22" i="1" s="1"/>
  <c r="N21" i="1"/>
  <c r="M21" i="1"/>
  <c r="L21" i="1"/>
  <c r="J21" i="1"/>
  <c r="G21" i="1"/>
  <c r="F21" i="1"/>
  <c r="D21" i="1"/>
  <c r="B21" i="1"/>
  <c r="A21" i="1"/>
  <c r="E21" i="1" s="1"/>
  <c r="C21" i="1" s="1"/>
  <c r="M20" i="1"/>
  <c r="J20" i="1"/>
  <c r="L20" i="1" s="1"/>
  <c r="G20" i="1"/>
  <c r="M19" i="1"/>
  <c r="J19" i="1"/>
  <c r="L19" i="1" s="1"/>
  <c r="G19" i="1"/>
  <c r="A19" i="1"/>
  <c r="E19" i="1" s="1"/>
  <c r="C19" i="1" s="1"/>
  <c r="N18" i="1"/>
  <c r="M18" i="1"/>
  <c r="J18" i="1"/>
  <c r="L18" i="1" s="1"/>
  <c r="G18" i="1"/>
  <c r="D18" i="1"/>
  <c r="A18" i="1"/>
  <c r="F18" i="1" s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L4" i="7" l="1"/>
  <c r="A4" i="7"/>
  <c r="E23" i="1"/>
  <c r="C23" i="1" s="1"/>
  <c r="B23" i="1"/>
  <c r="F23" i="1"/>
  <c r="N23" i="1"/>
  <c r="D23" i="1"/>
  <c r="H19" i="5"/>
  <c r="J19" i="5" s="1"/>
  <c r="H10" i="3"/>
  <c r="A7" i="7"/>
  <c r="L7" i="7"/>
  <c r="J3" i="5"/>
  <c r="P15" i="3"/>
  <c r="P12" i="3"/>
  <c r="H18" i="3"/>
  <c r="L5" i="5"/>
  <c r="N5" i="5" s="1"/>
  <c r="K20" i="5"/>
  <c r="L8" i="7"/>
  <c r="A8" i="7"/>
  <c r="I17" i="3"/>
  <c r="B17" i="3"/>
  <c r="K17" i="3"/>
  <c r="L20" i="5"/>
  <c r="N20" i="5" s="1"/>
  <c r="M20" i="5"/>
  <c r="H11" i="3"/>
  <c r="P13" i="3"/>
  <c r="I16" i="3"/>
  <c r="B16" i="3"/>
  <c r="K16" i="3"/>
  <c r="M18" i="5"/>
  <c r="L18" i="5"/>
  <c r="N18" i="5" s="1"/>
  <c r="H5" i="5"/>
  <c r="M5" i="5" s="1"/>
  <c r="K2" i="5"/>
  <c r="H11" i="4"/>
  <c r="H10" i="4"/>
  <c r="K21" i="5"/>
  <c r="K15" i="3"/>
  <c r="G7" i="7"/>
  <c r="J5" i="5"/>
  <c r="B22" i="1"/>
  <c r="D19" i="1"/>
  <c r="I18" i="5"/>
  <c r="K13" i="3"/>
  <c r="F3" i="5"/>
  <c r="F17" i="5"/>
  <c r="F21" i="5"/>
  <c r="F19" i="1"/>
  <c r="E22" i="1"/>
  <c r="C22" i="1" s="1"/>
  <c r="D25" i="1"/>
  <c r="H9" i="3"/>
  <c r="K12" i="3"/>
  <c r="P16" i="3"/>
  <c r="G3" i="5"/>
  <c r="H3" i="5" s="1"/>
  <c r="M3" i="5" s="1"/>
  <c r="K4" i="5"/>
  <c r="L4" i="5" s="1"/>
  <c r="N4" i="5" s="1"/>
  <c r="G17" i="5"/>
  <c r="H17" i="5" s="1"/>
  <c r="J17" i="5" s="1"/>
  <c r="K18" i="5"/>
  <c r="G21" i="5"/>
  <c r="H21" i="5" s="1"/>
  <c r="J21" i="5" s="1"/>
  <c r="B18" i="1"/>
  <c r="F22" i="1"/>
  <c r="E25" i="1"/>
  <c r="C25" i="1" s="1"/>
  <c r="B19" i="1"/>
  <c r="I14" i="3"/>
  <c r="I13" i="3"/>
  <c r="B25" i="1"/>
  <c r="I12" i="3"/>
  <c r="K14" i="3"/>
  <c r="L23" i="1"/>
  <c r="B24" i="1"/>
  <c r="E18" i="1"/>
  <c r="C18" i="1" s="1"/>
  <c r="G2" i="5"/>
  <c r="H2" i="5" s="1"/>
  <c r="M2" i="5" s="1"/>
  <c r="N19" i="1"/>
  <c r="D24" i="1"/>
  <c r="C6" i="7"/>
  <c r="G4" i="5"/>
  <c r="H4" i="5" s="1"/>
  <c r="M4" i="5" s="1"/>
  <c r="D22" i="1"/>
  <c r="F25" i="1"/>
  <c r="B15" i="3"/>
  <c r="E24" i="1"/>
  <c r="C24" i="1" s="1"/>
  <c r="C9" i="7"/>
  <c r="A20" i="1"/>
  <c r="G4" i="7"/>
  <c r="M21" i="5" l="1"/>
  <c r="L21" i="5"/>
  <c r="N21" i="5" s="1"/>
  <c r="B11" i="3"/>
  <c r="K11" i="3"/>
  <c r="I11" i="3"/>
  <c r="M17" i="5"/>
  <c r="L17" i="5"/>
  <c r="N17" i="5" s="1"/>
  <c r="M15" i="3"/>
  <c r="O15" i="3"/>
  <c r="B10" i="3"/>
  <c r="K10" i="3"/>
  <c r="I10" i="3"/>
  <c r="O12" i="3"/>
  <c r="M12" i="3"/>
  <c r="O14" i="3"/>
  <c r="M14" i="3"/>
  <c r="B9" i="3"/>
  <c r="K9" i="3"/>
  <c r="I9" i="3"/>
  <c r="O17" i="3"/>
  <c r="M17" i="3"/>
  <c r="M19" i="5"/>
  <c r="L19" i="5"/>
  <c r="L6" i="7"/>
  <c r="A6" i="7"/>
  <c r="P14" i="3"/>
  <c r="L9" i="7"/>
  <c r="A9" i="7"/>
  <c r="L3" i="5"/>
  <c r="N3" i="5" s="1"/>
  <c r="D20" i="1"/>
  <c r="B20" i="1"/>
  <c r="E20" i="1"/>
  <c r="C20" i="1" s="1"/>
  <c r="N20" i="1"/>
  <c r="F20" i="1"/>
  <c r="P17" i="3"/>
  <c r="L2" i="5"/>
  <c r="N2" i="5" s="1"/>
  <c r="O13" i="3"/>
  <c r="M13" i="3"/>
  <c r="O16" i="3"/>
  <c r="M16" i="3"/>
  <c r="I18" i="3"/>
  <c r="K18" i="3"/>
  <c r="B18" i="3"/>
  <c r="D12" i="3" l="1"/>
  <c r="C12" i="3"/>
  <c r="F12" i="3"/>
  <c r="N19" i="5"/>
  <c r="M18" i="3"/>
  <c r="O18" i="3"/>
  <c r="P18" i="3"/>
  <c r="F14" i="3"/>
  <c r="C14" i="3"/>
  <c r="D14" i="3"/>
  <c r="M11" i="3"/>
  <c r="O11" i="3"/>
  <c r="P11" i="3"/>
  <c r="F13" i="3"/>
  <c r="D13" i="3"/>
  <c r="C13" i="3"/>
  <c r="M10" i="3"/>
  <c r="O10" i="3"/>
  <c r="P10" i="3"/>
  <c r="F15" i="3"/>
  <c r="D15" i="3"/>
  <c r="C15" i="3"/>
  <c r="F16" i="3"/>
  <c r="D16" i="3"/>
  <c r="C16" i="3"/>
  <c r="F17" i="3"/>
  <c r="C17" i="3"/>
  <c r="D17" i="3"/>
  <c r="O9" i="3"/>
  <c r="M9" i="3"/>
  <c r="P9" i="3"/>
  <c r="E13" i="3" l="1"/>
  <c r="G13" i="3"/>
  <c r="G14" i="3"/>
  <c r="E14" i="3"/>
  <c r="G16" i="3"/>
  <c r="E16" i="3"/>
  <c r="C9" i="3"/>
  <c r="F9" i="3"/>
  <c r="D9" i="3"/>
  <c r="G17" i="3"/>
  <c r="E17" i="3"/>
  <c r="C11" i="3"/>
  <c r="D11" i="3"/>
  <c r="F11" i="3"/>
  <c r="G15" i="3"/>
  <c r="E15" i="3"/>
  <c r="C18" i="3"/>
  <c r="D18" i="3"/>
  <c r="F18" i="3"/>
  <c r="F10" i="3"/>
  <c r="D10" i="3"/>
  <c r="C10" i="3"/>
  <c r="E12" i="3"/>
  <c r="G12" i="3"/>
  <c r="E11" i="3" l="1"/>
  <c r="G11" i="3"/>
  <c r="E9" i="3"/>
  <c r="G9" i="3"/>
  <c r="G10" i="3"/>
  <c r="E10" i="3"/>
  <c r="G18" i="3"/>
  <c r="E18" i="3"/>
</calcChain>
</file>

<file path=xl/sharedStrings.xml><?xml version="1.0" encoding="utf-8"?>
<sst xmlns="http://schemas.openxmlformats.org/spreadsheetml/2006/main" count="167" uniqueCount="128">
  <si>
    <t>购买ETH数量 （ΔY）</t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</si>
  <si>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3"/>
        <charset val="134"/>
      </rPr>
      <t>（交易时）</t>
    </r>
  </si>
  <si>
    <t>滑点</t>
  </si>
  <si>
    <t>滑点差值</t>
  </si>
  <si>
    <t>(实际消耗-理论消耗)/理论消耗</t>
  </si>
  <si>
    <t>实际消耗-理论消耗</t>
  </si>
  <si>
    <t>理论消耗</t>
  </si>
  <si>
    <t>购买时消耗的DAI （ΔX）</t>
  </si>
  <si>
    <t>DAI流动量 （x）</t>
  </si>
  <si>
    <t>ETH流动量 （y）</t>
  </si>
  <si>
    <t>常数 （K）</t>
  </si>
  <si>
    <r>
      <rPr>
        <b/>
        <sz val="9.6"/>
        <color rgb="FF555555"/>
        <rFont val="Arial"/>
        <family val="2"/>
      </rPr>
      <t>x/y(</t>
    </r>
    <r>
      <rPr>
        <b/>
        <sz val="9.6"/>
        <color rgb="FF555555"/>
        <rFont val="宋体"/>
        <family val="3"/>
        <charset val="134"/>
      </rPr>
      <t>兑价</t>
    </r>
    <r>
      <rPr>
        <b/>
        <sz val="9.6"/>
        <color rgb="FF555555"/>
        <rFont val="Arial"/>
        <family val="2"/>
      </rPr>
      <t>)</t>
    </r>
  </si>
  <si>
    <t>alpha （ΔX/x）</t>
  </si>
  <si>
    <t>beta （ΔY/y）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</si>
  <si>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等线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是之前的兑换前的流动量</t>
    </r>
  </si>
  <si>
    <t xml:space="preserve"> 控制输入为整数</t>
  </si>
  <si>
    <t>单个ETH价格 (DAI)</t>
  </si>
  <si>
    <t>(实际产出-理论产出)/理论产出</t>
  </si>
  <si>
    <t>实际产出-理论产出)</t>
  </si>
  <si>
    <t>理论产出</t>
  </si>
  <si>
    <t>x/y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</si>
  <si>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宋体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3"/>
        <charset val="134"/>
      </rPr>
      <t>是之前的兑换前的流动量</t>
    </r>
  </si>
  <si>
    <t>保证金</t>
  </si>
  <si>
    <t>杠杆</t>
  </si>
  <si>
    <t>怎么看</t>
  </si>
  <si>
    <t>t1</t>
  </si>
  <si>
    <t>t2</t>
  </si>
  <si>
    <t xml:space="preserve">收益 </t>
  </si>
  <si>
    <t>收益率</t>
  </si>
  <si>
    <t>x10</t>
  </si>
  <si>
    <t>多</t>
  </si>
  <si>
    <t>空</t>
  </si>
  <si>
    <t>x1</t>
  </si>
  <si>
    <t>impermanant loss的比率与当前价格变化的关系，O列表示资金刚放入流动池的情况，O-&gt;H表示价格上涨时impermanent loss的变化，A&lt;-O表示价格下跌时impermanent loss的变化。</t>
  </si>
  <si>
    <t>A</t>
  </si>
  <si>
    <t>B</t>
  </si>
  <si>
    <t>C</t>
  </si>
  <si>
    <t>D</t>
  </si>
  <si>
    <t>O</t>
  </si>
  <si>
    <t>E</t>
  </si>
  <si>
    <t>F</t>
  </si>
  <si>
    <t>G</t>
  </si>
  <si>
    <t>H</t>
  </si>
  <si>
    <r>
      <rPr>
        <sz val="9.6"/>
        <color rgb="FF555555"/>
        <rFont val="Arial"/>
        <family val="2"/>
      </rPr>
      <t>ETH</t>
    </r>
    <r>
      <rPr>
        <sz val="9.6"/>
        <color rgb="FF555555"/>
        <rFont val="宋体"/>
        <family val="3"/>
        <charset val="134"/>
      </rPr>
      <t>前后价格比</t>
    </r>
  </si>
  <si>
    <t>p1/p0</t>
  </si>
  <si>
    <t>ETH</t>
  </si>
  <si>
    <r>
      <rPr>
        <sz val="9.6"/>
        <color rgb="FF555555"/>
        <rFont val="Arial"/>
        <family val="2"/>
      </rPr>
      <t>e(ETH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</si>
  <si>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DAI</t>
  </si>
  <si>
    <r>
      <rPr>
        <sz val="9.6"/>
        <color rgb="FF555555"/>
        <rFont val="Arial"/>
        <family val="2"/>
      </rPr>
      <t>t(DAI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</si>
  <si>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k</t>
  </si>
  <si>
    <t>p(DAI/ETH)</t>
  </si>
  <si>
    <r>
      <rPr>
        <sz val="9.6"/>
        <color rgb="FF555555"/>
        <rFont val="Arial"/>
        <family val="2"/>
      </rPr>
      <t>DAI</t>
    </r>
    <r>
      <rPr>
        <sz val="9.6"/>
        <color rgb="FF555555"/>
        <rFont val="宋体"/>
        <family val="3"/>
        <charset val="134"/>
      </rPr>
      <t>结算</t>
    </r>
  </si>
  <si>
    <r>
      <rPr>
        <sz val="9.6"/>
        <color rgb="FF555555"/>
        <rFont val="Arial"/>
        <family val="2"/>
      </rPr>
      <t>v0(hold</t>
    </r>
    <r>
      <rPr>
        <sz val="9.6"/>
        <color rgb="FF555555"/>
        <rFont val="宋体"/>
        <family val="3"/>
        <charset val="134"/>
      </rPr>
      <t>时资金</t>
    </r>
    <r>
      <rPr>
        <sz val="9.6"/>
        <color rgb="FF555555"/>
        <rFont val="Arial"/>
        <family val="2"/>
      </rPr>
      <t>)</t>
    </r>
  </si>
  <si>
    <t>DAI结算</t>
  </si>
  <si>
    <r>
      <rPr>
        <sz val="9.6"/>
        <color rgb="FF555555"/>
        <rFont val="Arial"/>
        <family val="2"/>
      </rPr>
      <t>v1(</t>
    </r>
    <r>
      <rPr>
        <sz val="9.6"/>
        <color rgb="FF555555"/>
        <rFont val="宋体"/>
        <family val="3"/>
        <charset val="134"/>
      </rPr>
      <t>放入流动池后的资金</t>
    </r>
    <r>
      <rPr>
        <sz val="9.6"/>
        <color rgb="FF555555"/>
        <rFont val="Arial"/>
        <family val="2"/>
      </rPr>
      <t>)</t>
    </r>
  </si>
  <si>
    <t>impermanent loss</t>
  </si>
  <si>
    <t>L(v1/v0)</t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</si>
  <si>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</si>
  <si>
    <t>总资产（DAI计价）v1</t>
  </si>
  <si>
    <t>总资产（DAI计价）原来v0</t>
  </si>
  <si>
    <t>利差</t>
  </si>
  <si>
    <t>v1/v0</t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</si>
  <si>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</si>
  <si>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购买时计价的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</si>
  <si>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</si>
  <si>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</si>
  <si>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计算</t>
    </r>
    <r>
      <rPr>
        <b/>
        <sz val="9.6"/>
        <color rgb="FF555555"/>
        <rFont val="Arial"/>
        <family val="2"/>
      </rPr>
      <t>k</t>
    </r>
  </si>
  <si>
    <t>50%的手续费</t>
  </si>
  <si>
    <t>x</t>
  </si>
  <si>
    <t>y</t>
  </si>
  <si>
    <t>y1</t>
  </si>
  <si>
    <t>L1</t>
  </si>
  <si>
    <t>L2</t>
  </si>
  <si>
    <t>fee=L2-L2</t>
  </si>
  <si>
    <t>流动性的百分比</t>
  </si>
  <si>
    <t>x^（x的增量）</t>
  </si>
  <si>
    <t>y^（y的增量）</t>
  </si>
  <si>
    <t>x^+y^</t>
  </si>
  <si>
    <t>流动性的百分比(fee/L2)</t>
  </si>
  <si>
    <t>x^</t>
  </si>
  <si>
    <t>y^</t>
  </si>
  <si>
    <t>L(t)</t>
  </si>
  <si>
    <t>s</t>
  </si>
  <si>
    <t>p[user]</t>
  </si>
  <si>
    <t>t=7</t>
  </si>
  <si>
    <t>t=9</t>
  </si>
  <si>
    <t>s+=R/100*(9-7)</t>
  </si>
  <si>
    <t>t=12</t>
  </si>
  <si>
    <t>s+=R/200*(12-9)</t>
  </si>
  <si>
    <t>t=14</t>
  </si>
  <si>
    <t>s+=R/300(14-12)</t>
  </si>
  <si>
    <t>t=18</t>
  </si>
  <si>
    <t>s+=R/100*(18-14)</t>
  </si>
  <si>
    <t>因为在t=12时小黄的代币数量变化了，所以要计算出变化前的收益。并且更新p[小黄]为s=R/100*(9-7)+R/200*(12-9)</t>
  </si>
  <si>
    <t>小黄</t>
  </si>
  <si>
    <t>reward=(R/100*(9-7)+R/200*(12-9)-p[user])*100=3.5R</t>
  </si>
  <si>
    <t>p[user]取0</t>
  </si>
  <si>
    <t>reward=(R/300(14-12)+R/200*(12-9)+R/100*(9-7)-p[user])*200+reward=4.83R（4+5/6）</t>
  </si>
  <si>
    <t>p[user]取R/100*(9-7)+R/200*(12-9)</t>
  </si>
  <si>
    <t>大熊</t>
  </si>
  <si>
    <t>reward=(R/100*(18-14)+R/300(14-12)+R/200*(12-9)+R/100*(9-7)-p[user])*100=6.17R(6+1/6)</t>
  </si>
  <si>
    <t>p[user]取R/100*(9-7)</t>
  </si>
  <si>
    <t>单个ETH价格 (DAI)（交易时）</t>
  </si>
  <si>
    <r>
      <rPr>
        <b/>
        <sz val="9.6"/>
        <color rgb="FF555555"/>
        <rFont val="等线"/>
        <family val="3"/>
        <charset val="134"/>
      </rPr>
      <t>输入的</t>
    </r>
    <r>
      <rPr>
        <b/>
        <sz val="9.6"/>
        <color rgb="FF555555"/>
        <rFont val="Arial"/>
        <family val="2"/>
      </rPr>
      <t xml:space="preserve">ETH </t>
    </r>
    <r>
      <rPr>
        <b/>
        <sz val="9.6"/>
        <color rgb="FF555555"/>
        <rFont val="等线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）</t>
    </r>
  </si>
  <si>
    <r>
      <rPr>
        <b/>
        <sz val="9.6"/>
        <color rgb="FF555555"/>
        <rFont val="微软雅黑"/>
        <family val="2"/>
        <charset val="134"/>
      </rPr>
      <t>输出的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</si>
  <si>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t>x/y(兑价)</t>
  </si>
  <si>
    <r>
      <rPr>
        <b/>
        <sz val="9.6"/>
        <color rgb="FF555555"/>
        <rFont val="等线"/>
        <family val="3"/>
        <charset val="134"/>
      </rPr>
      <t>投入</t>
    </r>
  </si>
  <si>
    <r>
      <rPr>
        <b/>
        <sz val="9.6"/>
        <color rgb="FF555555"/>
        <rFont val="等线"/>
        <family val="3"/>
        <charset val="134"/>
      </rPr>
      <t>成本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）</t>
    </r>
  </si>
  <si>
    <t>利润</t>
  </si>
  <si>
    <t>原正常价格</t>
  </si>
  <si>
    <t>拉升ETH价格</t>
  </si>
  <si>
    <t>100,000DAI</t>
  </si>
  <si>
    <t>500ETH兑换100,000DAI</t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</si>
  <si>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</si>
  <si>
    <t>通用问题</t>
  </si>
  <si>
    <t>发币集中</t>
  </si>
  <si>
    <t>重要操作事件打印</t>
  </si>
  <si>
    <t>2022.11.22新增</t>
  </si>
  <si>
    <t>随机数</t>
  </si>
  <si>
    <t>代码逻辑</t>
  </si>
  <si>
    <t>冗余代码</t>
  </si>
  <si>
    <t>函数命名规范</t>
  </si>
  <si>
    <t>代币发售定价过高</t>
  </si>
  <si>
    <t>本地版本编译错误（一般是有用测试框架的）</t>
  </si>
  <si>
    <t>多余代币或者平台币锁在合约无法取出</t>
  </si>
  <si>
    <t>代码使用问题</t>
  </si>
  <si>
    <t>2023.1.12</t>
    <phoneticPr fontId="15" type="noConversion"/>
  </si>
  <si>
    <t>打印事件参数是否正确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</si>
</sst>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179" formatCode="0_ "/>
    <numFmt numFmtId="180" formatCode="_ * #,##0.00_ ;_ * \-#,##0.00_ ;_ * &quot;-&quot;_ ;_ @_ "/>
    <numFmt numFmtId="181" formatCode="0.0000%"/>
    <numFmt numFmtId="182" formatCode="0.000%"/>
    <numFmt numFmtId="183" formatCode="0.00_ "/>
    <numFmt numFmtId="184" formatCode="0.000_ "/>
    <numFmt numFmtId="185" formatCode="0.0000_ "/>
    <numFmt numFmtId="186" formatCode="_ * #,##0.0000_ ;_ * \-#,##0.0000_ ;_ * &quot;-&quot;????_ ;_ @_ "/>
    <numFmt numFmtId="187" formatCode="_ * #,##0_ ;_ * \-#,##0_ ;_ * &quot;-&quot;????_ ;_ @_ "/>
  </numFmts>
  <fonts count="16">
    <font>
      <sz val="11"/>
      <color theme="1"/>
      <name val="等线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14"/>
      <color rgb="FF333333"/>
      <name val="MJXc-TeX-math-I"/>
      <family val="1"/>
    </font>
    <font>
      <sz val="12"/>
      <color rgb="FF4D4D4D"/>
      <name val="Arial"/>
      <family val="2"/>
    </font>
    <font>
      <b/>
      <sz val="9.6"/>
      <color rgb="FF55555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.6"/>
      <color rgb="FF555555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.6"/>
      <color rgb="FF555555"/>
      <name val="等线"/>
      <family val="3"/>
      <charset val="134"/>
    </font>
    <font>
      <b/>
      <sz val="9.6"/>
      <color rgb="FF555555"/>
      <name val="Calibri"/>
      <family val="2"/>
    </font>
    <font>
      <b/>
      <sz val="9.6"/>
      <color rgb="FF55555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41" fontId="2" fillId="2" borderId="1" xfId="1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43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80" fontId="0" fillId="0" borderId="2" xfId="0" applyNumberFormat="1" applyBorder="1">
      <alignment vertical="center"/>
    </xf>
    <xf numFmtId="41" fontId="0" fillId="0" borderId="2" xfId="0" applyNumberFormat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>
      <alignment vertical="center"/>
    </xf>
    <xf numFmtId="0" fontId="3" fillId="0" borderId="0" xfId="0" applyFont="1" applyAlignment="1">
      <alignment horizontal="left" vertical="top"/>
    </xf>
    <xf numFmtId="182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84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5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8" fontId="6" fillId="4" borderId="1" xfId="4" applyNumberFormat="1" applyBorder="1" applyAlignment="1">
      <alignment horizontal="center" vertical="center" wrapText="1"/>
    </xf>
    <xf numFmtId="186" fontId="6" fillId="4" borderId="1" xfId="4" applyNumberFormat="1" applyBorder="1" applyAlignment="1">
      <alignment horizontal="center" vertical="center" wrapText="1"/>
    </xf>
    <xf numFmtId="178" fontId="2" fillId="2" borderId="1" xfId="2" applyNumberFormat="1" applyFont="1" applyFill="1" applyBorder="1" applyAlignment="1">
      <alignment vertical="center" wrapText="1"/>
    </xf>
    <xf numFmtId="186" fontId="2" fillId="2" borderId="1" xfId="2" applyNumberFormat="1" applyFont="1" applyFill="1" applyBorder="1" applyAlignment="1">
      <alignment vertical="center" wrapText="1"/>
    </xf>
    <xf numFmtId="10" fontId="2" fillId="2" borderId="1" xfId="3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9" fontId="0" fillId="0" borderId="0" xfId="0" applyNumberFormat="1">
      <alignment vertical="center"/>
    </xf>
    <xf numFmtId="43" fontId="0" fillId="0" borderId="0" xfId="2" applyFont="1">
      <alignment vertical="center"/>
    </xf>
    <xf numFmtId="186" fontId="0" fillId="0" borderId="0" xfId="2" applyNumberFormat="1" applyFont="1">
      <alignment vertical="center"/>
    </xf>
    <xf numFmtId="43" fontId="6" fillId="4" borderId="1" xfId="4" applyNumberFormat="1" applyBorder="1" applyAlignment="1">
      <alignment horizontal="center" vertical="center" wrapText="1"/>
    </xf>
    <xf numFmtId="43" fontId="2" fillId="2" borderId="1" xfId="2" applyFont="1" applyFill="1" applyBorder="1" applyAlignment="1">
      <alignment vertical="center" wrapText="1"/>
    </xf>
    <xf numFmtId="187" fontId="2" fillId="2" borderId="1" xfId="2" applyNumberFormat="1" applyFont="1" applyFill="1" applyBorder="1" applyAlignment="1">
      <alignment vertical="center" wrapText="1"/>
    </xf>
    <xf numFmtId="0" fontId="9" fillId="0" borderId="0" xfId="0" applyFont="1">
      <alignment vertical="center"/>
    </xf>
    <xf numFmtId="43" fontId="5" fillId="2" borderId="1" xfId="2" applyFont="1" applyFill="1" applyBorder="1" applyAlignment="1">
      <alignment horizontal="center" vertical="center" wrapText="1"/>
    </xf>
    <xf numFmtId="186" fontId="5" fillId="2" borderId="1" xfId="2" applyNumberFormat="1" applyFont="1" applyFill="1" applyBorder="1" applyAlignment="1">
      <alignment horizontal="center" vertical="center" wrapText="1"/>
    </xf>
    <xf numFmtId="9" fontId="2" fillId="2" borderId="1" xfId="3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0" fillId="0" borderId="0" xfId="0" applyFont="1">
      <alignment vertical="center"/>
    </xf>
  </cellXfs>
  <cellStyles count="5">
    <cellStyle name="百分比" xfId="3" builtinId="5"/>
    <cellStyle name="常规" xfId="0" builtinId="0"/>
    <cellStyle name="千位分隔" xfId="2" builtinId="3"/>
    <cellStyle name="千位分隔[0]" xfId="1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5930" y="1603375"/>
          <a:ext cx="5514975" cy="356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3100" y="312420"/>
          <a:ext cx="8387715" cy="4238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8097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61950"/>
          <a:ext cx="822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292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11860"/>
          <a:ext cx="817245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290" y="709930"/>
          <a:ext cx="842010" cy="17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opLeftCell="B1" zoomScale="130" zoomScaleNormal="130" workbookViewId="0">
      <selection activeCell="H8" sqref="H8:J8"/>
    </sheetView>
  </sheetViews>
  <sheetFormatPr defaultColWidth="9" defaultRowHeight="14.25"/>
  <cols>
    <col min="1" max="2" width="10.875" customWidth="1"/>
    <col min="4" max="4" width="12.375" style="39" customWidth="1"/>
    <col min="5" max="5" width="13.375" style="40" customWidth="1"/>
    <col min="6" max="7" width="14.5" style="40" customWidth="1"/>
    <col min="8" max="8" width="11" customWidth="1"/>
    <col min="9" max="9" width="11.5" customWidth="1"/>
    <col min="10" max="10" width="9.875" customWidth="1"/>
    <col min="13" max="14" width="10.875" customWidth="1"/>
    <col min="16" max="16" width="12.625" customWidth="1"/>
  </cols>
  <sheetData>
    <row r="1" spans="1:17" ht="42.75">
      <c r="A1" s="1" t="s">
        <v>0</v>
      </c>
      <c r="B1" s="1" t="s">
        <v>1</v>
      </c>
      <c r="C1" s="1" t="s">
        <v>2</v>
      </c>
      <c r="D1" s="41" t="s">
        <v>3</v>
      </c>
      <c r="E1" s="28" t="s">
        <v>4</v>
      </c>
      <c r="F1" s="28" t="s">
        <v>5</v>
      </c>
      <c r="G1" s="2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 t="s">
        <v>14</v>
      </c>
      <c r="Q1" s="2"/>
    </row>
    <row r="2" spans="1:17">
      <c r="A2" s="3"/>
      <c r="B2" s="3"/>
      <c r="C2" s="3"/>
      <c r="D2" s="42"/>
      <c r="E2" s="30"/>
      <c r="F2" s="30"/>
      <c r="G2" s="30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32">
        <v>1E-3</v>
      </c>
      <c r="D3" s="42">
        <f t="shared" ref="D3:D10" si="0">H3-A3*100</f>
        <v>0.10010010000000591</v>
      </c>
      <c r="E3" s="30">
        <f>(H3-A3*100)/(A3*100)</f>
        <v>1.001001000000059E-3</v>
      </c>
      <c r="F3" s="30">
        <f>(H3-A3*100)</f>
        <v>0.10010010000000591</v>
      </c>
      <c r="G3" s="43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32">
        <v>1.01E-2</v>
      </c>
      <c r="D4" s="42">
        <f t="shared" si="0"/>
        <v>10.101009999999974</v>
      </c>
      <c r="E4" s="30">
        <f>(H4-A4*100)/(A4*100)</f>
        <v>1.0101009999999975E-2</v>
      </c>
      <c r="F4" s="30">
        <f t="shared" ref="F4:F10" si="1">(H4-A4*100)</f>
        <v>10.101009999999974</v>
      </c>
      <c r="G4" s="43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32">
        <v>5.2600000000000001E-2</v>
      </c>
      <c r="D5" s="42">
        <f t="shared" si="0"/>
        <v>263.15789500000028</v>
      </c>
      <c r="E5" s="30">
        <f>(H5-A5*100)/(A5*100)</f>
        <v>5.2631579000000053E-2</v>
      </c>
      <c r="F5" s="30">
        <f t="shared" si="1"/>
        <v>263.15789500000028</v>
      </c>
      <c r="G5" s="43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32">
        <v>0.1111</v>
      </c>
      <c r="D6" s="42">
        <f t="shared" si="0"/>
        <v>1111.1111099999998</v>
      </c>
      <c r="E6" s="30">
        <f t="shared" ref="E6:E10" si="3">(H6-A6*100)/(A6*100)</f>
        <v>0.11111111099999998</v>
      </c>
      <c r="F6" s="30">
        <f t="shared" si="1"/>
        <v>1111.1111099999998</v>
      </c>
      <c r="G6" s="43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32">
        <v>0.25</v>
      </c>
      <c r="D7" s="42">
        <f t="shared" si="0"/>
        <v>5000</v>
      </c>
      <c r="E7" s="30">
        <f t="shared" si="3"/>
        <v>0.25</v>
      </c>
      <c r="F7" s="43">
        <f t="shared" si="1"/>
        <v>5000</v>
      </c>
      <c r="G7" s="43">
        <f t="shared" si="2"/>
        <v>20000</v>
      </c>
      <c r="H7" s="4">
        <v>25000</v>
      </c>
      <c r="I7" s="4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32">
        <v>1</v>
      </c>
      <c r="D8" s="42">
        <f t="shared" si="0"/>
        <v>50000</v>
      </c>
      <c r="E8" s="30">
        <f t="shared" si="3"/>
        <v>1</v>
      </c>
      <c r="F8" s="43">
        <f t="shared" si="1"/>
        <v>50000</v>
      </c>
      <c r="G8" s="43">
        <f t="shared" si="2"/>
        <v>50000</v>
      </c>
      <c r="H8" s="4">
        <v>100000</v>
      </c>
      <c r="I8" s="4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32">
        <v>4</v>
      </c>
      <c r="D9" s="42">
        <f t="shared" si="0"/>
        <v>320000</v>
      </c>
      <c r="E9" s="30">
        <f t="shared" si="3"/>
        <v>4</v>
      </c>
      <c r="F9" s="43">
        <f t="shared" si="1"/>
        <v>320000</v>
      </c>
      <c r="G9" s="43">
        <f t="shared" si="2"/>
        <v>80000</v>
      </c>
      <c r="H9" s="4">
        <v>400000</v>
      </c>
      <c r="I9" s="4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32">
        <v>999</v>
      </c>
      <c r="D10" s="42">
        <f t="shared" si="0"/>
        <v>99800100</v>
      </c>
      <c r="E10" s="30">
        <f t="shared" si="3"/>
        <v>999</v>
      </c>
      <c r="F10" s="43">
        <f t="shared" si="1"/>
        <v>99800100</v>
      </c>
      <c r="G10" s="43">
        <f t="shared" si="2"/>
        <v>99900</v>
      </c>
      <c r="H10" s="4">
        <v>99900000</v>
      </c>
      <c r="I10" s="4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44" t="s">
        <v>15</v>
      </c>
    </row>
    <row r="15" spans="1:17" ht="18" customHeight="1"/>
    <row r="16" spans="1:17" ht="49.5">
      <c r="A16" s="1" t="s">
        <v>0</v>
      </c>
      <c r="B16" s="1" t="s">
        <v>16</v>
      </c>
      <c r="C16" s="1" t="s">
        <v>2</v>
      </c>
      <c r="D16" s="45" t="s">
        <v>3</v>
      </c>
      <c r="E16" s="46" t="s">
        <v>17</v>
      </c>
      <c r="F16" s="46" t="s">
        <v>18</v>
      </c>
      <c r="G16" s="46" t="s">
        <v>19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20</v>
      </c>
      <c r="M16" s="1" t="s">
        <v>12</v>
      </c>
      <c r="N16" s="1" t="s">
        <v>13</v>
      </c>
      <c r="O16" s="2"/>
      <c r="P16" s="1" t="s">
        <v>21</v>
      </c>
      <c r="Q16" s="2"/>
    </row>
    <row r="17" spans="1:17">
      <c r="A17" s="3"/>
      <c r="B17" s="3"/>
      <c r="C17" s="47"/>
      <c r="D17" s="42"/>
      <c r="E17" s="30"/>
      <c r="F17" s="30"/>
      <c r="G17" s="30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31">
        <f>E18</f>
        <v>-9.9900099894512095E-4</v>
      </c>
      <c r="D18" s="42">
        <f>H18/100-A18</f>
        <v>9.9900099894512095E-4</v>
      </c>
      <c r="E18" s="30">
        <f t="shared" ref="E18:E25" si="4">(A18-H18/100)/(H18/100)</f>
        <v>-9.9900099894512095E-4</v>
      </c>
      <c r="F18" s="30">
        <f>A18-H18/100</f>
        <v>-9.9900099894512095E-4</v>
      </c>
      <c r="G18" s="43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31">
        <f>E19</f>
        <v>-9.9009900990154158E-3</v>
      </c>
      <c r="D19" s="42">
        <f t="shared" ref="D19:D25" si="7">H19/100-A19</f>
        <v>9.9009900990154165E-2</v>
      </c>
      <c r="E19" s="30">
        <f t="shared" si="4"/>
        <v>-9.9009900990154158E-3</v>
      </c>
      <c r="F19" s="30">
        <f t="shared" ref="F19:F25" si="8">A19-H19/100</f>
        <v>-9.9009900990154165E-2</v>
      </c>
      <c r="G19" s="43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31">
        <f t="shared" ref="C20:C25" si="14">E20</f>
        <v>-4.7619047619048158E-2</v>
      </c>
      <c r="D20" s="42">
        <f t="shared" si="7"/>
        <v>2.380952380952408</v>
      </c>
      <c r="E20" s="30">
        <f t="shared" si="4"/>
        <v>-4.7619047619048158E-2</v>
      </c>
      <c r="F20" s="30">
        <f t="shared" si="8"/>
        <v>-2.380952380952408</v>
      </c>
      <c r="G20" s="43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31">
        <f t="shared" si="14"/>
        <v>-9.0909090909091217E-2</v>
      </c>
      <c r="D21" s="42">
        <f t="shared" si="7"/>
        <v>9.0909090909091219</v>
      </c>
      <c r="E21" s="30">
        <f t="shared" si="4"/>
        <v>-9.0909090909091217E-2</v>
      </c>
      <c r="F21" s="30">
        <f t="shared" si="8"/>
        <v>-9.0909090909091219</v>
      </c>
      <c r="G21" s="43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31">
        <f t="shared" si="14"/>
        <v>-0.2</v>
      </c>
      <c r="D22" s="42">
        <f t="shared" si="7"/>
        <v>50</v>
      </c>
      <c r="E22" s="30">
        <f t="shared" si="4"/>
        <v>-0.2</v>
      </c>
      <c r="F22" s="43">
        <f t="shared" si="8"/>
        <v>-50</v>
      </c>
      <c r="G22" s="43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31">
        <f t="shared" si="14"/>
        <v>-0.5</v>
      </c>
      <c r="D23" s="42">
        <f t="shared" si="7"/>
        <v>500</v>
      </c>
      <c r="E23" s="30">
        <f t="shared" si="4"/>
        <v>-0.5</v>
      </c>
      <c r="F23" s="43">
        <f t="shared" si="8"/>
        <v>-500</v>
      </c>
      <c r="G23" s="43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31">
        <f t="shared" si="14"/>
        <v>-0.8</v>
      </c>
      <c r="D24" s="42">
        <f t="shared" si="7"/>
        <v>3200</v>
      </c>
      <c r="E24" s="30">
        <f t="shared" si="4"/>
        <v>-0.8</v>
      </c>
      <c r="F24" s="43">
        <f t="shared" si="8"/>
        <v>-3200</v>
      </c>
      <c r="G24" s="43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31">
        <f t="shared" si="14"/>
        <v>-0.999</v>
      </c>
      <c r="D25" s="42">
        <f t="shared" si="7"/>
        <v>998001</v>
      </c>
      <c r="E25" s="30">
        <f t="shared" si="4"/>
        <v>-0.999</v>
      </c>
      <c r="F25" s="43">
        <f t="shared" si="8"/>
        <v>-998001</v>
      </c>
      <c r="G25" s="43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7" zoomScaleNormal="127" workbookViewId="0">
      <selection activeCell="B32" sqref="B32"/>
    </sheetView>
  </sheetViews>
  <sheetFormatPr defaultColWidth="9" defaultRowHeight="14.25"/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>
        <v>100</v>
      </c>
      <c r="B2" t="s">
        <v>29</v>
      </c>
      <c r="C2" t="s">
        <v>30</v>
      </c>
      <c r="D2">
        <v>1000</v>
      </c>
      <c r="E2">
        <v>1100</v>
      </c>
      <c r="F2">
        <v>100</v>
      </c>
      <c r="G2" s="38">
        <v>1</v>
      </c>
    </row>
    <row r="3" spans="1:7">
      <c r="D3">
        <v>1000</v>
      </c>
      <c r="E3">
        <v>900</v>
      </c>
      <c r="F3">
        <v>-100</v>
      </c>
      <c r="G3" s="38">
        <v>-1</v>
      </c>
    </row>
    <row r="4" spans="1:7">
      <c r="C4" t="s">
        <v>31</v>
      </c>
      <c r="D4">
        <v>1000</v>
      </c>
      <c r="E4">
        <v>1100</v>
      </c>
      <c r="F4">
        <v>-100</v>
      </c>
      <c r="G4" s="38">
        <v>-1</v>
      </c>
    </row>
    <row r="5" spans="1:7">
      <c r="D5">
        <v>1000</v>
      </c>
      <c r="E5">
        <v>900</v>
      </c>
      <c r="F5">
        <v>100</v>
      </c>
      <c r="G5" s="38">
        <v>1</v>
      </c>
    </row>
    <row r="7" spans="1:7">
      <c r="A7">
        <v>1000</v>
      </c>
      <c r="B7" t="s">
        <v>32</v>
      </c>
      <c r="C7" t="s">
        <v>30</v>
      </c>
      <c r="D7">
        <v>1000</v>
      </c>
      <c r="E7">
        <v>1100</v>
      </c>
      <c r="F7">
        <v>100</v>
      </c>
      <c r="G7" s="38">
        <v>0.1</v>
      </c>
    </row>
    <row r="8" spans="1:7">
      <c r="D8">
        <v>1000</v>
      </c>
      <c r="E8">
        <v>900</v>
      </c>
      <c r="F8">
        <v>-100</v>
      </c>
      <c r="G8" s="38">
        <v>-0.1</v>
      </c>
    </row>
    <row r="9" spans="1:7">
      <c r="C9" t="s">
        <v>31</v>
      </c>
      <c r="D9">
        <v>1000</v>
      </c>
      <c r="E9">
        <v>1100</v>
      </c>
      <c r="F9">
        <v>-100</v>
      </c>
      <c r="G9" s="38">
        <v>-0.1</v>
      </c>
    </row>
    <row r="10" spans="1:7">
      <c r="D10">
        <v>1000</v>
      </c>
      <c r="E10">
        <v>900</v>
      </c>
      <c r="F10">
        <v>100</v>
      </c>
      <c r="G10" s="38">
        <v>0.1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zoomScale="136" zoomScaleNormal="136" workbookViewId="0">
      <selection activeCell="A13" sqref="A13:L18"/>
    </sheetView>
  </sheetViews>
  <sheetFormatPr defaultColWidth="9" defaultRowHeight="14.25"/>
  <cols>
    <col min="1" max="1" width="8.25" customWidth="1"/>
    <col min="8" max="8" width="10.875" customWidth="1"/>
    <col min="12" max="12" width="9" customWidth="1"/>
  </cols>
  <sheetData>
    <row r="1" spans="1:12" ht="24.75" customHeight="1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1"/>
      <c r="B2" s="2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 t="s">
        <v>39</v>
      </c>
      <c r="J2" s="1" t="s">
        <v>40</v>
      </c>
      <c r="K2" s="1" t="s">
        <v>41</v>
      </c>
      <c r="L2" s="1" t="s">
        <v>42</v>
      </c>
    </row>
    <row r="3" spans="1:12" ht="24.75">
      <c r="A3" s="3" t="s">
        <v>43</v>
      </c>
      <c r="B3" s="3" t="s">
        <v>44</v>
      </c>
      <c r="C3" s="32">
        <v>0</v>
      </c>
      <c r="D3" s="32">
        <v>0.25</v>
      </c>
      <c r="E3" s="32">
        <v>0.503</v>
      </c>
      <c r="F3" s="32">
        <v>0.75609999999999999</v>
      </c>
      <c r="G3" s="32">
        <v>1</v>
      </c>
      <c r="H3" s="32">
        <f>H7/100</f>
        <v>1.2</v>
      </c>
      <c r="I3" s="32">
        <v>1.5625</v>
      </c>
      <c r="J3" s="32">
        <v>2.0407999999999999</v>
      </c>
      <c r="K3" s="32">
        <v>4</v>
      </c>
      <c r="L3" s="32">
        <v>4.9382999999999999</v>
      </c>
    </row>
    <row r="4" spans="1:12">
      <c r="A4" s="3" t="s">
        <v>45</v>
      </c>
      <c r="B4" s="3" t="s">
        <v>46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47</v>
      </c>
      <c r="B5" s="3" t="s">
        <v>48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49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33" t="s">
        <v>50</v>
      </c>
      <c r="C7" s="34">
        <v>9.9999999999999995E-8</v>
      </c>
      <c r="D7" s="33">
        <v>25</v>
      </c>
      <c r="E7" s="33">
        <v>50.299280719999999</v>
      </c>
      <c r="F7" s="33">
        <v>75.61436673</v>
      </c>
      <c r="G7" s="33">
        <v>100</v>
      </c>
      <c r="H7" s="33">
        <v>120</v>
      </c>
      <c r="I7" s="33">
        <v>156.25</v>
      </c>
      <c r="J7" s="33">
        <v>204.0816327</v>
      </c>
      <c r="K7" s="33">
        <v>400</v>
      </c>
      <c r="L7" s="33">
        <v>493.82716049999999</v>
      </c>
    </row>
    <row r="8" spans="1:12" ht="25.5">
      <c r="A8" s="3" t="s">
        <v>51</v>
      </c>
      <c r="B8" s="3" t="s">
        <v>52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35" t="s">
        <v>53</v>
      </c>
      <c r="B9" s="3" t="s">
        <v>54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55</v>
      </c>
      <c r="B10" s="3" t="s">
        <v>56</v>
      </c>
      <c r="C10" s="32">
        <v>1E-4</v>
      </c>
      <c r="D10" s="32">
        <v>0.8</v>
      </c>
      <c r="E10" s="32">
        <v>0.94369999999999998</v>
      </c>
      <c r="F10" s="32">
        <v>0.99029999999999996</v>
      </c>
      <c r="G10" s="32">
        <v>1</v>
      </c>
      <c r="H10" s="32">
        <f>H9/H8</f>
        <v>0.99585919546393842</v>
      </c>
      <c r="I10" s="32">
        <v>0.97560000000000002</v>
      </c>
      <c r="J10" s="32">
        <v>0.93959999999999999</v>
      </c>
      <c r="K10" s="32">
        <v>0.8</v>
      </c>
      <c r="L10" s="32">
        <v>0.74839999999999995</v>
      </c>
    </row>
    <row r="11" spans="1:12">
      <c r="A11" s="36"/>
      <c r="B11" s="36"/>
      <c r="C11" s="37">
        <f t="shared" ref="C11:H11" si="0">C9*1.1/C8</f>
        <v>1.0999999989000001E-4</v>
      </c>
      <c r="D11" s="37">
        <f t="shared" si="0"/>
        <v>0.88</v>
      </c>
      <c r="E11" s="37">
        <f t="shared" si="0"/>
        <v>1.0380888003810653</v>
      </c>
      <c r="F11" s="37">
        <f t="shared" si="0"/>
        <v>1.0893243166534166</v>
      </c>
      <c r="G11" s="37">
        <f t="shared" si="0"/>
        <v>1.1000000000000001</v>
      </c>
      <c r="H11" s="37">
        <f t="shared" si="0"/>
        <v>1.0954451150103324</v>
      </c>
      <c r="I11" s="37">
        <f t="shared" ref="I11:L11" si="1">I9*1.1/I8</f>
        <v>1.0731707317073171</v>
      </c>
      <c r="J11" s="37">
        <f t="shared" si="1"/>
        <v>1.0335415434646211</v>
      </c>
      <c r="K11" s="37">
        <f t="shared" si="1"/>
        <v>0.88</v>
      </c>
      <c r="L11" s="37">
        <f t="shared" si="1"/>
        <v>0.82327659042803247</v>
      </c>
    </row>
    <row r="13" spans="1:12">
      <c r="A13" s="49" t="s">
        <v>57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</sheetData>
  <mergeCells count="2">
    <mergeCell ref="A1:L1"/>
    <mergeCell ref="A13:L18"/>
  </mergeCells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"/>
  <sheetViews>
    <sheetView zoomScale="115" zoomScaleNormal="115" workbookViewId="0">
      <selection activeCell="B25" sqref="B25"/>
    </sheetView>
  </sheetViews>
  <sheetFormatPr defaultColWidth="9" defaultRowHeight="14.25"/>
  <cols>
    <col min="1" max="1" width="21.25" customWidth="1"/>
    <col min="2" max="3" width="11.375" customWidth="1"/>
    <col min="4" max="4" width="16" style="16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customWidth="1"/>
    <col min="15" max="15" width="11.375" customWidth="1"/>
    <col min="16" max="17" width="10.875" customWidth="1"/>
    <col min="18" max="18" width="9.125" customWidth="1"/>
  </cols>
  <sheetData>
    <row r="1" spans="1:21" ht="15">
      <c r="B1" s="25"/>
    </row>
    <row r="7" spans="1:21" ht="62.25">
      <c r="A7" s="1" t="s">
        <v>0</v>
      </c>
      <c r="B7" s="1" t="s">
        <v>1</v>
      </c>
      <c r="C7" s="26" t="s">
        <v>58</v>
      </c>
      <c r="D7" s="27" t="s">
        <v>59</v>
      </c>
      <c r="E7" s="28" t="s">
        <v>60</v>
      </c>
      <c r="F7" s="28" t="s">
        <v>44</v>
      </c>
      <c r="G7" s="28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9</v>
      </c>
      <c r="M7" s="1" t="s">
        <v>66</v>
      </c>
      <c r="N7" s="1" t="s">
        <v>10</v>
      </c>
      <c r="O7" s="1" t="s">
        <v>11</v>
      </c>
      <c r="P7" s="1"/>
      <c r="Q7" s="1"/>
      <c r="R7" s="1"/>
      <c r="S7" s="1" t="s">
        <v>13</v>
      </c>
      <c r="T7" s="2"/>
      <c r="U7" s="1" t="s">
        <v>21</v>
      </c>
    </row>
    <row r="8" spans="1:21">
      <c r="A8" s="3"/>
      <c r="B8" s="3"/>
      <c r="C8" s="3"/>
      <c r="D8" s="29"/>
      <c r="E8" s="30"/>
      <c r="F8" s="30"/>
      <c r="G8" s="30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5" si="0">$L$8-L9</f>
        <v>1</v>
      </c>
      <c r="B9" s="3">
        <f>H9/A9</f>
        <v>202.0202020202014</v>
      </c>
      <c r="C9" s="3">
        <f>O9*L9+K9</f>
        <v>20404.040404040403</v>
      </c>
      <c r="D9" s="29">
        <f>O9*$L$8+$K$8</f>
        <v>20305.070911131515</v>
      </c>
      <c r="E9" s="30">
        <f>C9-D9</f>
        <v>98.969492908887332</v>
      </c>
      <c r="F9" s="31">
        <f>O9/100</f>
        <v>1.0305070911131518</v>
      </c>
      <c r="G9" s="31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31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5" si="1">H10/A10</f>
        <v>210.52631578947404</v>
      </c>
      <c r="C10" s="3">
        <f t="shared" ref="C10:C11" si="2">O10*L10+K10</f>
        <v>22105.26315789474</v>
      </c>
      <c r="D10" s="29">
        <f t="shared" ref="D10:D15" si="3">O10*$L$8+$K$8</f>
        <v>21634.349030470916</v>
      </c>
      <c r="E10" s="30">
        <f t="shared" ref="E10:E12" si="4">C10-D10</f>
        <v>470.91412742382454</v>
      </c>
      <c r="F10" s="31">
        <f t="shared" ref="F10:F11" si="5">O10/100</f>
        <v>1.1634349030470916</v>
      </c>
      <c r="G10" s="31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5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5" si="12">$K$8*$L$8</f>
        <v>1000000</v>
      </c>
      <c r="O10" s="3">
        <f t="shared" ref="O10:O11" si="13">K10/L10</f>
        <v>116.34349030470916</v>
      </c>
      <c r="P10" s="31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9">
        <f t="shared" si="3"/>
        <v>22759.924385633269</v>
      </c>
      <c r="E11" s="30">
        <f t="shared" si="4"/>
        <v>718.33648393194744</v>
      </c>
      <c r="F11" s="31">
        <f t="shared" si="5"/>
        <v>1.275992438563327</v>
      </c>
      <c r="G11" s="31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31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 t="shared" si="0"/>
        <v>10</v>
      </c>
      <c r="B12" s="3">
        <f t="shared" si="1"/>
        <v>222.22222222222226</v>
      </c>
      <c r="C12" s="3">
        <f t="shared" ref="C12:C18" si="15">O12*L12+K12</f>
        <v>24444.444444444445</v>
      </c>
      <c r="D12" s="29">
        <f t="shared" si="3"/>
        <v>23580.246913580246</v>
      </c>
      <c r="E12" s="30">
        <f t="shared" si="4"/>
        <v>864.19753086419951</v>
      </c>
      <c r="F12" s="31">
        <f t="shared" ref="F12:F18" si="16">O12/100</f>
        <v>1.3580246913580247</v>
      </c>
      <c r="G12" s="31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 t="shared" si="10"/>
        <v>12222.222222222223</v>
      </c>
      <c r="L12" s="3">
        <v>90</v>
      </c>
      <c r="M12" s="3">
        <f t="shared" ref="M12:M18" si="20">K12*L12</f>
        <v>1100000</v>
      </c>
      <c r="N12" s="3">
        <f t="shared" si="12"/>
        <v>1000000</v>
      </c>
      <c r="O12" s="3">
        <f t="shared" ref="O12:O18" si="21">K12/L12</f>
        <v>135.80246913580248</v>
      </c>
      <c r="P12" s="31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 t="shared" si="0"/>
        <v>20</v>
      </c>
      <c r="B13" s="3">
        <f t="shared" si="1"/>
        <v>250</v>
      </c>
      <c r="C13" s="3">
        <f t="shared" si="15"/>
        <v>30000</v>
      </c>
      <c r="D13" s="29">
        <f t="shared" si="3"/>
        <v>28750</v>
      </c>
      <c r="E13" s="30">
        <f t="shared" ref="E13:E18" si="23">C13-D13</f>
        <v>1250</v>
      </c>
      <c r="F13" s="31">
        <f t="shared" si="16"/>
        <v>1.875</v>
      </c>
      <c r="G13" s="31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 t="shared" si="10"/>
        <v>15000</v>
      </c>
      <c r="L13" s="3">
        <v>80</v>
      </c>
      <c r="M13" s="3">
        <f t="shared" si="20"/>
        <v>1200000</v>
      </c>
      <c r="N13" s="3">
        <f t="shared" si="12"/>
        <v>1000000</v>
      </c>
      <c r="O13" s="3">
        <f t="shared" si="21"/>
        <v>187.5</v>
      </c>
      <c r="P13" s="31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 t="shared" si="0"/>
        <v>30</v>
      </c>
      <c r="B14" s="3">
        <f t="shared" si="1"/>
        <v>285.71428571428572</v>
      </c>
      <c r="C14" s="3">
        <f t="shared" si="15"/>
        <v>37142.857142857145</v>
      </c>
      <c r="D14" s="29">
        <f t="shared" si="3"/>
        <v>36530.612244897959</v>
      </c>
      <c r="E14" s="30">
        <f t="shared" si="23"/>
        <v>612.24489795918635</v>
      </c>
      <c r="F14" s="31">
        <f t="shared" si="16"/>
        <v>2.6530612244897958</v>
      </c>
      <c r="G14" s="31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 t="shared" si="10"/>
        <v>18571.428571428572</v>
      </c>
      <c r="L14" s="3">
        <v>70</v>
      </c>
      <c r="M14" s="3">
        <f t="shared" si="20"/>
        <v>1300000</v>
      </c>
      <c r="N14" s="3">
        <f t="shared" si="12"/>
        <v>1000000</v>
      </c>
      <c r="O14" s="3">
        <f t="shared" si="21"/>
        <v>265.30612244897958</v>
      </c>
      <c r="P14" s="31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 t="shared" si="0"/>
        <v>50</v>
      </c>
      <c r="B15" s="3">
        <f t="shared" si="1"/>
        <v>400</v>
      </c>
      <c r="C15" s="3">
        <f t="shared" si="15"/>
        <v>60000</v>
      </c>
      <c r="D15" s="29">
        <f t="shared" si="3"/>
        <v>70000</v>
      </c>
      <c r="E15" s="30">
        <f t="shared" si="23"/>
        <v>-10000</v>
      </c>
      <c r="F15" s="31">
        <f t="shared" si="16"/>
        <v>6</v>
      </c>
      <c r="G15" s="31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 t="shared" si="10"/>
        <v>30000</v>
      </c>
      <c r="L15" s="3">
        <v>50</v>
      </c>
      <c r="M15" s="3">
        <f t="shared" si="20"/>
        <v>1500000</v>
      </c>
      <c r="N15" s="3">
        <f t="shared" si="12"/>
        <v>1000000</v>
      </c>
      <c r="O15" s="3">
        <f t="shared" si="21"/>
        <v>600</v>
      </c>
      <c r="P15" s="31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9">
        <f t="shared" ref="D16:D18" si="26">O16*$L$8+$K$8</f>
        <v>86543.209876543217</v>
      </c>
      <c r="E16" s="30">
        <f t="shared" si="23"/>
        <v>-17654.320987654326</v>
      </c>
      <c r="F16" s="31">
        <f t="shared" si="16"/>
        <v>7.6543209876543212</v>
      </c>
      <c r="G16" s="31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31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9">
        <f t="shared" si="26"/>
        <v>460000</v>
      </c>
      <c r="E17" s="30">
        <f t="shared" si="23"/>
        <v>-280000</v>
      </c>
      <c r="F17" s="31">
        <f t="shared" si="16"/>
        <v>45</v>
      </c>
      <c r="G17" s="31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31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9">
        <f t="shared" si="26"/>
        <v>199010000</v>
      </c>
      <c r="E18" s="30">
        <f t="shared" si="23"/>
        <v>-195030000</v>
      </c>
      <c r="F18" s="31">
        <f t="shared" si="16"/>
        <v>19900</v>
      </c>
      <c r="G18" s="31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31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67</v>
      </c>
      <c r="B25">
        <f>1-0.5</f>
        <v>0.5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zoomScale="105" zoomScaleNormal="105" workbookViewId="0">
      <selection activeCell="H16" sqref="H16"/>
    </sheetView>
  </sheetViews>
  <sheetFormatPr defaultColWidth="9" defaultRowHeight="14.25"/>
  <cols>
    <col min="1" max="1" width="9.125" customWidth="1"/>
    <col min="2" max="2" width="9.625" customWidth="1"/>
    <col min="3" max="3" width="9.125" customWidth="1"/>
    <col min="4" max="5" width="9.5" customWidth="1"/>
    <col min="6" max="6" width="9.125" customWidth="1"/>
    <col min="7" max="7" width="9.5" customWidth="1"/>
    <col min="8" max="8" width="10.125" customWidth="1"/>
    <col min="9" max="9" width="25.375" customWidth="1"/>
    <col min="10" max="10" width="24.25" customWidth="1"/>
    <col min="11" max="11" width="13.125" customWidth="1"/>
    <col min="12" max="12" width="12.375" customWidth="1"/>
    <col min="13" max="14" width="13.125" customWidth="1"/>
  </cols>
  <sheetData>
    <row r="1" spans="1:14" ht="18.75">
      <c r="B1" s="16" t="s">
        <v>68</v>
      </c>
      <c r="C1" t="s">
        <v>69</v>
      </c>
      <c r="D1" t="s">
        <v>32</v>
      </c>
      <c r="E1" t="s">
        <v>70</v>
      </c>
      <c r="F1" t="s">
        <v>71</v>
      </c>
      <c r="G1" t="s">
        <v>72</v>
      </c>
      <c r="H1" t="s">
        <v>73</v>
      </c>
      <c r="I1" s="15" t="s">
        <v>74</v>
      </c>
      <c r="J1" s="17"/>
      <c r="L1" t="s">
        <v>75</v>
      </c>
      <c r="M1" t="s">
        <v>76</v>
      </c>
      <c r="N1" t="s">
        <v>77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18">
        <f>1-(SQRT(B2*C2)/SQRT(D2*E2))</f>
        <v>4.653741075440776E-2</v>
      </c>
      <c r="J2" s="19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18">
        <f t="shared" ref="I3:I6" si="6">1-(SQRT(B3*C3)/SQRT(D3*E3))</f>
        <v>4.962809790010958E-3</v>
      </c>
      <c r="J3" s="19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18">
        <f t="shared" si="6"/>
        <v>4.9962531222680351E-4</v>
      </c>
      <c r="J4" s="19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18">
        <f t="shared" si="6"/>
        <v>4.9996250312545065E-5</v>
      </c>
      <c r="J5" s="20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21">
        <f t="shared" si="6"/>
        <v>4.9999625002516979E-6</v>
      </c>
      <c r="J6" s="22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.75">
      <c r="B16" s="16" t="s">
        <v>68</v>
      </c>
      <c r="C16" t="s">
        <v>69</v>
      </c>
      <c r="D16" t="s">
        <v>32</v>
      </c>
      <c r="E16" t="s">
        <v>70</v>
      </c>
      <c r="F16" t="s">
        <v>71</v>
      </c>
      <c r="G16" t="s">
        <v>72</v>
      </c>
      <c r="H16" t="s">
        <v>73</v>
      </c>
      <c r="I16" s="15" t="s">
        <v>78</v>
      </c>
      <c r="J16" s="17"/>
      <c r="L16" t="s">
        <v>79</v>
      </c>
      <c r="M16" t="s">
        <v>80</v>
      </c>
      <c r="N16" t="s">
        <v>77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18">
        <f>1-(SQRT(B17*C17)/SQRT(D17*E17))</f>
        <v>9.0909090909090939E-2</v>
      </c>
      <c r="J17" s="18">
        <f>H17/G17</f>
        <v>9.0909090909090912E-2</v>
      </c>
      <c r="K17" s="23">
        <f>SQRT(D17*E17)*I17</f>
        <v>200.00000000000006</v>
      </c>
      <c r="L17" s="24">
        <f>J17*D17</f>
        <v>200</v>
      </c>
      <c r="M17" s="24">
        <f>J17*E17</f>
        <v>200</v>
      </c>
      <c r="N17" s="24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18">
        <f t="shared" ref="I18:I21" si="18">1-(SQRT(B18*C18)/SQRT(D18*E18))</f>
        <v>9.9009900990099098E-3</v>
      </c>
      <c r="J18" s="18">
        <f t="shared" ref="J18:J21" si="19">H18/G18</f>
        <v>9.9009900990099011E-3</v>
      </c>
      <c r="K18" s="23">
        <f t="shared" ref="K18:K21" si="20">SQRT(D18*E18)*I18</f>
        <v>200.00000000000017</v>
      </c>
      <c r="L18" s="24">
        <f t="shared" ref="L18:L21" si="21">J18*D18</f>
        <v>200</v>
      </c>
      <c r="M18" s="24">
        <f t="shared" ref="M18:M21" si="22">J18*E18</f>
        <v>200</v>
      </c>
      <c r="N18" s="24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18">
        <f t="shared" si="18"/>
        <v>9.9900099900096517E-4</v>
      </c>
      <c r="J19" s="18">
        <f t="shared" si="19"/>
        <v>9.99000999000999E-4</v>
      </c>
      <c r="K19" s="23">
        <f t="shared" si="20"/>
        <v>199.99999999999324</v>
      </c>
      <c r="L19" s="24">
        <f t="shared" si="21"/>
        <v>200</v>
      </c>
      <c r="M19" s="24">
        <f t="shared" si="22"/>
        <v>200</v>
      </c>
      <c r="N19" s="24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18">
        <f t="shared" si="18"/>
        <v>9.9990000999916617E-5</v>
      </c>
      <c r="J20" s="18">
        <f t="shared" si="19"/>
        <v>9.9990000999900015E-5</v>
      </c>
      <c r="K20" s="23">
        <f t="shared" si="20"/>
        <v>200.00000000003322</v>
      </c>
      <c r="L20" s="24">
        <f t="shared" si="21"/>
        <v>200</v>
      </c>
      <c r="M20" s="24">
        <f t="shared" si="22"/>
        <v>200</v>
      </c>
      <c r="N20" s="24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18">
        <f t="shared" si="18"/>
        <v>9.9999000009454164E-6</v>
      </c>
      <c r="J21" s="18">
        <f t="shared" si="19"/>
        <v>9.9999000009999908E-6</v>
      </c>
      <c r="K21" s="23">
        <f t="shared" si="20"/>
        <v>199.99999999890852</v>
      </c>
      <c r="L21" s="24">
        <f t="shared" si="21"/>
        <v>200.00000000000003</v>
      </c>
      <c r="M21" s="24">
        <f t="shared" si="22"/>
        <v>200.00000000000003</v>
      </c>
      <c r="N21" s="24">
        <f t="shared" si="23"/>
        <v>400.00000000000006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="150" zoomScaleNormal="150" workbookViewId="0">
      <selection activeCell="G8" sqref="G8"/>
    </sheetView>
  </sheetViews>
  <sheetFormatPr defaultColWidth="9" defaultRowHeight="14.25"/>
  <cols>
    <col min="2" max="2" width="11" customWidth="1"/>
    <col min="4" max="4" width="24.125" customWidth="1"/>
    <col min="5" max="5" width="9.375" customWidth="1"/>
  </cols>
  <sheetData>
    <row r="1" spans="1:5">
      <c r="C1" t="s">
        <v>81</v>
      </c>
      <c r="D1" t="s">
        <v>82</v>
      </c>
      <c r="E1" t="s">
        <v>83</v>
      </c>
    </row>
    <row r="2" spans="1:5">
      <c r="A2" t="s">
        <v>84</v>
      </c>
      <c r="C2">
        <v>0</v>
      </c>
      <c r="D2">
        <v>0</v>
      </c>
      <c r="E2" t="s">
        <v>82</v>
      </c>
    </row>
    <row r="3" spans="1:5">
      <c r="A3" t="s">
        <v>85</v>
      </c>
      <c r="C3">
        <v>100</v>
      </c>
      <c r="D3" t="s">
        <v>86</v>
      </c>
      <c r="E3" t="s">
        <v>82</v>
      </c>
    </row>
    <row r="4" spans="1:5">
      <c r="A4" t="s">
        <v>87</v>
      </c>
      <c r="C4">
        <v>200</v>
      </c>
      <c r="D4" t="s">
        <v>88</v>
      </c>
      <c r="E4" s="14" t="s">
        <v>82</v>
      </c>
    </row>
    <row r="5" spans="1:5">
      <c r="A5" t="s">
        <v>89</v>
      </c>
      <c r="C5">
        <v>300</v>
      </c>
      <c r="D5" t="s">
        <v>90</v>
      </c>
      <c r="E5" t="s">
        <v>82</v>
      </c>
    </row>
    <row r="6" spans="1:5">
      <c r="A6" t="s">
        <v>91</v>
      </c>
      <c r="C6">
        <v>100</v>
      </c>
      <c r="D6" t="s">
        <v>92</v>
      </c>
      <c r="E6" t="s">
        <v>82</v>
      </c>
    </row>
    <row r="9" spans="1:5">
      <c r="A9" s="49" t="s">
        <v>93</v>
      </c>
      <c r="B9" s="49"/>
      <c r="C9" s="49"/>
      <c r="D9" s="49"/>
      <c r="E9" s="49"/>
    </row>
    <row r="10" spans="1:5">
      <c r="A10" s="49"/>
      <c r="B10" s="49"/>
      <c r="C10" s="49"/>
      <c r="D10" s="49"/>
      <c r="E10" s="49"/>
    </row>
    <row r="12" spans="1:5">
      <c r="A12" t="s">
        <v>94</v>
      </c>
      <c r="B12" s="50"/>
      <c r="C12" s="50"/>
      <c r="D12" s="50"/>
    </row>
    <row r="13" spans="1:5">
      <c r="A13" t="s">
        <v>87</v>
      </c>
      <c r="B13" s="51" t="s">
        <v>95</v>
      </c>
      <c r="C13" s="51"/>
      <c r="D13" s="51"/>
      <c r="E13" t="s">
        <v>96</v>
      </c>
    </row>
    <row r="14" spans="1:5">
      <c r="A14" t="s">
        <v>89</v>
      </c>
      <c r="B14" s="53" t="s">
        <v>97</v>
      </c>
      <c r="C14" s="53"/>
      <c r="D14" s="53"/>
      <c r="E14" t="s">
        <v>98</v>
      </c>
    </row>
    <row r="15" spans="1:5">
      <c r="B15" s="53"/>
      <c r="C15" s="53"/>
      <c r="D15" s="53"/>
    </row>
    <row r="17" spans="1:6">
      <c r="A17" t="s">
        <v>99</v>
      </c>
    </row>
    <row r="19" spans="1:6">
      <c r="A19" t="s">
        <v>91</v>
      </c>
      <c r="B19" s="54" t="s">
        <v>100</v>
      </c>
      <c r="C19" s="54"/>
      <c r="D19" s="54"/>
      <c r="E19" s="52" t="s">
        <v>101</v>
      </c>
      <c r="F19" s="52"/>
    </row>
    <row r="20" spans="1:6">
      <c r="B20" s="54"/>
      <c r="C20" s="54"/>
      <c r="D20" s="54"/>
    </row>
  </sheetData>
  <mergeCells count="6">
    <mergeCell ref="B12:D12"/>
    <mergeCell ref="B13:D13"/>
    <mergeCell ref="E19:F19"/>
    <mergeCell ref="A9:E10"/>
    <mergeCell ref="B14:D15"/>
    <mergeCell ref="B19:D20"/>
  </mergeCells>
  <phoneticPr fontId="1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zoomScale="114" zoomScaleNormal="114" workbookViewId="0">
      <selection activeCell="K18" sqref="K18"/>
    </sheetView>
  </sheetViews>
  <sheetFormatPr defaultColWidth="9" defaultRowHeight="14.25"/>
  <cols>
    <col min="1" max="2" width="11" customWidth="1"/>
    <col min="3" max="3" width="13.5" customWidth="1"/>
    <col min="4" max="4" width="14.125" customWidth="1"/>
    <col min="5" max="5" width="10" customWidth="1"/>
    <col min="6" max="6" width="9.375" customWidth="1"/>
    <col min="7" max="7" width="10.875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spans="1:12" ht="38.25">
      <c r="A1" s="1" t="s">
        <v>102</v>
      </c>
      <c r="B1" s="1" t="s">
        <v>103</v>
      </c>
      <c r="C1" s="1" t="s">
        <v>104</v>
      </c>
      <c r="D1" s="1" t="s">
        <v>8</v>
      </c>
      <c r="E1" s="1" t="s">
        <v>9</v>
      </c>
      <c r="F1" s="1" t="s">
        <v>10</v>
      </c>
      <c r="G1" s="1" t="s">
        <v>105</v>
      </c>
      <c r="H1" s="2"/>
      <c r="I1" s="1" t="s">
        <v>106</v>
      </c>
      <c r="K1" s="12" t="s">
        <v>107</v>
      </c>
      <c r="L1" t="s">
        <v>108</v>
      </c>
    </row>
    <row r="2" spans="1:12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109</v>
      </c>
      <c r="I2" s="2"/>
    </row>
    <row r="3" spans="1:12">
      <c r="A3" s="3">
        <v>200</v>
      </c>
      <c r="B3" s="3"/>
      <c r="C3" s="4">
        <v>100000</v>
      </c>
      <c r="D3" s="4">
        <v>200000</v>
      </c>
      <c r="E3" s="3">
        <v>500</v>
      </c>
      <c r="F3" s="3">
        <v>100000000</v>
      </c>
      <c r="G3" s="3">
        <v>400</v>
      </c>
      <c r="H3" s="2" t="s">
        <v>110</v>
      </c>
      <c r="I3" s="3" t="s">
        <v>111</v>
      </c>
    </row>
    <row r="4" spans="1:12">
      <c r="A4" s="5">
        <f t="shared" ref="A4:A9" si="0">C4/B4</f>
        <v>399.2015968063788</v>
      </c>
      <c r="B4" s="2">
        <v>1</v>
      </c>
      <c r="C4" s="6">
        <f>$D$3-D4</f>
        <v>399.2015968063788</v>
      </c>
      <c r="D4" s="7">
        <f t="shared" ref="D4:D9" si="1">$F$2/E4</f>
        <v>199600.79840319362</v>
      </c>
      <c r="E4" s="2">
        <v>501</v>
      </c>
      <c r="F4" s="3">
        <v>100000000</v>
      </c>
      <c r="G4" s="5">
        <f>D4/E4</f>
        <v>398.40478723192342</v>
      </c>
      <c r="H4" s="2"/>
      <c r="I4" s="2"/>
      <c r="K4">
        <f t="shared" ref="K4:K9" si="2">B4*100</f>
        <v>100</v>
      </c>
      <c r="L4" s="13">
        <f t="shared" ref="L4:L9" si="3">C4-K4</f>
        <v>299.2015968063788</v>
      </c>
    </row>
    <row r="5" spans="1:12">
      <c r="A5" s="5">
        <f t="shared" si="0"/>
        <v>392.15686274509937</v>
      </c>
      <c r="B5" s="2">
        <v>10</v>
      </c>
      <c r="C5" s="6">
        <f t="shared" ref="C5:C9" si="4">$D$3-D5</f>
        <v>3921.5686274509935</v>
      </c>
      <c r="D5" s="7">
        <f t="shared" si="1"/>
        <v>196078.43137254901</v>
      </c>
      <c r="E5" s="2">
        <v>510</v>
      </c>
      <c r="F5" s="3">
        <v>100000000</v>
      </c>
      <c r="G5" s="5">
        <f t="shared" ref="G5:G9" si="5">D5/E5</f>
        <v>384.46751249519411</v>
      </c>
      <c r="H5" s="2"/>
      <c r="I5" s="2"/>
      <c r="K5">
        <f t="shared" si="2"/>
        <v>1000</v>
      </c>
      <c r="L5" s="13">
        <f t="shared" si="3"/>
        <v>2921.5686274509935</v>
      </c>
    </row>
    <row r="6" spans="1:12">
      <c r="A6" s="5">
        <f t="shared" si="0"/>
        <v>333.33333333333343</v>
      </c>
      <c r="B6" s="2">
        <v>100</v>
      </c>
      <c r="C6" s="6">
        <f t="shared" si="4"/>
        <v>33333.333333333343</v>
      </c>
      <c r="D6" s="7">
        <f t="shared" si="1"/>
        <v>166666.66666666666</v>
      </c>
      <c r="E6" s="2">
        <v>600</v>
      </c>
      <c r="F6" s="3">
        <v>100000000</v>
      </c>
      <c r="G6" s="5">
        <f t="shared" si="5"/>
        <v>277.77777777777777</v>
      </c>
      <c r="H6" s="2"/>
      <c r="I6" s="2"/>
      <c r="K6">
        <f t="shared" si="2"/>
        <v>10000</v>
      </c>
      <c r="L6" s="13">
        <f t="shared" si="3"/>
        <v>23333.333333333343</v>
      </c>
    </row>
    <row r="7" spans="1:12">
      <c r="A7" s="5">
        <f t="shared" si="0"/>
        <v>285.71428571428567</v>
      </c>
      <c r="B7" s="2">
        <v>200</v>
      </c>
      <c r="C7" s="6">
        <f t="shared" si="4"/>
        <v>57142.85714285713</v>
      </c>
      <c r="D7" s="7">
        <f t="shared" si="1"/>
        <v>142857.14285714287</v>
      </c>
      <c r="E7" s="2">
        <v>700</v>
      </c>
      <c r="F7" s="3">
        <v>100000000</v>
      </c>
      <c r="G7" s="5">
        <f t="shared" si="5"/>
        <v>204.08163265306123</v>
      </c>
      <c r="H7" s="2"/>
      <c r="I7" s="2"/>
      <c r="K7">
        <f t="shared" si="2"/>
        <v>20000</v>
      </c>
      <c r="L7" s="13">
        <f t="shared" si="3"/>
        <v>37142.85714285713</v>
      </c>
    </row>
    <row r="8" spans="1:12">
      <c r="A8" s="5">
        <f t="shared" si="0"/>
        <v>200</v>
      </c>
      <c r="B8" s="2">
        <v>500</v>
      </c>
      <c r="C8" s="7">
        <f t="shared" si="4"/>
        <v>100000</v>
      </c>
      <c r="D8" s="7">
        <f t="shared" si="1"/>
        <v>100000</v>
      </c>
      <c r="E8" s="2">
        <v>1000</v>
      </c>
      <c r="F8" s="3">
        <v>100000000</v>
      </c>
      <c r="G8" s="5">
        <f t="shared" si="5"/>
        <v>100</v>
      </c>
      <c r="H8" s="2"/>
      <c r="I8" s="2"/>
      <c r="J8" t="s">
        <v>112</v>
      </c>
      <c r="K8">
        <f t="shared" si="2"/>
        <v>50000</v>
      </c>
      <c r="L8" s="13">
        <f t="shared" si="3"/>
        <v>50000</v>
      </c>
    </row>
    <row r="9" spans="1:12">
      <c r="A9" s="8">
        <f t="shared" si="0"/>
        <v>181.81818181818181</v>
      </c>
      <c r="B9" s="9">
        <v>600</v>
      </c>
      <c r="C9" s="10">
        <f t="shared" si="4"/>
        <v>109090.90909090909</v>
      </c>
      <c r="D9" s="11">
        <f t="shared" si="1"/>
        <v>90909.090909090912</v>
      </c>
      <c r="E9" s="9">
        <v>1100</v>
      </c>
      <c r="F9" s="3">
        <v>100000000</v>
      </c>
      <c r="G9" s="8">
        <f t="shared" si="5"/>
        <v>82.644628099173559</v>
      </c>
      <c r="K9">
        <f t="shared" si="2"/>
        <v>60000</v>
      </c>
      <c r="L9" s="13">
        <f t="shared" si="3"/>
        <v>49090.909090909088</v>
      </c>
    </row>
    <row r="11" spans="1:12">
      <c r="A11" s="49" t="s">
        <v>113</v>
      </c>
      <c r="B11" s="50"/>
      <c r="C11" s="50"/>
      <c r="D11" s="50"/>
      <c r="E11" s="50"/>
      <c r="F11" s="50"/>
      <c r="G11" s="50"/>
      <c r="H11" s="50"/>
      <c r="I11" s="50"/>
    </row>
    <row r="12" spans="1:12">
      <c r="A12" s="50"/>
      <c r="B12" s="50"/>
      <c r="C12" s="50"/>
      <c r="D12" s="50"/>
      <c r="E12" s="50"/>
      <c r="F12" s="50"/>
      <c r="G12" s="50"/>
      <c r="H12" s="50"/>
      <c r="I12" s="50"/>
    </row>
    <row r="13" spans="1:12">
      <c r="A13" s="50"/>
      <c r="B13" s="50"/>
      <c r="C13" s="50"/>
      <c r="D13" s="50"/>
      <c r="E13" s="50"/>
      <c r="F13" s="50"/>
      <c r="G13" s="50"/>
      <c r="H13" s="50"/>
      <c r="I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</row>
    <row r="17" spans="1:9">
      <c r="A17" s="50"/>
      <c r="B17" s="50"/>
      <c r="C17" s="50"/>
      <c r="D17" s="50"/>
      <c r="E17" s="50"/>
      <c r="F17" s="50"/>
      <c r="G17" s="50"/>
      <c r="H17" s="50"/>
      <c r="I17" s="50"/>
    </row>
    <row r="18" spans="1:9">
      <c r="A18" s="50"/>
      <c r="B18" s="50"/>
      <c r="C18" s="50"/>
      <c r="D18" s="50"/>
      <c r="E18" s="50"/>
      <c r="F18" s="50"/>
      <c r="G18" s="50"/>
      <c r="H18" s="50"/>
      <c r="I18" s="50"/>
    </row>
    <row r="19" spans="1:9">
      <c r="A19" s="50"/>
      <c r="B19" s="50"/>
      <c r="C19" s="50"/>
      <c r="D19" s="50"/>
      <c r="E19" s="50"/>
      <c r="F19" s="50"/>
      <c r="G19" s="50"/>
      <c r="H19" s="50"/>
      <c r="I19" s="50"/>
    </row>
    <row r="20" spans="1:9">
      <c r="A20" s="50"/>
      <c r="B20" s="50"/>
      <c r="C20" s="50"/>
      <c r="D20" s="50"/>
      <c r="E20" s="50"/>
      <c r="F20" s="50"/>
      <c r="G20" s="50"/>
      <c r="H20" s="50"/>
      <c r="I20" s="50"/>
    </row>
    <row r="21" spans="1:9">
      <c r="A21" s="50"/>
      <c r="B21" s="50"/>
      <c r="C21" s="50"/>
      <c r="D21" s="50"/>
      <c r="E21" s="50"/>
      <c r="F21" s="50"/>
      <c r="G21" s="50"/>
      <c r="H21" s="50"/>
      <c r="I21" s="50"/>
    </row>
    <row r="22" spans="1:9">
      <c r="A22" s="50"/>
      <c r="B22" s="50"/>
      <c r="C22" s="50"/>
      <c r="D22" s="50"/>
      <c r="E22" s="50"/>
      <c r="F22" s="50"/>
      <c r="G22" s="50"/>
      <c r="H22" s="50"/>
      <c r="I22" s="50"/>
    </row>
    <row r="23" spans="1:9">
      <c r="A23" s="50"/>
      <c r="B23" s="50"/>
      <c r="C23" s="50"/>
      <c r="D23" s="50"/>
      <c r="E23" s="50"/>
      <c r="F23" s="50"/>
      <c r="G23" s="50"/>
      <c r="H23" s="50"/>
      <c r="I23" s="50"/>
    </row>
  </sheetData>
  <mergeCells count="1">
    <mergeCell ref="A11:I23"/>
  </mergeCells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tabSelected="1" workbookViewId="0">
      <selection activeCell="E17" sqref="E17"/>
    </sheetView>
  </sheetViews>
  <sheetFormatPr defaultColWidth="9" defaultRowHeight="14.25"/>
  <cols>
    <col min="2" max="2" width="19.25" customWidth="1"/>
  </cols>
  <sheetData>
    <row r="1" spans="1:2">
      <c r="A1" t="s">
        <v>114</v>
      </c>
    </row>
    <row r="2" spans="1:2">
      <c r="A2">
        <v>1</v>
      </c>
      <c r="B2" t="s">
        <v>115</v>
      </c>
    </row>
    <row r="3" spans="1:2">
      <c r="A3">
        <v>2</v>
      </c>
      <c r="B3" t="s">
        <v>116</v>
      </c>
    </row>
    <row r="5" spans="1:2">
      <c r="A5" t="s">
        <v>117</v>
      </c>
    </row>
    <row r="7" spans="1:2">
      <c r="A7">
        <v>1</v>
      </c>
      <c r="B7" t="s">
        <v>118</v>
      </c>
    </row>
    <row r="8" spans="1:2">
      <c r="A8">
        <v>2</v>
      </c>
      <c r="B8" t="s">
        <v>119</v>
      </c>
    </row>
    <row r="9" spans="1:2">
      <c r="A9">
        <v>3</v>
      </c>
      <c r="B9" t="s">
        <v>120</v>
      </c>
    </row>
    <row r="10" spans="1:2">
      <c r="A10">
        <v>4</v>
      </c>
      <c r="B10" t="s">
        <v>121</v>
      </c>
    </row>
    <row r="11" spans="1:2">
      <c r="A11">
        <v>5</v>
      </c>
      <c r="B11" t="s">
        <v>122</v>
      </c>
    </row>
    <row r="12" spans="1:2">
      <c r="A12">
        <v>6</v>
      </c>
      <c r="B12" t="s">
        <v>123</v>
      </c>
    </row>
    <row r="13" spans="1:2">
      <c r="A13">
        <v>7</v>
      </c>
      <c r="B13" t="s">
        <v>124</v>
      </c>
    </row>
    <row r="14" spans="1:2">
      <c r="A14">
        <v>8</v>
      </c>
      <c r="B14" t="s">
        <v>125</v>
      </c>
    </row>
    <row r="16" spans="1:2">
      <c r="A16" s="55" t="s">
        <v>126</v>
      </c>
    </row>
    <row r="17" spans="1:2">
      <c r="A17" s="55">
        <v>1</v>
      </c>
      <c r="B17" s="55" t="s">
        <v>127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  <vt:lpstr>合约检测checklist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EDY</cp:lastModifiedBy>
  <dcterms:created xsi:type="dcterms:W3CDTF">2022-08-17T03:23:00Z</dcterms:created>
  <dcterms:modified xsi:type="dcterms:W3CDTF">2023-01-12T05:57:16Z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8PEuhqYRYCGfZ0h9PzSoh9b6/tKWsR5uuFsRNNccLgDC7nZ1tanC7oMLKexdPq9XyPAiF1sI79JjXnxGlQzh3uRJWtld9T4QsevehoAckjBzI8Bc/wXPL2OUWQBIhQOdE4EqCVbvK99BKR6LWym1o6HSsZHBXZ0hD2Wn8tc6t2nsZck3pbZepoz6rgFkuugVbR6WUSSq/Ah7Bpn/AcggVfCMtmQ5brTExKlA03xhNDxR5umTHMf85CMPn1fyI4mIM2DMpdEc4OZ1OLROrBogML68sY/xjxtofCRHTIK7oIz6cQh1UXo7SS7h1gHINfdxR6Kj9+QQjMHUTrRMVL+XN1wqBo8ec0f2lmAn3qE5puqhtbCAEsM1ggiySlAjmpJG9ZqRNFnK2NpPGdQ/nAfv5UkH5z7iz7qOlkLT6vdPbm+3uronUejVmFALsZk08waeDz6Lf6q7qNSSpOEW4w34sMBr4fBgCzFbFNARxeSgqDM=</vt:lpwstr>
  </property>
  <property fmtid="{D5CDD505-2E9C-101B-9397-08002B2CF9AE}" pid="3" name="ICV">
    <vt:lpwstr>CF5F10AEAA024ADC8CA0CA60AD4E2D46</vt:lpwstr>
  </property>
  <property fmtid="{D5CDD505-2E9C-101B-9397-08002B2CF9AE}" pid="4" name="KSOProductBuildVer">
    <vt:lpwstr>2052-11.1.0.12763</vt:lpwstr>
  </property>
</Properties>
</file>