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456" firstSheet="2" activeTab="7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  <sheet name="合约检测checklist" sheetId="8" r:id="rId8"/>
  </sheets>
  <calcPr calcId="144525"/>
</workbook>
</file>

<file path=xl/sharedStrings.xml><?xml version="1.0" encoding="utf-8"?>
<sst xmlns="http://schemas.openxmlformats.org/spreadsheetml/2006/main" count="165" uniqueCount="126">
  <si>
    <t>购买ETH数量 （ΔY）</t>
  </si>
  <si>
    <r>
      <rPr>
        <b/>
        <sz val="9.6"/>
        <color rgb="FF555555"/>
        <rFont val="微软雅黑"/>
        <charset val="134"/>
      </rPr>
      <t>单个</t>
    </r>
    <r>
      <rPr>
        <b/>
        <sz val="9.6"/>
        <color rgb="FF555555"/>
        <rFont val="Arial"/>
        <charset val="134"/>
      </rPr>
      <t>ETH</t>
    </r>
    <r>
      <rPr>
        <b/>
        <sz val="9.6"/>
        <color rgb="FF555555"/>
        <rFont val="微软雅黑"/>
        <charset val="134"/>
      </rPr>
      <t>价格</t>
    </r>
    <r>
      <rPr>
        <b/>
        <sz val="9.6"/>
        <color rgb="FF555555"/>
        <rFont val="Arial"/>
        <charset val="134"/>
      </rPr>
      <t xml:space="preserve"> (DAI)</t>
    </r>
    <r>
      <rPr>
        <b/>
        <sz val="9.6"/>
        <color rgb="FF555555"/>
        <rFont val="宋体"/>
        <charset val="134"/>
      </rPr>
      <t>（交易时）</t>
    </r>
  </si>
  <si>
    <t>滑点</t>
  </si>
  <si>
    <t>滑点差值</t>
  </si>
  <si>
    <t>(实际消耗-理论消耗)/理论消耗</t>
  </si>
  <si>
    <t>实际消耗-理论消耗</t>
  </si>
  <si>
    <t>理论消耗</t>
  </si>
  <si>
    <t>购买时消耗的DAI （ΔX）</t>
  </si>
  <si>
    <t>DAI流动量 （x）</t>
  </si>
  <si>
    <t>ETH流动量 （y）</t>
  </si>
  <si>
    <t>常数 （K）</t>
  </si>
  <si>
    <r>
      <rPr>
        <b/>
        <sz val="9.6"/>
        <color rgb="FF555555"/>
        <rFont val="Arial"/>
        <charset val="134"/>
      </rPr>
      <t>x/y(</t>
    </r>
    <r>
      <rPr>
        <b/>
        <sz val="9.6"/>
        <color rgb="FF555555"/>
        <rFont val="宋体"/>
        <charset val="134"/>
      </rPr>
      <t>兑价</t>
    </r>
    <r>
      <rPr>
        <b/>
        <sz val="9.6"/>
        <color rgb="FF555555"/>
        <rFont val="Arial"/>
        <charset val="134"/>
      </rPr>
      <t>)</t>
    </r>
  </si>
  <si>
    <t>alpha （ΔX/x）</t>
  </si>
  <si>
    <t>beta （ΔY/y）</t>
  </si>
  <si>
    <r>
      <rPr>
        <b/>
        <sz val="9.6"/>
        <color rgb="FF555555"/>
        <rFont val="Arial"/>
        <charset val="134"/>
      </rPr>
      <t>alpha</t>
    </r>
    <r>
      <rPr>
        <b/>
        <sz val="9.6"/>
        <color rgb="FF555555"/>
        <rFont val="等线"/>
        <charset val="134"/>
      </rPr>
      <t>和</t>
    </r>
    <r>
      <rPr>
        <b/>
        <sz val="9.6"/>
        <color rgb="FF555555"/>
        <rFont val="Arial"/>
        <charset val="134"/>
      </rPr>
      <t>beta</t>
    </r>
    <r>
      <rPr>
        <b/>
        <sz val="9.6"/>
        <color rgb="FF555555"/>
        <rFont val="等线"/>
        <charset val="134"/>
      </rPr>
      <t>中</t>
    </r>
    <r>
      <rPr>
        <b/>
        <sz val="9.6"/>
        <color rgb="FF555555"/>
        <rFont val="Arial"/>
        <charset val="134"/>
      </rPr>
      <t>x</t>
    </r>
    <r>
      <rPr>
        <b/>
        <sz val="9.6"/>
        <color rgb="FF555555"/>
        <rFont val="等线"/>
        <charset val="134"/>
      </rPr>
      <t>，</t>
    </r>
    <r>
      <rPr>
        <b/>
        <sz val="9.6"/>
        <color rgb="FF555555"/>
        <rFont val="Arial"/>
        <charset val="134"/>
      </rPr>
      <t>y</t>
    </r>
    <r>
      <rPr>
        <b/>
        <sz val="9.6"/>
        <color rgb="FF555555"/>
        <rFont val="等线"/>
        <charset val="134"/>
      </rPr>
      <t>是之前的兑换前的流动量</t>
    </r>
  </si>
  <si>
    <t xml:space="preserve"> 控制输入为整数</t>
  </si>
  <si>
    <t>单个ETH价格 (DAI)</t>
  </si>
  <si>
    <t>(实际产出-理论产出)/理论产出</t>
  </si>
  <si>
    <t>实际产出-理论产出)</t>
  </si>
  <si>
    <t>理论产出</t>
  </si>
  <si>
    <t>x/y</t>
  </si>
  <si>
    <r>
      <rPr>
        <b/>
        <sz val="9.6"/>
        <color rgb="FF555555"/>
        <rFont val="Arial"/>
        <charset val="134"/>
      </rPr>
      <t>alpha</t>
    </r>
    <r>
      <rPr>
        <b/>
        <sz val="9.6"/>
        <color rgb="FF555555"/>
        <rFont val="宋体"/>
        <charset val="134"/>
      </rPr>
      <t>和</t>
    </r>
    <r>
      <rPr>
        <b/>
        <sz val="9.6"/>
        <color rgb="FF555555"/>
        <rFont val="Arial"/>
        <charset val="134"/>
      </rPr>
      <t>beta</t>
    </r>
    <r>
      <rPr>
        <b/>
        <sz val="9.6"/>
        <color rgb="FF555555"/>
        <rFont val="宋体"/>
        <charset val="134"/>
      </rPr>
      <t>中</t>
    </r>
    <r>
      <rPr>
        <b/>
        <sz val="9.6"/>
        <color rgb="FF555555"/>
        <rFont val="Arial"/>
        <charset val="134"/>
      </rPr>
      <t>x</t>
    </r>
    <r>
      <rPr>
        <b/>
        <sz val="9.6"/>
        <color rgb="FF555555"/>
        <rFont val="宋体"/>
        <charset val="134"/>
      </rPr>
      <t>，</t>
    </r>
    <r>
      <rPr>
        <b/>
        <sz val="9.6"/>
        <color rgb="FF555555"/>
        <rFont val="Arial"/>
        <charset val="134"/>
      </rPr>
      <t>y</t>
    </r>
    <r>
      <rPr>
        <b/>
        <sz val="9.6"/>
        <color rgb="FF555555"/>
        <rFont val="宋体"/>
        <charset val="134"/>
      </rPr>
      <t>是之前的兑换前的流动量</t>
    </r>
  </si>
  <si>
    <t>保证金</t>
  </si>
  <si>
    <t>杠杆</t>
  </si>
  <si>
    <t>怎么看</t>
  </si>
  <si>
    <t>t1</t>
  </si>
  <si>
    <t>t2</t>
  </si>
  <si>
    <t xml:space="preserve">收益 </t>
  </si>
  <si>
    <t>收益率</t>
  </si>
  <si>
    <t>x10</t>
  </si>
  <si>
    <t>多</t>
  </si>
  <si>
    <t>空</t>
  </si>
  <si>
    <t>x1</t>
  </si>
  <si>
    <t>impermanant loss的比率与当前价格变化的关系，O列表示资金刚放入流动池的情况，O-&gt;H表示价格上涨时impermanent loss的变化，A&lt;-O表示价格下跌时impermanent loss的变化。</t>
  </si>
  <si>
    <t>A</t>
  </si>
  <si>
    <t>B</t>
  </si>
  <si>
    <t>C</t>
  </si>
  <si>
    <t>D</t>
  </si>
  <si>
    <t>O</t>
  </si>
  <si>
    <t>E</t>
  </si>
  <si>
    <t>F</t>
  </si>
  <si>
    <t>G</t>
  </si>
  <si>
    <t>H</t>
  </si>
  <si>
    <r>
      <rPr>
        <sz val="9.6"/>
        <color rgb="FF555555"/>
        <rFont val="Arial"/>
        <charset val="134"/>
      </rPr>
      <t>ETH</t>
    </r>
    <r>
      <rPr>
        <sz val="9.6"/>
        <color rgb="FF555555"/>
        <rFont val="宋体"/>
        <charset val="134"/>
      </rPr>
      <t>前后价格比</t>
    </r>
  </si>
  <si>
    <t>p1/p0</t>
  </si>
  <si>
    <t>ETH</t>
  </si>
  <si>
    <r>
      <rPr>
        <sz val="9.6"/>
        <color rgb="FF555555"/>
        <rFont val="Arial"/>
        <charset val="134"/>
      </rPr>
      <t>e(ETH</t>
    </r>
    <r>
      <rPr>
        <sz val="9.6"/>
        <color rgb="FF555555"/>
        <rFont val="宋体"/>
        <charset val="134"/>
      </rPr>
      <t>数量</t>
    </r>
    <r>
      <rPr>
        <sz val="9.6"/>
        <color rgb="FF555555"/>
        <rFont val="Arial"/>
        <charset val="134"/>
      </rPr>
      <t>)</t>
    </r>
  </si>
  <si>
    <t>DAI</t>
  </si>
  <si>
    <r>
      <rPr>
        <sz val="9.6"/>
        <color rgb="FF555555"/>
        <rFont val="Arial"/>
        <charset val="134"/>
      </rPr>
      <t>t(DAI</t>
    </r>
    <r>
      <rPr>
        <sz val="9.6"/>
        <color rgb="FF555555"/>
        <rFont val="宋体"/>
        <charset val="134"/>
      </rPr>
      <t>数量</t>
    </r>
    <r>
      <rPr>
        <sz val="9.6"/>
        <color rgb="FF555555"/>
        <rFont val="Arial"/>
        <charset val="134"/>
      </rPr>
      <t>)</t>
    </r>
  </si>
  <si>
    <t>k</t>
  </si>
  <si>
    <t>p(DAI/ETH)</t>
  </si>
  <si>
    <r>
      <rPr>
        <sz val="9.6"/>
        <color rgb="FF555555"/>
        <rFont val="Arial"/>
        <charset val="134"/>
      </rPr>
      <t>DAI</t>
    </r>
    <r>
      <rPr>
        <sz val="9.6"/>
        <color rgb="FF555555"/>
        <rFont val="宋体"/>
        <charset val="134"/>
      </rPr>
      <t>结算</t>
    </r>
  </si>
  <si>
    <r>
      <rPr>
        <sz val="9.6"/>
        <color rgb="FF555555"/>
        <rFont val="Arial"/>
        <charset val="134"/>
      </rPr>
      <t>v0(hold</t>
    </r>
    <r>
      <rPr>
        <sz val="9.6"/>
        <color rgb="FF555555"/>
        <rFont val="宋体"/>
        <charset val="134"/>
      </rPr>
      <t>时资金</t>
    </r>
    <r>
      <rPr>
        <sz val="9.6"/>
        <color rgb="FF555555"/>
        <rFont val="Arial"/>
        <charset val="134"/>
      </rPr>
      <t>)</t>
    </r>
  </si>
  <si>
    <t>DAI结算</t>
  </si>
  <si>
    <r>
      <rPr>
        <sz val="9.6"/>
        <color rgb="FF555555"/>
        <rFont val="Arial"/>
        <charset val="134"/>
      </rPr>
      <t>v1(</t>
    </r>
    <r>
      <rPr>
        <sz val="9.6"/>
        <color rgb="FF555555"/>
        <rFont val="宋体"/>
        <charset val="134"/>
      </rPr>
      <t>放入流动池后的资金</t>
    </r>
    <r>
      <rPr>
        <sz val="9.6"/>
        <color rgb="FF555555"/>
        <rFont val="Arial"/>
        <charset val="134"/>
      </rPr>
      <t>)</t>
    </r>
  </si>
  <si>
    <t>impermanent loss</t>
  </si>
  <si>
    <t>L(v1/v0)</t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</si>
  <si>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</si>
  <si>
    <t>总资产（DAI计价）v1</t>
  </si>
  <si>
    <t>总资产（DAI计价）原来v0</t>
  </si>
  <si>
    <t>利差</t>
  </si>
  <si>
    <t>v1/v0</t>
  </si>
  <si>
    <r>
      <rPr>
        <b/>
        <sz val="9.6"/>
        <color rgb="FF555555"/>
        <rFont val="微软雅黑"/>
        <charset val="134"/>
      </rPr>
      <t>购买时消耗的</t>
    </r>
    <r>
      <rPr>
        <b/>
        <sz val="9.6"/>
        <color rgb="FF555555"/>
        <rFont val="Arial"/>
        <charset val="134"/>
      </rPr>
      <t xml:space="preserve">DAI </t>
    </r>
    <r>
      <rPr>
        <b/>
        <sz val="9.6"/>
        <color rgb="FF555555"/>
        <rFont val="微软雅黑"/>
        <charset val="134"/>
      </rPr>
      <t>（</t>
    </r>
    <r>
      <rPr>
        <b/>
        <sz val="9.6"/>
        <color rgb="FF555555"/>
        <rFont val="Arial"/>
        <charset val="134"/>
      </rPr>
      <t>ΔX</t>
    </r>
    <r>
      <rPr>
        <b/>
        <sz val="9.6"/>
        <color rgb="FF555555"/>
        <rFont val="微软雅黑"/>
        <charset val="134"/>
      </rPr>
      <t>）</t>
    </r>
  </si>
  <si>
    <r>
      <rPr>
        <b/>
        <sz val="9.6"/>
        <color rgb="FF555555"/>
        <rFont val="宋体"/>
        <charset val="134"/>
      </rPr>
      <t>购买时计价的</t>
    </r>
    <r>
      <rPr>
        <b/>
        <sz val="9.6"/>
        <color rgb="FF555555"/>
        <rFont val="Arial"/>
        <charset val="134"/>
      </rPr>
      <t xml:space="preserve">DAI </t>
    </r>
    <r>
      <rPr>
        <b/>
        <sz val="9.6"/>
        <color rgb="FF555555"/>
        <rFont val="宋体"/>
        <charset val="134"/>
      </rPr>
      <t>（</t>
    </r>
    <r>
      <rPr>
        <b/>
        <sz val="9.6"/>
        <color rgb="FF555555"/>
        <rFont val="Calibri"/>
        <charset val="161"/>
      </rPr>
      <t>Δ</t>
    </r>
    <r>
      <rPr>
        <b/>
        <sz val="9.6"/>
        <color rgb="FF555555"/>
        <rFont val="Arial"/>
        <charset val="134"/>
      </rPr>
      <t>X2</t>
    </r>
    <r>
      <rPr>
        <b/>
        <sz val="9.6"/>
        <color rgb="FF555555"/>
        <rFont val="宋体"/>
        <charset val="134"/>
      </rPr>
      <t>）</t>
    </r>
  </si>
  <si>
    <r>
      <rPr>
        <b/>
        <sz val="9.6"/>
        <color rgb="FF555555"/>
        <rFont val="Arial"/>
        <charset val="134"/>
      </rPr>
      <t>DAI</t>
    </r>
    <r>
      <rPr>
        <b/>
        <sz val="9.6"/>
        <color rgb="FF555555"/>
        <rFont val="宋体"/>
        <charset val="134"/>
      </rPr>
      <t>计价流动量</t>
    </r>
    <r>
      <rPr>
        <b/>
        <sz val="9.6"/>
        <color rgb="FF555555"/>
        <rFont val="Arial"/>
        <charset val="134"/>
      </rPr>
      <t xml:space="preserve"> </t>
    </r>
    <r>
      <rPr>
        <b/>
        <sz val="9.6"/>
        <color rgb="FF555555"/>
        <rFont val="宋体"/>
        <charset val="134"/>
      </rPr>
      <t>（</t>
    </r>
    <r>
      <rPr>
        <b/>
        <sz val="9.6"/>
        <color rgb="FF555555"/>
        <rFont val="Arial"/>
        <charset val="134"/>
      </rPr>
      <t>x2</t>
    </r>
    <r>
      <rPr>
        <b/>
        <sz val="9.6"/>
        <color rgb="FF555555"/>
        <rFont val="宋体"/>
        <charset val="134"/>
      </rPr>
      <t>）</t>
    </r>
  </si>
  <si>
    <r>
      <rPr>
        <b/>
        <sz val="9.6"/>
        <color rgb="FF555555"/>
        <rFont val="Arial"/>
        <charset val="134"/>
      </rPr>
      <t>DAI</t>
    </r>
    <r>
      <rPr>
        <b/>
        <sz val="9.6"/>
        <color rgb="FF555555"/>
        <rFont val="微软雅黑"/>
        <charset val="134"/>
      </rPr>
      <t>流动量</t>
    </r>
    <r>
      <rPr>
        <b/>
        <sz val="9.6"/>
        <color rgb="FF555555"/>
        <rFont val="Arial"/>
        <charset val="134"/>
      </rPr>
      <t xml:space="preserve"> </t>
    </r>
    <r>
      <rPr>
        <b/>
        <sz val="9.6"/>
        <color rgb="FF555555"/>
        <rFont val="微软雅黑"/>
        <charset val="134"/>
      </rPr>
      <t>（</t>
    </r>
    <r>
      <rPr>
        <b/>
        <sz val="9.6"/>
        <color rgb="FF555555"/>
        <rFont val="Arial"/>
        <charset val="134"/>
      </rPr>
      <t>x</t>
    </r>
    <r>
      <rPr>
        <b/>
        <sz val="9.6"/>
        <color rgb="FF555555"/>
        <rFont val="微软雅黑"/>
        <charset val="134"/>
      </rPr>
      <t>）</t>
    </r>
  </si>
  <si>
    <r>
      <rPr>
        <b/>
        <sz val="9.6"/>
        <color rgb="FF555555"/>
        <rFont val="宋体"/>
        <charset val="134"/>
      </rPr>
      <t>计算</t>
    </r>
    <r>
      <rPr>
        <b/>
        <sz val="9.6"/>
        <color rgb="FF555555"/>
        <rFont val="Arial"/>
        <charset val="134"/>
      </rPr>
      <t>k</t>
    </r>
  </si>
  <si>
    <t>50%的手续费</t>
  </si>
  <si>
    <t>x</t>
  </si>
  <si>
    <t>y</t>
  </si>
  <si>
    <t>y1</t>
  </si>
  <si>
    <t>L1</t>
  </si>
  <si>
    <t>L2</t>
  </si>
  <si>
    <t>fee=L2-L2</t>
  </si>
  <si>
    <t>流动性的百分比</t>
  </si>
  <si>
    <t>x^（x的增量）</t>
  </si>
  <si>
    <t>y^（y的增量）</t>
  </si>
  <si>
    <t>x^+y^</t>
  </si>
  <si>
    <t>流动性的百分比(fee/L2)</t>
  </si>
  <si>
    <t>x^</t>
  </si>
  <si>
    <t>y^</t>
  </si>
  <si>
    <t>L(t)</t>
  </si>
  <si>
    <t>s</t>
  </si>
  <si>
    <t>p[user]</t>
  </si>
  <si>
    <t>t=7</t>
  </si>
  <si>
    <t>t=9</t>
  </si>
  <si>
    <t>s+=R/100*(9-7)</t>
  </si>
  <si>
    <t>t=12</t>
  </si>
  <si>
    <t>s+=R/200*(12-9)</t>
  </si>
  <si>
    <t>t=14</t>
  </si>
  <si>
    <t>s+=R/300(14-12)</t>
  </si>
  <si>
    <t>t=18</t>
  </si>
  <si>
    <t>s+=R/100*(18-14)</t>
  </si>
  <si>
    <t>因为在t=12时小黄的代币数量变化了，所以要计算出变化前的收益。并且更新p[小黄]为s=R/100*(9-7)+R/200*(12-9)</t>
  </si>
  <si>
    <t>小黄</t>
  </si>
  <si>
    <t>reward=(R/100*(9-7)+R/200*(12-9)-p[user])*100=3.5R</t>
  </si>
  <si>
    <t>p[user]取0</t>
  </si>
  <si>
    <t>reward=(R/300(14-12)+R/200*(12-9)+R/100*(9-7)-p[user])*200+reward=4.83R（4+5/6）</t>
  </si>
  <si>
    <t>p[user]取R/100*(9-7)+R/200*(12-9)</t>
  </si>
  <si>
    <t>大熊</t>
  </si>
  <si>
    <t>reward=(R/100*(18-14)+R/300(14-12)+R/200*(12-9)+R/100*(9-7)-p[user])*100=6.17R(6+1/6)</t>
  </si>
  <si>
    <t>p[user]取R/100*(9-7)</t>
  </si>
  <si>
    <t>单个ETH价格 (DAI)（交易时）</t>
  </si>
  <si>
    <r>
      <rPr>
        <b/>
        <sz val="9.6"/>
        <color rgb="FF555555"/>
        <rFont val="等线"/>
        <charset val="134"/>
      </rPr>
      <t>输入的</t>
    </r>
    <r>
      <rPr>
        <b/>
        <sz val="9.6"/>
        <color rgb="FF555555"/>
        <rFont val="Arial"/>
        <charset val="134"/>
      </rPr>
      <t xml:space="preserve">ETH </t>
    </r>
    <r>
      <rPr>
        <b/>
        <sz val="9.6"/>
        <color rgb="FF555555"/>
        <rFont val="等线"/>
        <charset val="134"/>
      </rPr>
      <t>（</t>
    </r>
    <r>
      <rPr>
        <b/>
        <sz val="9.6"/>
        <color rgb="FF555555"/>
        <rFont val="Calibri"/>
        <charset val="161"/>
      </rPr>
      <t>Δ</t>
    </r>
    <r>
      <rPr>
        <b/>
        <sz val="9.6"/>
        <color rgb="FF555555"/>
        <rFont val="Arial"/>
        <charset val="134"/>
      </rPr>
      <t>y</t>
    </r>
    <r>
      <rPr>
        <b/>
        <sz val="9.6"/>
        <color rgb="FF555555"/>
        <rFont val="等线"/>
        <charset val="134"/>
      </rPr>
      <t>）</t>
    </r>
  </si>
  <si>
    <r>
      <rPr>
        <b/>
        <sz val="9.6"/>
        <color rgb="FF555555"/>
        <rFont val="微软雅黑"/>
        <charset val="134"/>
      </rPr>
      <t>输出的</t>
    </r>
    <r>
      <rPr>
        <b/>
        <sz val="9.6"/>
        <color rgb="FF555555"/>
        <rFont val="Arial"/>
        <charset val="134"/>
      </rPr>
      <t xml:space="preserve">DAI </t>
    </r>
    <r>
      <rPr>
        <b/>
        <sz val="9.6"/>
        <color rgb="FF555555"/>
        <rFont val="微软雅黑"/>
        <charset val="134"/>
      </rPr>
      <t>（</t>
    </r>
    <r>
      <rPr>
        <b/>
        <sz val="9.6"/>
        <color rgb="FF555555"/>
        <rFont val="Arial"/>
        <charset val="134"/>
      </rPr>
      <t>ΔX</t>
    </r>
    <r>
      <rPr>
        <b/>
        <sz val="9.6"/>
        <color rgb="FF555555"/>
        <rFont val="微软雅黑"/>
        <charset val="134"/>
      </rPr>
      <t>）</t>
    </r>
  </si>
  <si>
    <t>x/y(兑价)</t>
  </si>
  <si>
    <r>
      <rPr>
        <b/>
        <sz val="9.6"/>
        <color rgb="FF555555"/>
        <rFont val="等线"/>
        <charset val="134"/>
      </rPr>
      <t>投入</t>
    </r>
  </si>
  <si>
    <r>
      <rPr>
        <b/>
        <sz val="9.6"/>
        <color rgb="FF555555"/>
        <rFont val="等线"/>
        <charset val="134"/>
      </rPr>
      <t>成本</t>
    </r>
    <r>
      <rPr>
        <b/>
        <sz val="9.6"/>
        <color rgb="FF555555"/>
        <rFont val="宋体"/>
        <charset val="134"/>
      </rPr>
      <t>（</t>
    </r>
    <r>
      <rPr>
        <b/>
        <sz val="9.6"/>
        <color rgb="FF555555"/>
        <rFont val="Arial"/>
        <charset val="134"/>
      </rPr>
      <t>DAI</t>
    </r>
    <r>
      <rPr>
        <b/>
        <sz val="9.6"/>
        <color rgb="FF555555"/>
        <rFont val="宋体"/>
        <charset val="134"/>
      </rPr>
      <t>）</t>
    </r>
  </si>
  <si>
    <t>利润</t>
  </si>
  <si>
    <t>原正常价格</t>
  </si>
  <si>
    <t>拉升ETH价格</t>
  </si>
  <si>
    <t>100,000DAI</t>
  </si>
  <si>
    <t>500ETH兑换100,000DAI</t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</si>
  <si>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</si>
  <si>
    <t>通用问题</t>
  </si>
  <si>
    <t>发币集中</t>
  </si>
  <si>
    <t>重要操作事件打印</t>
  </si>
  <si>
    <t>2022.11.22新增</t>
  </si>
  <si>
    <t>随机数</t>
  </si>
  <si>
    <t>代码逻辑</t>
  </si>
  <si>
    <t>冗余代码</t>
  </si>
  <si>
    <t>函数命名规范</t>
  </si>
  <si>
    <t>代币发售定价过高</t>
  </si>
  <si>
    <t>本地版本编译错误（一般是有用测试框架的）</t>
  </si>
  <si>
    <t>多余代币或者平台币锁在合约无法取出</t>
  </si>
  <si>
    <t>代码使用问题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</si>
</sst>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  <numFmt numFmtId="178" formatCode="_ * #,##0.00_ ;_ * \-#,##0.00_ ;_ * &quot;-&quot;_ ;_ @_ "/>
    <numFmt numFmtId="179" formatCode="0.0000%"/>
    <numFmt numFmtId="180" formatCode="0.000%"/>
    <numFmt numFmtId="181" formatCode="0.00_ "/>
    <numFmt numFmtId="182" formatCode="0.000_ "/>
    <numFmt numFmtId="183" formatCode="0.0000_ "/>
    <numFmt numFmtId="184" formatCode="_ * #,##0.0000_ ;_ * \-#,##0.0000_ ;_ * &quot;-&quot;????_ ;_ @_ "/>
    <numFmt numFmtId="185" formatCode="_ * #,##0_ ;_ * \-#,##0_ ;_ * &quot;-&quot;????_ ;_ @_ "/>
  </numFmts>
  <fonts count="33">
    <font>
      <sz val="11"/>
      <color theme="1"/>
      <name val="等线"/>
      <charset val="134"/>
      <scheme val="minor"/>
    </font>
    <font>
      <b/>
      <sz val="9.6"/>
      <color rgb="FF555555"/>
      <name val="Arial"/>
      <charset val="134"/>
    </font>
    <font>
      <sz val="9.6"/>
      <color rgb="FF555555"/>
      <name val="Arial"/>
      <charset val="134"/>
    </font>
    <font>
      <sz val="14"/>
      <color rgb="FF333333"/>
      <name val="MJXc-TeX-math-I"/>
      <charset val="134"/>
    </font>
    <font>
      <sz val="12"/>
      <color rgb="FF4D4D4D"/>
      <name val="Arial"/>
      <charset val="134"/>
    </font>
    <font>
      <b/>
      <sz val="9.6"/>
      <color rgb="FF555555"/>
      <name val="宋体"/>
      <charset val="134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sz val="9.6"/>
      <color rgb="FF555555"/>
      <name val="宋体"/>
      <charset val="134"/>
    </font>
    <font>
      <sz val="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.6"/>
      <color rgb="FF555555"/>
      <name val="等线"/>
      <charset val="134"/>
    </font>
    <font>
      <b/>
      <sz val="9.6"/>
      <color rgb="FF555555"/>
      <name val="Calibri"/>
      <charset val="161"/>
    </font>
    <font>
      <b/>
      <sz val="9.6"/>
      <color rgb="FF555555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41" fontId="2" fillId="2" borderId="1" xfId="5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43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Fill="1" applyBorder="1">
      <alignment vertical="center"/>
    </xf>
    <xf numFmtId="41" fontId="0" fillId="0" borderId="2" xfId="0" applyNumberFormat="1" applyFill="1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left" vertical="top"/>
    </xf>
    <xf numFmtId="180" fontId="0" fillId="0" borderId="0" xfId="11" applyNumberFormat="1" applyFont="1">
      <alignment vertical="center"/>
    </xf>
    <xf numFmtId="181" fontId="0" fillId="0" borderId="0" xfId="11" applyNumberFormat="1" applyFont="1">
      <alignment vertical="center"/>
    </xf>
    <xf numFmtId="182" fontId="0" fillId="0" borderId="0" xfId="11" applyNumberFormat="1" applyFont="1">
      <alignment vertical="center"/>
    </xf>
    <xf numFmtId="179" fontId="0" fillId="0" borderId="0" xfId="11" applyNumberFormat="1" applyFont="1">
      <alignment vertical="center"/>
    </xf>
    <xf numFmtId="183" fontId="0" fillId="0" borderId="0" xfId="11" applyNumberFormat="1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6" fillId="4" borderId="1" xfId="40" applyNumberFormat="1" applyBorder="1" applyAlignment="1">
      <alignment horizontal="center" vertical="center" wrapText="1"/>
    </xf>
    <xf numFmtId="184" fontId="6" fillId="4" borderId="1" xfId="40" applyNumberFormat="1" applyBorder="1" applyAlignment="1">
      <alignment horizontal="center" vertical="center" wrapText="1"/>
    </xf>
    <xf numFmtId="176" fontId="2" fillId="2" borderId="1" xfId="8" applyNumberFormat="1" applyFont="1" applyFill="1" applyBorder="1" applyAlignment="1">
      <alignment vertical="center" wrapText="1"/>
    </xf>
    <xf numFmtId="184" fontId="2" fillId="2" borderId="1" xfId="8" applyNumberFormat="1" applyFont="1" applyFill="1" applyBorder="1" applyAlignment="1">
      <alignment vertical="center" wrapText="1"/>
    </xf>
    <xf numFmtId="10" fontId="2" fillId="2" borderId="1" xfId="11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10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2" fillId="2" borderId="0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43" fontId="0" fillId="0" borderId="0" xfId="8" applyFont="1">
      <alignment vertical="center"/>
    </xf>
    <xf numFmtId="184" fontId="0" fillId="0" borderId="0" xfId="8" applyNumberFormat="1" applyFont="1">
      <alignment vertical="center"/>
    </xf>
    <xf numFmtId="43" fontId="6" fillId="4" borderId="1" xfId="40" applyNumberFormat="1" applyBorder="1" applyAlignment="1">
      <alignment horizontal="center" vertical="center" wrapText="1"/>
    </xf>
    <xf numFmtId="43" fontId="2" fillId="2" borderId="1" xfId="8" applyFont="1" applyFill="1" applyBorder="1" applyAlignment="1">
      <alignment vertical="center" wrapText="1"/>
    </xf>
    <xf numFmtId="185" fontId="2" fillId="2" borderId="1" xfId="8" applyNumberFormat="1" applyFont="1" applyFill="1" applyBorder="1" applyAlignment="1">
      <alignment vertical="center" wrapText="1"/>
    </xf>
    <xf numFmtId="0" fontId="9" fillId="0" borderId="0" xfId="0" applyFont="1">
      <alignment vertical="center"/>
    </xf>
    <xf numFmtId="43" fontId="5" fillId="2" borderId="1" xfId="8" applyFont="1" applyFill="1" applyBorder="1" applyAlignment="1">
      <alignment horizontal="center" vertical="center" wrapText="1"/>
    </xf>
    <xf numFmtId="184" fontId="5" fillId="2" borderId="1" xfId="8" applyNumberFormat="1" applyFont="1" applyFill="1" applyBorder="1" applyAlignment="1">
      <alignment horizontal="center" vertical="center" wrapText="1"/>
    </xf>
    <xf numFmtId="9" fontId="2" fillId="2" borderId="1" xfId="1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45930" y="1603375"/>
          <a:ext cx="5514975" cy="356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23100" y="312420"/>
          <a:ext cx="8387715" cy="4238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18097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361950"/>
          <a:ext cx="822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54292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6750" y="911860"/>
          <a:ext cx="817245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69290" y="709930"/>
          <a:ext cx="842010" cy="17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zoomScale="130" zoomScaleNormal="130" topLeftCell="B1" workbookViewId="0">
      <selection activeCell="H8" sqref="H8:J8"/>
    </sheetView>
  </sheetViews>
  <sheetFormatPr defaultColWidth="9" defaultRowHeight="14.25"/>
  <cols>
    <col min="1" max="2" width="10.875" customWidth="1"/>
    <col min="4" max="4" width="12.375" style="46" customWidth="1"/>
    <col min="5" max="5" width="13.375" style="47" customWidth="1"/>
    <col min="6" max="7" width="14.5" style="47" customWidth="1"/>
    <col min="8" max="8" width="11" customWidth="1"/>
    <col min="9" max="9" width="11.5" customWidth="1"/>
    <col min="10" max="10" width="9.875" customWidth="1"/>
    <col min="13" max="14" width="10.875" customWidth="1"/>
    <col min="16" max="16" width="12.625" customWidth="1"/>
  </cols>
  <sheetData>
    <row r="1" ht="42.75" spans="1:17">
      <c r="A1" s="1" t="s">
        <v>0</v>
      </c>
      <c r="B1" s="1" t="s">
        <v>1</v>
      </c>
      <c r="C1" s="1" t="s">
        <v>2</v>
      </c>
      <c r="D1" s="48" t="s">
        <v>3</v>
      </c>
      <c r="E1" s="34" t="s">
        <v>4</v>
      </c>
      <c r="F1" s="34" t="s">
        <v>5</v>
      </c>
      <c r="G1" s="3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 t="s">
        <v>14</v>
      </c>
      <c r="Q1" s="2"/>
    </row>
    <row r="2" spans="1:17">
      <c r="A2" s="3"/>
      <c r="B2" s="3"/>
      <c r="C2" s="3"/>
      <c r="D2" s="49"/>
      <c r="E2" s="36"/>
      <c r="F2" s="36"/>
      <c r="G2" s="36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</v>
      </c>
      <c r="C3" s="39">
        <v>0.001</v>
      </c>
      <c r="D3" s="49">
        <f t="shared" ref="D3:D10" si="0">H3-A3*100</f>
        <v>0.100100100000006</v>
      </c>
      <c r="E3" s="36">
        <f>(H3-A3*100)/(A3*100)</f>
        <v>0.00100100100000006</v>
      </c>
      <c r="F3" s="36">
        <f>(H3-A3*100)</f>
        <v>0.100100100000006</v>
      </c>
      <c r="G3" s="50">
        <f>A3*100</f>
        <v>100</v>
      </c>
      <c r="H3" s="3">
        <v>100.1001001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0.001001001</v>
      </c>
      <c r="N3" s="3">
        <v>0.001</v>
      </c>
      <c r="O3" s="2"/>
      <c r="P3" s="2"/>
      <c r="Q3" s="2"/>
    </row>
    <row r="4" spans="1:17">
      <c r="A4" s="3">
        <v>10</v>
      </c>
      <c r="B4" s="3">
        <v>101.010101</v>
      </c>
      <c r="C4" s="39">
        <v>0.0101</v>
      </c>
      <c r="D4" s="49">
        <f t="shared" si="0"/>
        <v>10.10101</v>
      </c>
      <c r="E4" s="36">
        <f>(H4-A4*100)/(A4*100)</f>
        <v>0.01010101</v>
      </c>
      <c r="F4" s="36">
        <f t="shared" ref="F4:F10" si="1">(H4-A4*100)</f>
        <v>10.10101</v>
      </c>
      <c r="G4" s="50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0.01010101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39">
        <v>0.0526</v>
      </c>
      <c r="D5" s="49">
        <f t="shared" si="0"/>
        <v>263.157895</v>
      </c>
      <c r="E5" s="36">
        <f>(H5-A5*100)/(A5*100)</f>
        <v>0.0526315790000001</v>
      </c>
      <c r="F5" s="36">
        <f t="shared" si="1"/>
        <v>263.157895</v>
      </c>
      <c r="G5" s="50">
        <f t="shared" si="2"/>
        <v>5000</v>
      </c>
      <c r="H5" s="3">
        <v>5263.157895</v>
      </c>
      <c r="I5" s="3">
        <v>105263.1579</v>
      </c>
      <c r="J5" s="3">
        <v>950</v>
      </c>
      <c r="K5" s="3">
        <v>100000000</v>
      </c>
      <c r="L5" s="3">
        <v>110.8033241</v>
      </c>
      <c r="M5" s="3">
        <v>0.052631579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39">
        <v>0.1111</v>
      </c>
      <c r="D6" s="49">
        <f t="shared" si="0"/>
        <v>1111.11111</v>
      </c>
      <c r="E6" s="36">
        <f t="shared" ref="E6:E10" si="3">(H6-A6*100)/(A6*100)</f>
        <v>0.111111111</v>
      </c>
      <c r="F6" s="36">
        <f t="shared" si="1"/>
        <v>1111.11111</v>
      </c>
      <c r="G6" s="50">
        <f t="shared" si="2"/>
        <v>10000</v>
      </c>
      <c r="H6" s="3">
        <v>11111.11111</v>
      </c>
      <c r="I6" s="3">
        <v>111111.1111</v>
      </c>
      <c r="J6" s="3">
        <v>900</v>
      </c>
      <c r="K6" s="3">
        <v>100000000</v>
      </c>
      <c r="L6" s="3">
        <v>123.4567901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39">
        <v>0.25</v>
      </c>
      <c r="D7" s="49">
        <f t="shared" si="0"/>
        <v>5000</v>
      </c>
      <c r="E7" s="36">
        <f t="shared" si="3"/>
        <v>0.25</v>
      </c>
      <c r="F7" s="50">
        <f t="shared" si="1"/>
        <v>5000</v>
      </c>
      <c r="G7" s="50">
        <f t="shared" si="2"/>
        <v>20000</v>
      </c>
      <c r="H7" s="4">
        <v>25000</v>
      </c>
      <c r="I7" s="4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39">
        <v>1</v>
      </c>
      <c r="D8" s="49">
        <f t="shared" si="0"/>
        <v>50000</v>
      </c>
      <c r="E8" s="36">
        <f t="shared" si="3"/>
        <v>1</v>
      </c>
      <c r="F8" s="50">
        <f t="shared" si="1"/>
        <v>50000</v>
      </c>
      <c r="G8" s="50">
        <f t="shared" si="2"/>
        <v>50000</v>
      </c>
      <c r="H8" s="4">
        <v>100000</v>
      </c>
      <c r="I8" s="4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39">
        <v>4</v>
      </c>
      <c r="D9" s="49">
        <f t="shared" si="0"/>
        <v>320000</v>
      </c>
      <c r="E9" s="36">
        <f t="shared" si="3"/>
        <v>4</v>
      </c>
      <c r="F9" s="50">
        <f t="shared" si="1"/>
        <v>320000</v>
      </c>
      <c r="G9" s="50">
        <f t="shared" si="2"/>
        <v>80000</v>
      </c>
      <c r="H9" s="4">
        <v>400000</v>
      </c>
      <c r="I9" s="4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39">
        <v>999</v>
      </c>
      <c r="D10" s="49">
        <f t="shared" si="0"/>
        <v>99800100</v>
      </c>
      <c r="E10" s="36">
        <f t="shared" si="3"/>
        <v>999</v>
      </c>
      <c r="F10" s="50">
        <f t="shared" si="1"/>
        <v>99800100</v>
      </c>
      <c r="G10" s="50">
        <f t="shared" si="2"/>
        <v>99900</v>
      </c>
      <c r="H10" s="4">
        <v>99900000</v>
      </c>
      <c r="I10" s="4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8:8">
      <c r="H14" s="51" t="s">
        <v>15</v>
      </c>
    </row>
    <row r="15" ht="18" customHeight="1"/>
    <row r="16" ht="49.5" spans="1:17">
      <c r="A16" s="1" t="s">
        <v>0</v>
      </c>
      <c r="B16" s="1" t="s">
        <v>16</v>
      </c>
      <c r="C16" s="1" t="s">
        <v>2</v>
      </c>
      <c r="D16" s="52" t="s">
        <v>3</v>
      </c>
      <c r="E16" s="53" t="s">
        <v>17</v>
      </c>
      <c r="F16" s="53" t="s">
        <v>18</v>
      </c>
      <c r="G16" s="53" t="s">
        <v>19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20</v>
      </c>
      <c r="M16" s="1" t="s">
        <v>12</v>
      </c>
      <c r="N16" s="1" t="s">
        <v>13</v>
      </c>
      <c r="O16" s="2"/>
      <c r="P16" s="1" t="s">
        <v>21</v>
      </c>
      <c r="Q16" s="2"/>
    </row>
    <row r="17" spans="1:17">
      <c r="A17" s="3"/>
      <c r="B17" s="3"/>
      <c r="C17" s="54"/>
      <c r="D17" s="49"/>
      <c r="E17" s="36"/>
      <c r="F17" s="36"/>
      <c r="G17" s="36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0.999000999001055</v>
      </c>
      <c r="B18" s="3">
        <f>H18/A18</f>
        <v>100.099999999994</v>
      </c>
      <c r="C18" s="37">
        <f>E18</f>
        <v>-0.000999000998945121</v>
      </c>
      <c r="D18" s="49">
        <f>H18/100-A18</f>
        <v>0.000999000998945121</v>
      </c>
      <c r="E18" s="36">
        <f t="shared" ref="E18:E25" si="4">(A18-H18/100)/(H18/100)</f>
        <v>-0.000999000998945121</v>
      </c>
      <c r="F18" s="36">
        <f>A18-H18/100</f>
        <v>-0.000999000998945121</v>
      </c>
      <c r="G18" s="50">
        <f>H18/100</f>
        <v>1</v>
      </c>
      <c r="H18" s="3">
        <v>100</v>
      </c>
      <c r="I18" s="3">
        <v>100100</v>
      </c>
      <c r="J18" s="3">
        <f>K18/I18</f>
        <v>999.000999000999</v>
      </c>
      <c r="K18" s="3">
        <v>100000000</v>
      </c>
      <c r="L18" s="3">
        <f>I18/J18</f>
        <v>100.2001</v>
      </c>
      <c r="M18" s="3">
        <f>H18/100000</f>
        <v>0.001</v>
      </c>
      <c r="N18" s="3">
        <f>A18/1000</f>
        <v>0.000999000999001055</v>
      </c>
      <c r="O18" s="2"/>
      <c r="P18" s="2"/>
      <c r="Q18" s="2"/>
    </row>
    <row r="19" spans="1:17">
      <c r="A19" s="3">
        <f t="shared" ref="A19:A25" si="5">1000-J19</f>
        <v>9.90099009900985</v>
      </c>
      <c r="B19" s="3">
        <f t="shared" ref="B19:B25" si="6">H19/A19</f>
        <v>101.000000000001</v>
      </c>
      <c r="C19" s="37">
        <f>E19</f>
        <v>-0.00990099009901542</v>
      </c>
      <c r="D19" s="49">
        <f t="shared" ref="D19:D25" si="7">H19/100-A19</f>
        <v>0.0990099009901542</v>
      </c>
      <c r="E19" s="36">
        <f t="shared" si="4"/>
        <v>-0.00990099009901542</v>
      </c>
      <c r="F19" s="36">
        <f t="shared" ref="F19:F25" si="8">A19-H19/100</f>
        <v>-0.0990099009901542</v>
      </c>
      <c r="G19" s="50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</v>
      </c>
      <c r="K19" s="3">
        <v>100000000</v>
      </c>
      <c r="L19" s="3">
        <f t="shared" ref="L19:L25" si="11">I19/J19</f>
        <v>102.01</v>
      </c>
      <c r="M19" s="3">
        <f t="shared" ref="M19:M25" si="12">H19/100000</f>
        <v>0.01</v>
      </c>
      <c r="N19" s="3">
        <f t="shared" ref="N19:N25" si="13">A19/1000</f>
        <v>0.00990099009900985</v>
      </c>
      <c r="O19" s="2"/>
      <c r="P19" s="2"/>
      <c r="Q19" s="2"/>
    </row>
    <row r="20" spans="1:17">
      <c r="A20" s="3">
        <f t="shared" si="5"/>
        <v>47.6190476190476</v>
      </c>
      <c r="B20" s="3">
        <f t="shared" si="6"/>
        <v>105</v>
      </c>
      <c r="C20" s="37">
        <f t="shared" ref="C20:C25" si="14">E20</f>
        <v>-0.0476190476190482</v>
      </c>
      <c r="D20" s="49">
        <f t="shared" si="7"/>
        <v>2.38095238095241</v>
      </c>
      <c r="E20" s="36">
        <f t="shared" si="4"/>
        <v>-0.0476190476190482</v>
      </c>
      <c r="F20" s="36">
        <f t="shared" si="8"/>
        <v>-2.38095238095241</v>
      </c>
      <c r="G20" s="50">
        <f t="shared" si="9"/>
        <v>50</v>
      </c>
      <c r="H20" s="3">
        <v>5000</v>
      </c>
      <c r="I20" s="3">
        <v>105000</v>
      </c>
      <c r="J20" s="3">
        <f t="shared" si="10"/>
        <v>952.380952380952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0.0476190476190476</v>
      </c>
      <c r="O20" s="2"/>
      <c r="P20" s="2"/>
      <c r="Q20" s="2"/>
    </row>
    <row r="21" spans="1:17">
      <c r="A21" s="3">
        <f t="shared" si="5"/>
        <v>90.9090909090909</v>
      </c>
      <c r="B21" s="3">
        <f t="shared" si="6"/>
        <v>110</v>
      </c>
      <c r="C21" s="37">
        <f t="shared" si="14"/>
        <v>-0.0909090909090912</v>
      </c>
      <c r="D21" s="49">
        <f t="shared" si="7"/>
        <v>9.09090909090912</v>
      </c>
      <c r="E21" s="36">
        <f t="shared" si="4"/>
        <v>-0.0909090909090912</v>
      </c>
      <c r="F21" s="36">
        <f t="shared" si="8"/>
        <v>-9.09090909090912</v>
      </c>
      <c r="G21" s="50">
        <f t="shared" si="9"/>
        <v>100</v>
      </c>
      <c r="H21" s="3">
        <v>10000</v>
      </c>
      <c r="I21" s="3">
        <v>110000</v>
      </c>
      <c r="J21" s="3">
        <f t="shared" si="10"/>
        <v>909.090909090909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0.0909090909090909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37">
        <f t="shared" si="14"/>
        <v>-0.2</v>
      </c>
      <c r="D22" s="49">
        <f t="shared" si="7"/>
        <v>50</v>
      </c>
      <c r="E22" s="36">
        <f t="shared" si="4"/>
        <v>-0.2</v>
      </c>
      <c r="F22" s="50">
        <f t="shared" si="8"/>
        <v>-50</v>
      </c>
      <c r="G22" s="50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37">
        <f t="shared" si="14"/>
        <v>-0.5</v>
      </c>
      <c r="D23" s="49">
        <f t="shared" si="7"/>
        <v>500</v>
      </c>
      <c r="E23" s="36">
        <f t="shared" si="4"/>
        <v>-0.5</v>
      </c>
      <c r="F23" s="50">
        <f t="shared" si="8"/>
        <v>-500</v>
      </c>
      <c r="G23" s="50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37">
        <f t="shared" si="14"/>
        <v>-0.8</v>
      </c>
      <c r="D24" s="49">
        <f t="shared" si="7"/>
        <v>3200</v>
      </c>
      <c r="E24" s="36">
        <f t="shared" si="4"/>
        <v>-0.8</v>
      </c>
      <c r="F24" s="50">
        <f t="shared" si="8"/>
        <v>-3200</v>
      </c>
      <c r="G24" s="50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37">
        <f t="shared" si="14"/>
        <v>-0.999</v>
      </c>
      <c r="D25" s="49">
        <f t="shared" si="7"/>
        <v>998001</v>
      </c>
      <c r="E25" s="36">
        <f t="shared" si="4"/>
        <v>-0.999</v>
      </c>
      <c r="F25" s="50">
        <f t="shared" si="8"/>
        <v>-998001</v>
      </c>
      <c r="G25" s="50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27" zoomScaleNormal="127" workbookViewId="0">
      <selection activeCell="B32" sqref="B32"/>
    </sheetView>
  </sheetViews>
  <sheetFormatPr defaultColWidth="9" defaultRowHeight="14.25" outlineLevelCol="6"/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>
        <v>100</v>
      </c>
      <c r="B2" t="s">
        <v>29</v>
      </c>
      <c r="C2" t="s">
        <v>30</v>
      </c>
      <c r="D2">
        <v>1000</v>
      </c>
      <c r="E2">
        <v>1100</v>
      </c>
      <c r="F2">
        <v>100</v>
      </c>
      <c r="G2" s="45">
        <v>1</v>
      </c>
    </row>
    <row r="3" spans="4:7">
      <c r="D3">
        <v>1000</v>
      </c>
      <c r="E3">
        <v>900</v>
      </c>
      <c r="F3">
        <v>-100</v>
      </c>
      <c r="G3" s="45">
        <v>-1</v>
      </c>
    </row>
    <row r="4" spans="3:7">
      <c r="C4" t="s">
        <v>31</v>
      </c>
      <c r="D4">
        <v>1000</v>
      </c>
      <c r="E4">
        <v>1100</v>
      </c>
      <c r="F4">
        <v>-100</v>
      </c>
      <c r="G4" s="45">
        <v>-1</v>
      </c>
    </row>
    <row r="5" spans="4:7">
      <c r="D5">
        <v>1000</v>
      </c>
      <c r="E5">
        <v>900</v>
      </c>
      <c r="F5">
        <v>100</v>
      </c>
      <c r="G5" s="45">
        <v>1</v>
      </c>
    </row>
    <row r="7" spans="1:7">
      <c r="A7">
        <v>1000</v>
      </c>
      <c r="B7" t="s">
        <v>32</v>
      </c>
      <c r="C7" t="s">
        <v>30</v>
      </c>
      <c r="D7">
        <v>1000</v>
      </c>
      <c r="E7">
        <v>1100</v>
      </c>
      <c r="F7">
        <v>100</v>
      </c>
      <c r="G7" s="45">
        <v>0.1</v>
      </c>
    </row>
    <row r="8" spans="4:7">
      <c r="D8">
        <v>1000</v>
      </c>
      <c r="E8">
        <v>900</v>
      </c>
      <c r="F8">
        <v>-100</v>
      </c>
      <c r="G8" s="45">
        <v>-0.1</v>
      </c>
    </row>
    <row r="9" spans="3:7">
      <c r="C9" t="s">
        <v>31</v>
      </c>
      <c r="D9">
        <v>1000</v>
      </c>
      <c r="E9">
        <v>1100</v>
      </c>
      <c r="F9">
        <v>-100</v>
      </c>
      <c r="G9" s="45">
        <v>-0.1</v>
      </c>
    </row>
    <row r="10" spans="4:7">
      <c r="D10">
        <v>1000</v>
      </c>
      <c r="E10">
        <v>900</v>
      </c>
      <c r="F10">
        <v>100</v>
      </c>
      <c r="G10" s="45">
        <v>0.1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zoomScale="136" zoomScaleNormal="136" workbookViewId="0">
      <selection activeCell="A13" sqref="A13:L18"/>
    </sheetView>
  </sheetViews>
  <sheetFormatPr defaultColWidth="9" defaultRowHeight="14.25"/>
  <cols>
    <col min="1" max="1" width="8.25" customWidth="1"/>
    <col min="8" max="8" width="10.875" customWidth="1"/>
    <col min="12" max="12" width="9" customWidth="1"/>
  </cols>
  <sheetData>
    <row r="1" ht="24.75" customHeight="1" spans="1:12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>
      <c r="A2" s="1"/>
      <c r="B2" s="2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 t="s">
        <v>39</v>
      </c>
      <c r="J2" s="1" t="s">
        <v>40</v>
      </c>
      <c r="K2" s="1" t="s">
        <v>41</v>
      </c>
      <c r="L2" s="1" t="s">
        <v>42</v>
      </c>
    </row>
    <row r="3" ht="24.75" spans="1:12">
      <c r="A3" s="3" t="s">
        <v>43</v>
      </c>
      <c r="B3" s="3" t="s">
        <v>44</v>
      </c>
      <c r="C3" s="39">
        <v>0</v>
      </c>
      <c r="D3" s="39">
        <v>0.25</v>
      </c>
      <c r="E3" s="39">
        <v>0.503</v>
      </c>
      <c r="F3" s="39">
        <v>0.7561</v>
      </c>
      <c r="G3" s="39">
        <v>1</v>
      </c>
      <c r="H3" s="39">
        <f>H7/100</f>
        <v>1.2</v>
      </c>
      <c r="I3" s="39">
        <v>1.5625</v>
      </c>
      <c r="J3" s="39">
        <v>2.0408</v>
      </c>
      <c r="K3" s="39">
        <v>4</v>
      </c>
      <c r="L3" s="39">
        <v>4.9383</v>
      </c>
    </row>
    <row r="4" spans="1:12">
      <c r="A4" s="3" t="s">
        <v>45</v>
      </c>
      <c r="B4" s="3" t="s">
        <v>46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47</v>
      </c>
      <c r="B5" s="3" t="s">
        <v>48</v>
      </c>
      <c r="C5" s="3">
        <v>0.316227732</v>
      </c>
      <c r="D5" s="3">
        <v>5000</v>
      </c>
      <c r="E5" s="3">
        <v>7092.198582</v>
      </c>
      <c r="F5" s="3">
        <v>8695.652174</v>
      </c>
      <c r="G5" s="3">
        <v>10000</v>
      </c>
      <c r="H5" s="3">
        <f>SQRT(H6*H7)</f>
        <v>10954.4511501033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49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40" t="s">
        <v>50</v>
      </c>
      <c r="C7" s="41">
        <v>1e-7</v>
      </c>
      <c r="D7" s="40">
        <v>25</v>
      </c>
      <c r="E7" s="40">
        <v>50.29928072</v>
      </c>
      <c r="F7" s="40">
        <v>75.61436673</v>
      </c>
      <c r="G7" s="40">
        <v>100</v>
      </c>
      <c r="H7" s="40">
        <v>120</v>
      </c>
      <c r="I7" s="40">
        <v>156.25</v>
      </c>
      <c r="J7" s="40">
        <v>204.0816327</v>
      </c>
      <c r="K7" s="40">
        <v>400</v>
      </c>
      <c r="L7" s="40">
        <v>493.8271605</v>
      </c>
    </row>
    <row r="8" ht="25.5" spans="1:12">
      <c r="A8" s="3" t="s">
        <v>51</v>
      </c>
      <c r="B8" s="3" t="s">
        <v>52</v>
      </c>
      <c r="C8" s="3">
        <v>10000.00001</v>
      </c>
      <c r="D8" s="3">
        <v>12500</v>
      </c>
      <c r="E8" s="3">
        <v>15029.92807</v>
      </c>
      <c r="F8" s="3">
        <v>17561.43667</v>
      </c>
      <c r="G8" s="3">
        <v>20000</v>
      </c>
      <c r="H8" s="3">
        <f>100*H7+10000</f>
        <v>22000</v>
      </c>
      <c r="I8" s="3">
        <v>25625</v>
      </c>
      <c r="J8" s="3">
        <v>30408.16327</v>
      </c>
      <c r="K8" s="3">
        <v>50000</v>
      </c>
      <c r="L8" s="3">
        <v>59382.71605</v>
      </c>
    </row>
    <row r="9" ht="37.5" spans="1:12">
      <c r="A9" s="42" t="s">
        <v>53</v>
      </c>
      <c r="B9" s="3" t="s">
        <v>54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</v>
      </c>
      <c r="I9" s="3">
        <v>25000</v>
      </c>
      <c r="J9" s="3">
        <v>28571</v>
      </c>
      <c r="K9" s="3">
        <v>40000</v>
      </c>
      <c r="L9" s="3">
        <v>44444</v>
      </c>
    </row>
    <row r="10" ht="25.5" spans="1:12">
      <c r="A10" s="3" t="s">
        <v>55</v>
      </c>
      <c r="B10" s="3" t="s">
        <v>56</v>
      </c>
      <c r="C10" s="39">
        <v>0.0001</v>
      </c>
      <c r="D10" s="39">
        <v>0.8</v>
      </c>
      <c r="E10" s="39">
        <v>0.9437</v>
      </c>
      <c r="F10" s="39">
        <v>0.9903</v>
      </c>
      <c r="G10" s="39">
        <v>1</v>
      </c>
      <c r="H10" s="39">
        <f>H9/H8</f>
        <v>0.995859195463938</v>
      </c>
      <c r="I10" s="39">
        <v>0.9756</v>
      </c>
      <c r="J10" s="39">
        <v>0.9396</v>
      </c>
      <c r="K10" s="39">
        <v>0.8</v>
      </c>
      <c r="L10" s="39">
        <v>0.7484</v>
      </c>
    </row>
    <row r="11" spans="1:12">
      <c r="A11" s="43"/>
      <c r="B11" s="43"/>
      <c r="C11" s="44">
        <f t="shared" ref="C11:H11" si="0">C9*1.1/C8</f>
        <v>0.00010999999989</v>
      </c>
      <c r="D11" s="44">
        <f t="shared" si="0"/>
        <v>0.88</v>
      </c>
      <c r="E11" s="44">
        <f t="shared" si="0"/>
        <v>1.03808880038107</v>
      </c>
      <c r="F11" s="44">
        <f t="shared" si="0"/>
        <v>1.08932431665342</v>
      </c>
      <c r="G11" s="44">
        <f t="shared" si="0"/>
        <v>1.1</v>
      </c>
      <c r="H11" s="44">
        <f t="shared" si="0"/>
        <v>1.09544511501033</v>
      </c>
      <c r="I11" s="44">
        <f t="shared" ref="I11:L11" si="1">I9*1.1/I8</f>
        <v>1.07317073170732</v>
      </c>
      <c r="J11" s="44">
        <f t="shared" si="1"/>
        <v>1.03354154346462</v>
      </c>
      <c r="K11" s="44">
        <f t="shared" si="1"/>
        <v>0.88</v>
      </c>
      <c r="L11" s="44">
        <f t="shared" si="1"/>
        <v>0.823276590428032</v>
      </c>
    </row>
    <row r="13" spans="1:12">
      <c r="A13" s="12" t="s">
        <v>57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2">
    <mergeCell ref="A1:L1"/>
    <mergeCell ref="A13:L18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zoomScale="115" zoomScaleNormal="115" workbookViewId="0">
      <selection activeCell="B25" sqref="B25"/>
    </sheetView>
  </sheetViews>
  <sheetFormatPr defaultColWidth="9" defaultRowHeight="14.25"/>
  <cols>
    <col min="1" max="1" width="21.25" customWidth="1"/>
    <col min="2" max="3" width="11.375" customWidth="1"/>
    <col min="4" max="4" width="16" style="22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customWidth="1"/>
    <col min="15" max="15" width="11.375" customWidth="1"/>
    <col min="16" max="17" width="10.875" customWidth="1"/>
    <col min="18" max="18" width="9.125" customWidth="1"/>
  </cols>
  <sheetData>
    <row r="1" ht="15" spans="2:2">
      <c r="B1" s="31"/>
    </row>
    <row r="7" ht="62.25" spans="1:21">
      <c r="A7" s="1" t="s">
        <v>0</v>
      </c>
      <c r="B7" s="1" t="s">
        <v>1</v>
      </c>
      <c r="C7" s="32" t="s">
        <v>58</v>
      </c>
      <c r="D7" s="33" t="s">
        <v>59</v>
      </c>
      <c r="E7" s="34" t="s">
        <v>60</v>
      </c>
      <c r="F7" s="34" t="s">
        <v>44</v>
      </c>
      <c r="G7" s="34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9</v>
      </c>
      <c r="M7" s="1" t="s">
        <v>66</v>
      </c>
      <c r="N7" s="1" t="s">
        <v>10</v>
      </c>
      <c r="O7" s="1" t="s">
        <v>11</v>
      </c>
      <c r="P7" s="1"/>
      <c r="Q7" s="1"/>
      <c r="R7" s="1"/>
      <c r="S7" s="1" t="s">
        <v>13</v>
      </c>
      <c r="T7" s="2"/>
      <c r="U7" s="1" t="s">
        <v>21</v>
      </c>
    </row>
    <row r="8" spans="1:21">
      <c r="A8" s="3"/>
      <c r="B8" s="3"/>
      <c r="C8" s="3"/>
      <c r="D8" s="35"/>
      <c r="E8" s="36"/>
      <c r="F8" s="36"/>
      <c r="G8" s="36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5" si="0">$L$8-L9</f>
        <v>1</v>
      </c>
      <c r="B9" s="3">
        <f>H9/A9</f>
        <v>202.020202020201</v>
      </c>
      <c r="C9" s="3">
        <f>O9*L9+K9</f>
        <v>20404.0404040404</v>
      </c>
      <c r="D9" s="35">
        <f>O9*$L$8+$K$8</f>
        <v>20305.0709111315</v>
      </c>
      <c r="E9" s="36">
        <f>C9-D9</f>
        <v>98.9694929088873</v>
      </c>
      <c r="F9" s="37">
        <f>O9/100</f>
        <v>1.03050709111315</v>
      </c>
      <c r="G9" s="37">
        <f>C9/D9</f>
        <v>1.0048741269283</v>
      </c>
      <c r="H9" s="3">
        <f>(J9-$K$8)/$B$25</f>
        <v>202.020202020201</v>
      </c>
      <c r="I9" s="3">
        <f>H9*0.9</f>
        <v>181.818181818181</v>
      </c>
      <c r="J9" s="3">
        <f>N9/L9</f>
        <v>10101.0101010101</v>
      </c>
      <c r="K9" s="3">
        <f>$K$8+H9</f>
        <v>10202.0202020202</v>
      </c>
      <c r="L9" s="3">
        <v>99</v>
      </c>
      <c r="M9" s="3">
        <f>K9*L9</f>
        <v>1010000</v>
      </c>
      <c r="N9" s="3">
        <f>$K$8*$L$8</f>
        <v>1000000</v>
      </c>
      <c r="O9" s="3">
        <f>K9/L9</f>
        <v>103.050709111315</v>
      </c>
      <c r="P9" s="37">
        <f>1-J9/K9</f>
        <v>0.00990099009900991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5" si="1">H10/A10</f>
        <v>210.526315789474</v>
      </c>
      <c r="C10" s="3">
        <f t="shared" ref="C10:C11" si="2">O10*L10+K10</f>
        <v>22105.2631578947</v>
      </c>
      <c r="D10" s="35">
        <f t="shared" ref="D10:D15" si="3">O10*$L$8+$K$8</f>
        <v>21634.3490304709</v>
      </c>
      <c r="E10" s="36">
        <f t="shared" ref="E10:E12" si="4">C10-D10</f>
        <v>470.914127423825</v>
      </c>
      <c r="F10" s="37">
        <f t="shared" ref="F10:F11" si="5">O10/100</f>
        <v>1.16343490304709</v>
      </c>
      <c r="G10" s="37">
        <f t="shared" ref="G10:G11" si="6">C10/D10</f>
        <v>1.02176696542894</v>
      </c>
      <c r="H10" s="3">
        <f t="shared" ref="H10:H18" si="7">(J10-$K$8)/$B$25</f>
        <v>1052.63157894737</v>
      </c>
      <c r="I10" s="3">
        <f t="shared" ref="I10:I11" si="8">H10*0.9</f>
        <v>947.368421052633</v>
      </c>
      <c r="J10" s="3">
        <f t="shared" ref="J10:J11" si="9">N10/L10</f>
        <v>10526.3157894737</v>
      </c>
      <c r="K10" s="3">
        <f t="shared" ref="K10:K15" si="10">$K$8+H10</f>
        <v>11052.6315789474</v>
      </c>
      <c r="L10" s="3">
        <v>95</v>
      </c>
      <c r="M10" s="3">
        <f t="shared" ref="M10:M11" si="11">K10*L10</f>
        <v>1050000</v>
      </c>
      <c r="N10" s="3">
        <f t="shared" ref="N10:N15" si="12">$K$8*$L$8</f>
        <v>1000000</v>
      </c>
      <c r="O10" s="3">
        <f t="shared" ref="O10:O11" si="13">K10/L10</f>
        <v>116.343490304709</v>
      </c>
      <c r="P10" s="37">
        <f t="shared" ref="P10:P11" si="14">1-J10/K10</f>
        <v>0.0476190476190477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</v>
      </c>
      <c r="C11" s="3">
        <f t="shared" si="2"/>
        <v>23478.2608695652</v>
      </c>
      <c r="D11" s="35">
        <f t="shared" si="3"/>
        <v>22759.9243856333</v>
      </c>
      <c r="E11" s="36">
        <f t="shared" si="4"/>
        <v>718.336483931947</v>
      </c>
      <c r="F11" s="37">
        <f t="shared" si="5"/>
        <v>1.27599243856333</v>
      </c>
      <c r="G11" s="37">
        <f t="shared" si="6"/>
        <v>1.03156146179402</v>
      </c>
      <c r="H11" s="3">
        <f t="shared" si="7"/>
        <v>1739.13043478261</v>
      </c>
      <c r="I11" s="3">
        <f t="shared" si="8"/>
        <v>1565.21739130435</v>
      </c>
      <c r="J11" s="3">
        <f t="shared" si="9"/>
        <v>10869.5652173913</v>
      </c>
      <c r="K11" s="3">
        <f t="shared" si="10"/>
        <v>11739.1304347826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127.599243856333</v>
      </c>
      <c r="P11" s="37">
        <f t="shared" si="14"/>
        <v>0.0740740740740741</v>
      </c>
      <c r="Q11" s="3"/>
      <c r="R11" s="3"/>
      <c r="S11" s="3"/>
      <c r="T11" s="2"/>
      <c r="U11" s="2"/>
    </row>
    <row r="12" spans="1:21">
      <c r="A12" s="3">
        <f t="shared" si="0"/>
        <v>10</v>
      </c>
      <c r="B12" s="3">
        <f t="shared" si="1"/>
        <v>222.222222222222</v>
      </c>
      <c r="C12" s="3">
        <f t="shared" ref="C12:C18" si="15">O12*L12+K12</f>
        <v>24444.4444444444</v>
      </c>
      <c r="D12" s="35">
        <f t="shared" si="3"/>
        <v>23580.2469135802</v>
      </c>
      <c r="E12" s="36">
        <f t="shared" si="4"/>
        <v>864.1975308642</v>
      </c>
      <c r="F12" s="37">
        <f t="shared" ref="F12:F18" si="16">O12/100</f>
        <v>1.35802469135802</v>
      </c>
      <c r="G12" s="37">
        <f t="shared" ref="G12:G18" si="17">C12/D12</f>
        <v>1.03664921465969</v>
      </c>
      <c r="H12" s="3">
        <f t="shared" si="7"/>
        <v>2222.22222222222</v>
      </c>
      <c r="I12" s="3">
        <f t="shared" ref="I12:I18" si="18">H12*0.9</f>
        <v>2000</v>
      </c>
      <c r="J12" s="3">
        <f t="shared" ref="J12:J18" si="19">N12/L12</f>
        <v>11111.1111111111</v>
      </c>
      <c r="K12" s="3">
        <f t="shared" si="10"/>
        <v>12222.2222222222</v>
      </c>
      <c r="L12" s="3">
        <v>90</v>
      </c>
      <c r="M12" s="3">
        <f t="shared" ref="M12:M18" si="20">K12*L12</f>
        <v>1100000</v>
      </c>
      <c r="N12" s="3">
        <f t="shared" si="12"/>
        <v>1000000</v>
      </c>
      <c r="O12" s="3">
        <f t="shared" ref="O12:O18" si="21">K12/L12</f>
        <v>135.802469135802</v>
      </c>
      <c r="P12" s="37">
        <f t="shared" ref="P12:P18" si="22">1-J12/K12</f>
        <v>0.0909090909090909</v>
      </c>
      <c r="Q12" s="3"/>
      <c r="R12" s="3"/>
      <c r="S12" s="3"/>
      <c r="T12" s="2"/>
      <c r="U12" s="2"/>
    </row>
    <row r="13" spans="1:21">
      <c r="A13" s="3">
        <f t="shared" si="0"/>
        <v>20</v>
      </c>
      <c r="B13" s="3">
        <f t="shared" si="1"/>
        <v>250</v>
      </c>
      <c r="C13" s="3">
        <f t="shared" si="15"/>
        <v>30000</v>
      </c>
      <c r="D13" s="35">
        <f t="shared" si="3"/>
        <v>28750</v>
      </c>
      <c r="E13" s="36">
        <f t="shared" ref="E13:E18" si="23">C13-D13</f>
        <v>1250</v>
      </c>
      <c r="F13" s="37">
        <f t="shared" si="16"/>
        <v>1.875</v>
      </c>
      <c r="G13" s="37">
        <f t="shared" si="17"/>
        <v>1.04347826086957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 t="shared" si="10"/>
        <v>15000</v>
      </c>
      <c r="L13" s="3">
        <v>80</v>
      </c>
      <c r="M13" s="3">
        <f t="shared" si="20"/>
        <v>1200000</v>
      </c>
      <c r="N13" s="3">
        <f t="shared" si="12"/>
        <v>1000000</v>
      </c>
      <c r="O13" s="3">
        <f t="shared" si="21"/>
        <v>187.5</v>
      </c>
      <c r="P13" s="37">
        <f t="shared" si="22"/>
        <v>0.166666666666667</v>
      </c>
      <c r="Q13" s="3"/>
      <c r="R13" s="3"/>
      <c r="S13" s="3"/>
      <c r="T13" s="2"/>
      <c r="U13" s="2"/>
    </row>
    <row r="14" spans="1:21">
      <c r="A14" s="3">
        <f t="shared" si="0"/>
        <v>30</v>
      </c>
      <c r="B14" s="3">
        <f t="shared" si="1"/>
        <v>285.714285714286</v>
      </c>
      <c r="C14" s="3">
        <f t="shared" si="15"/>
        <v>37142.8571428571</v>
      </c>
      <c r="D14" s="35">
        <f t="shared" si="3"/>
        <v>36530.612244898</v>
      </c>
      <c r="E14" s="36">
        <f t="shared" si="23"/>
        <v>612.244897959186</v>
      </c>
      <c r="F14" s="37">
        <f t="shared" si="16"/>
        <v>2.6530612244898</v>
      </c>
      <c r="G14" s="37">
        <f t="shared" si="17"/>
        <v>1.01675977653631</v>
      </c>
      <c r="H14" s="3">
        <f t="shared" si="7"/>
        <v>8571.42857142857</v>
      </c>
      <c r="I14" s="3">
        <f t="shared" si="18"/>
        <v>7714.28571428572</v>
      </c>
      <c r="J14" s="3">
        <f t="shared" si="19"/>
        <v>14285.7142857143</v>
      </c>
      <c r="K14" s="3">
        <f t="shared" si="10"/>
        <v>18571.4285714286</v>
      </c>
      <c r="L14" s="3">
        <v>70</v>
      </c>
      <c r="M14" s="3">
        <f t="shared" si="20"/>
        <v>1300000</v>
      </c>
      <c r="N14" s="3">
        <f t="shared" si="12"/>
        <v>1000000</v>
      </c>
      <c r="O14" s="3">
        <f t="shared" si="21"/>
        <v>265.30612244898</v>
      </c>
      <c r="P14" s="37">
        <f t="shared" si="22"/>
        <v>0.230769230769231</v>
      </c>
      <c r="Q14" s="3"/>
      <c r="R14" s="3"/>
      <c r="S14" s="3"/>
      <c r="T14" s="2"/>
      <c r="U14" s="2"/>
    </row>
    <row r="15" spans="1:21">
      <c r="A15" s="3">
        <f t="shared" si="0"/>
        <v>50</v>
      </c>
      <c r="B15" s="3">
        <f t="shared" si="1"/>
        <v>400</v>
      </c>
      <c r="C15" s="3">
        <f t="shared" si="15"/>
        <v>60000</v>
      </c>
      <c r="D15" s="35">
        <f t="shared" si="3"/>
        <v>70000</v>
      </c>
      <c r="E15" s="36">
        <f t="shared" si="23"/>
        <v>-10000</v>
      </c>
      <c r="F15" s="37">
        <f t="shared" si="16"/>
        <v>6</v>
      </c>
      <c r="G15" s="37">
        <f t="shared" si="17"/>
        <v>0.857142857142857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 t="shared" si="10"/>
        <v>30000</v>
      </c>
      <c r="L15" s="3">
        <v>50</v>
      </c>
      <c r="M15" s="3">
        <f t="shared" si="20"/>
        <v>1500000</v>
      </c>
      <c r="N15" s="3">
        <f t="shared" si="12"/>
        <v>1000000</v>
      </c>
      <c r="O15" s="3">
        <f t="shared" si="21"/>
        <v>600</v>
      </c>
      <c r="P15" s="37">
        <f t="shared" si="22"/>
        <v>0.333333333333333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</v>
      </c>
      <c r="C16" s="3">
        <f t="shared" si="15"/>
        <v>68888.8888888889</v>
      </c>
      <c r="D16" s="35">
        <f t="shared" ref="D16:D18" si="26">O16*$L$8+$K$8</f>
        <v>86543.2098765432</v>
      </c>
      <c r="E16" s="36">
        <f t="shared" si="23"/>
        <v>-17654.3209876543</v>
      </c>
      <c r="F16" s="37">
        <f t="shared" si="16"/>
        <v>7.65432098765432</v>
      </c>
      <c r="G16" s="37">
        <f t="shared" si="17"/>
        <v>0.796005706134094</v>
      </c>
      <c r="H16" s="3">
        <f t="shared" si="7"/>
        <v>24444.4444444444</v>
      </c>
      <c r="I16" s="3">
        <f t="shared" si="18"/>
        <v>22000</v>
      </c>
      <c r="J16" s="3">
        <f t="shared" si="19"/>
        <v>22222.2222222222</v>
      </c>
      <c r="K16" s="3">
        <f t="shared" ref="K16:K18" si="27">$K$8+H16</f>
        <v>34444.4444444444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</v>
      </c>
      <c r="P16" s="37">
        <f t="shared" si="22"/>
        <v>0.354838709677419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35">
        <f t="shared" si="26"/>
        <v>460000</v>
      </c>
      <c r="E17" s="36">
        <f t="shared" si="23"/>
        <v>-280000</v>
      </c>
      <c r="F17" s="37">
        <f t="shared" si="16"/>
        <v>45</v>
      </c>
      <c r="G17" s="37">
        <f t="shared" si="17"/>
        <v>0.391304347826087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37">
        <f t="shared" si="22"/>
        <v>0.444444444444444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35">
        <f t="shared" si="26"/>
        <v>199010000</v>
      </c>
      <c r="E18" s="36">
        <f t="shared" si="23"/>
        <v>-195030000</v>
      </c>
      <c r="F18" s="37">
        <f t="shared" si="16"/>
        <v>19900</v>
      </c>
      <c r="G18" s="37">
        <f t="shared" si="17"/>
        <v>0.0199989950253756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37">
        <f t="shared" si="22"/>
        <v>0.49748743718593</v>
      </c>
      <c r="Q18" s="3"/>
      <c r="R18" s="3"/>
      <c r="S18" s="3"/>
      <c r="T18" s="2"/>
      <c r="U18" s="2"/>
    </row>
    <row r="25" spans="1:2">
      <c r="A25" t="s">
        <v>67</v>
      </c>
      <c r="B25">
        <f>1-0.5</f>
        <v>0.5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zoomScale="105" zoomScaleNormal="105" workbookViewId="0">
      <selection activeCell="H16" sqref="H16"/>
    </sheetView>
  </sheetViews>
  <sheetFormatPr defaultColWidth="9" defaultRowHeight="14.25"/>
  <cols>
    <col min="1" max="1" width="9.125" customWidth="1"/>
    <col min="2" max="2" width="9.625" customWidth="1"/>
    <col min="3" max="3" width="9.125" customWidth="1"/>
    <col min="4" max="5" width="9.5" customWidth="1"/>
    <col min="6" max="6" width="9.125" customWidth="1"/>
    <col min="7" max="7" width="9.5" customWidth="1"/>
    <col min="8" max="8" width="10.125" customWidth="1"/>
    <col min="9" max="9" width="25.375" customWidth="1"/>
    <col min="10" max="10" width="24.25" customWidth="1"/>
    <col min="11" max="11" width="13.125" customWidth="1"/>
    <col min="12" max="12" width="12.375" customWidth="1"/>
    <col min="13" max="14" width="13.125" customWidth="1"/>
  </cols>
  <sheetData>
    <row r="1" ht="18.75" spans="2:14">
      <c r="B1" s="22" t="s">
        <v>68</v>
      </c>
      <c r="C1" t="s">
        <v>69</v>
      </c>
      <c r="D1" t="s">
        <v>32</v>
      </c>
      <c r="E1" t="s">
        <v>70</v>
      </c>
      <c r="F1" t="s">
        <v>71</v>
      </c>
      <c r="G1" t="s">
        <v>72</v>
      </c>
      <c r="H1" t="s">
        <v>73</v>
      </c>
      <c r="I1" s="18" t="s">
        <v>74</v>
      </c>
      <c r="J1" s="23"/>
      <c r="L1" t="s">
        <v>75</v>
      </c>
      <c r="M1" t="s">
        <v>76</v>
      </c>
      <c r="N1" t="s">
        <v>77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</v>
      </c>
      <c r="H2">
        <f>G2-F2</f>
        <v>97.6176963403032</v>
      </c>
      <c r="I2" s="24">
        <f>1-(SQRT(B2*C2)/SQRT(D2*E2))</f>
        <v>0.0465374107544078</v>
      </c>
      <c r="J2" s="25">
        <f>I2*F2/(1-I2)</f>
        <v>97.6176963403033</v>
      </c>
      <c r="K2">
        <f>SQRT(D2*E2)*I2</f>
        <v>97.6176963403033</v>
      </c>
      <c r="L2">
        <f>K2/G2*D2</f>
        <v>102.382303659697</v>
      </c>
      <c r="M2">
        <f>H2/G2*E2</f>
        <v>93.0748215088154</v>
      </c>
      <c r="N2">
        <f>L2+M2</f>
        <v>195.457125168513</v>
      </c>
    </row>
    <row r="3" spans="2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20099.7512422418</v>
      </c>
      <c r="H3">
        <f t="shared" ref="H3:H6" si="5">G3-F3</f>
        <v>99.7512422417822</v>
      </c>
      <c r="I3" s="24">
        <f t="shared" ref="I3:I6" si="6">1-(SQRT(B3*C3)/SQRT(D3*E3))</f>
        <v>0.00496280979001096</v>
      </c>
      <c r="J3" s="25">
        <f t="shared" ref="J3:J6" si="7">I3*F3/(1-I3)</f>
        <v>99.7512422417824</v>
      </c>
      <c r="K3">
        <f t="shared" ref="K3:K6" si="8">SQRT(D3*E3)*I3</f>
        <v>99.7512422417824</v>
      </c>
      <c r="L3">
        <f t="shared" ref="L3:L6" si="9">K3/G3*D3</f>
        <v>100.248757758221</v>
      </c>
      <c r="M3">
        <f t="shared" ref="M3:M6" si="10">H3/G3*E3</f>
        <v>99.2561958002189</v>
      </c>
      <c r="N3">
        <f t="shared" ref="N3:N6" si="11">L3+M3</f>
        <v>199.50495355844</v>
      </c>
    </row>
    <row r="4" spans="2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</v>
      </c>
      <c r="H4">
        <f t="shared" si="5"/>
        <v>99.9750124921848</v>
      </c>
      <c r="I4" s="24">
        <f t="shared" si="6"/>
        <v>0.000499625312226804</v>
      </c>
      <c r="J4" s="25">
        <f t="shared" si="7"/>
        <v>99.975012492192</v>
      </c>
      <c r="K4">
        <f t="shared" si="8"/>
        <v>99.975012492192</v>
      </c>
      <c r="L4">
        <f t="shared" si="9"/>
        <v>100.024987507806</v>
      </c>
      <c r="M4">
        <f t="shared" si="10"/>
        <v>99.9250624453535</v>
      </c>
      <c r="N4">
        <f t="shared" si="11"/>
        <v>199.95004995316</v>
      </c>
    </row>
    <row r="5" spans="2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2000099.99750013</v>
      </c>
      <c r="H5">
        <f t="shared" si="5"/>
        <v>99.9975001250859</v>
      </c>
      <c r="I5" s="24">
        <f t="shared" si="6"/>
        <v>4.99962503125451e-5</v>
      </c>
      <c r="J5" s="26">
        <f t="shared" si="7"/>
        <v>99.997500125137</v>
      </c>
      <c r="K5">
        <f t="shared" si="8"/>
        <v>99.997500125137</v>
      </c>
      <c r="L5">
        <f t="shared" si="9"/>
        <v>100.002499875153</v>
      </c>
      <c r="M5">
        <f t="shared" si="10"/>
        <v>99.9925006250391</v>
      </c>
      <c r="N5">
        <f t="shared" si="11"/>
        <v>199.995000500192</v>
      </c>
    </row>
    <row r="6" spans="2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20000099.99975</v>
      </c>
      <c r="H6">
        <f t="shared" si="5"/>
        <v>99.9997499994934</v>
      </c>
      <c r="I6" s="27">
        <f t="shared" si="6"/>
        <v>4.9999625002517e-6</v>
      </c>
      <c r="J6" s="28">
        <f t="shared" si="7"/>
        <v>99.999750000034</v>
      </c>
      <c r="K6">
        <f t="shared" si="8"/>
        <v>99.999750000034</v>
      </c>
      <c r="L6">
        <f t="shared" si="9"/>
        <v>100.000249997534</v>
      </c>
      <c r="M6">
        <f t="shared" si="10"/>
        <v>99.9992500044933</v>
      </c>
      <c r="N6">
        <f t="shared" si="11"/>
        <v>199.999500002027</v>
      </c>
    </row>
    <row r="16" ht="18.75" spans="2:14">
      <c r="B16" s="22" t="s">
        <v>68</v>
      </c>
      <c r="C16" t="s">
        <v>69</v>
      </c>
      <c r="D16" t="s">
        <v>32</v>
      </c>
      <c r="E16" t="s">
        <v>70</v>
      </c>
      <c r="F16" t="s">
        <v>71</v>
      </c>
      <c r="G16" t="s">
        <v>72</v>
      </c>
      <c r="H16" t="s">
        <v>73</v>
      </c>
      <c r="I16" s="18" t="s">
        <v>78</v>
      </c>
      <c r="J16" s="23"/>
      <c r="L16" t="s">
        <v>79</v>
      </c>
      <c r="M16" t="s">
        <v>80</v>
      </c>
      <c r="N16" t="s">
        <v>77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24">
        <f>1-(SQRT(B17*C17)/SQRT(D17*E17))</f>
        <v>0.0909090909090909</v>
      </c>
      <c r="J17" s="24">
        <f>H17/G17</f>
        <v>0.0909090909090909</v>
      </c>
      <c r="K17" s="29">
        <f>SQRT(D17*E17)*I17</f>
        <v>200</v>
      </c>
      <c r="L17" s="30">
        <f>J17*D17</f>
        <v>200</v>
      </c>
      <c r="M17" s="30">
        <f>J17*E17</f>
        <v>200</v>
      </c>
      <c r="N17" s="30">
        <f>L17+M17</f>
        <v>400</v>
      </c>
    </row>
    <row r="18" spans="2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24">
        <f t="shared" ref="I18:I21" si="18">1-(SQRT(B18*C18)/SQRT(D18*E18))</f>
        <v>0.00990099009900991</v>
      </c>
      <c r="J18" s="24">
        <f t="shared" ref="J18:J21" si="19">H18/G18</f>
        <v>0.0099009900990099</v>
      </c>
      <c r="K18" s="29">
        <f t="shared" ref="K18:K21" si="20">SQRT(D18*E18)*I18</f>
        <v>200</v>
      </c>
      <c r="L18" s="30">
        <f t="shared" ref="L18:L21" si="21">J18*D18</f>
        <v>200</v>
      </c>
      <c r="M18" s="30">
        <f t="shared" ref="M18:M21" si="22">J18*E18</f>
        <v>200</v>
      </c>
      <c r="N18" s="30">
        <f t="shared" ref="N18:N21" si="23">L18+M18</f>
        <v>400</v>
      </c>
    </row>
    <row r="19" spans="2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24">
        <f t="shared" si="18"/>
        <v>0.000999000999000965</v>
      </c>
      <c r="J19" s="24">
        <f t="shared" si="19"/>
        <v>0.000999000999000999</v>
      </c>
      <c r="K19" s="29">
        <f t="shared" si="20"/>
        <v>199.999999999993</v>
      </c>
      <c r="L19" s="30">
        <f t="shared" si="21"/>
        <v>200</v>
      </c>
      <c r="M19" s="30">
        <f t="shared" si="22"/>
        <v>200</v>
      </c>
      <c r="N19" s="30">
        <f t="shared" si="23"/>
        <v>400</v>
      </c>
    </row>
    <row r="20" spans="2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24">
        <f t="shared" si="18"/>
        <v>9.99900009999166e-5</v>
      </c>
      <c r="J20" s="24">
        <f t="shared" si="19"/>
        <v>9.99900009999e-5</v>
      </c>
      <c r="K20" s="29">
        <f t="shared" si="20"/>
        <v>200.000000000033</v>
      </c>
      <c r="L20" s="30">
        <f t="shared" si="21"/>
        <v>200</v>
      </c>
      <c r="M20" s="30">
        <f t="shared" si="22"/>
        <v>200</v>
      </c>
      <c r="N20" s="30">
        <f t="shared" si="23"/>
        <v>400</v>
      </c>
    </row>
    <row r="21" spans="2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24">
        <f t="shared" si="18"/>
        <v>9.99990000094542e-6</v>
      </c>
      <c r="J21" s="24">
        <f t="shared" si="19"/>
        <v>9.99990000099999e-6</v>
      </c>
      <c r="K21" s="29">
        <f t="shared" si="20"/>
        <v>199.999999998909</v>
      </c>
      <c r="L21" s="30">
        <f t="shared" si="21"/>
        <v>200</v>
      </c>
      <c r="M21" s="30">
        <f t="shared" si="22"/>
        <v>200</v>
      </c>
      <c r="N21" s="30">
        <f t="shared" si="23"/>
        <v>400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zoomScale="150" zoomScaleNormal="150" workbookViewId="0">
      <selection activeCell="G8" sqref="G8"/>
    </sheetView>
  </sheetViews>
  <sheetFormatPr defaultColWidth="9" defaultRowHeight="14.25" outlineLevelCol="5"/>
  <cols>
    <col min="2" max="2" width="11" customWidth="1"/>
    <col min="4" max="4" width="24.125" customWidth="1"/>
    <col min="5" max="5" width="9.375" customWidth="1"/>
  </cols>
  <sheetData>
    <row r="1" spans="3:5">
      <c r="C1" t="s">
        <v>81</v>
      </c>
      <c r="D1" t="s">
        <v>82</v>
      </c>
      <c r="E1" t="s">
        <v>83</v>
      </c>
    </row>
    <row r="2" spans="1:5">
      <c r="A2" t="s">
        <v>84</v>
      </c>
      <c r="C2">
        <v>0</v>
      </c>
      <c r="D2">
        <v>0</v>
      </c>
      <c r="E2" t="s">
        <v>82</v>
      </c>
    </row>
    <row r="3" spans="1:5">
      <c r="A3" t="s">
        <v>85</v>
      </c>
      <c r="C3">
        <v>100</v>
      </c>
      <c r="D3" t="s">
        <v>86</v>
      </c>
      <c r="E3" t="s">
        <v>82</v>
      </c>
    </row>
    <row r="4" spans="1:5">
      <c r="A4" t="s">
        <v>87</v>
      </c>
      <c r="C4">
        <v>200</v>
      </c>
      <c r="D4" t="s">
        <v>88</v>
      </c>
      <c r="E4" s="16" t="s">
        <v>82</v>
      </c>
    </row>
    <row r="5" spans="1:5">
      <c r="A5" t="s">
        <v>89</v>
      </c>
      <c r="C5">
        <v>300</v>
      </c>
      <c r="D5" t="s">
        <v>90</v>
      </c>
      <c r="E5" t="s">
        <v>82</v>
      </c>
    </row>
    <row r="6" spans="1:5">
      <c r="A6" t="s">
        <v>91</v>
      </c>
      <c r="C6">
        <v>100</v>
      </c>
      <c r="D6" t="s">
        <v>92</v>
      </c>
      <c r="E6" t="s">
        <v>82</v>
      </c>
    </row>
    <row r="9" spans="1:5">
      <c r="A9" s="12" t="s">
        <v>93</v>
      </c>
      <c r="B9" s="12"/>
      <c r="C9" s="12"/>
      <c r="D9" s="12"/>
      <c r="E9" s="12"/>
    </row>
    <row r="10" spans="1:5">
      <c r="A10" s="12"/>
      <c r="B10" s="12"/>
      <c r="C10" s="12"/>
      <c r="D10" s="12"/>
      <c r="E10" s="12"/>
    </row>
    <row r="12" spans="1:4">
      <c r="A12" t="s">
        <v>94</v>
      </c>
      <c r="B12" s="13"/>
      <c r="C12" s="13"/>
      <c r="D12" s="13"/>
    </row>
    <row r="13" spans="1:5">
      <c r="A13" t="s">
        <v>87</v>
      </c>
      <c r="B13" s="17" t="s">
        <v>95</v>
      </c>
      <c r="C13" s="17"/>
      <c r="D13" s="17"/>
      <c r="E13" t="s">
        <v>96</v>
      </c>
    </row>
    <row r="14" spans="1:6">
      <c r="A14" t="s">
        <v>89</v>
      </c>
      <c r="B14" s="18" t="s">
        <v>97</v>
      </c>
      <c r="C14" s="18"/>
      <c r="D14" s="18"/>
      <c r="E14" s="19" t="s">
        <v>98</v>
      </c>
      <c r="F14" s="19"/>
    </row>
    <row r="15" spans="2:4">
      <c r="B15" s="18"/>
      <c r="C15" s="18"/>
      <c r="D15" s="18"/>
    </row>
    <row r="17" spans="1:1">
      <c r="A17" t="s">
        <v>99</v>
      </c>
    </row>
    <row r="19" spans="1:6">
      <c r="A19" t="s">
        <v>91</v>
      </c>
      <c r="B19" s="20" t="s">
        <v>100</v>
      </c>
      <c r="C19" s="20"/>
      <c r="D19" s="20"/>
      <c r="E19" s="21" t="s">
        <v>101</v>
      </c>
      <c r="F19" s="21"/>
    </row>
    <row r="20" spans="2:4">
      <c r="B20" s="20"/>
      <c r="C20" s="20"/>
      <c r="D20" s="20"/>
    </row>
  </sheetData>
  <mergeCells count="6">
    <mergeCell ref="B12:D12"/>
    <mergeCell ref="B13:D13"/>
    <mergeCell ref="E19:F19"/>
    <mergeCell ref="A9:E10"/>
    <mergeCell ref="B14:D15"/>
    <mergeCell ref="B19:D20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zoomScale="114" zoomScaleNormal="114" workbookViewId="0">
      <selection activeCell="K18" sqref="K18"/>
    </sheetView>
  </sheetViews>
  <sheetFormatPr defaultColWidth="9" defaultRowHeight="14.25"/>
  <cols>
    <col min="1" max="2" width="11" customWidth="1"/>
    <col min="3" max="3" width="13.5" customWidth="1"/>
    <col min="4" max="4" width="14.125" customWidth="1"/>
    <col min="5" max="5" width="10" customWidth="1"/>
    <col min="6" max="6" width="9.375" customWidth="1"/>
    <col min="7" max="7" width="10.875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ht="37.5" spans="1:12">
      <c r="A1" s="1" t="s">
        <v>102</v>
      </c>
      <c r="B1" s="1" t="s">
        <v>103</v>
      </c>
      <c r="C1" s="1" t="s">
        <v>104</v>
      </c>
      <c r="D1" s="1" t="s">
        <v>8</v>
      </c>
      <c r="E1" s="1" t="s">
        <v>9</v>
      </c>
      <c r="F1" s="1" t="s">
        <v>10</v>
      </c>
      <c r="G1" s="1" t="s">
        <v>105</v>
      </c>
      <c r="H1" s="2"/>
      <c r="I1" s="1" t="s">
        <v>106</v>
      </c>
      <c r="K1" s="14" t="s">
        <v>107</v>
      </c>
      <c r="L1" t="s">
        <v>108</v>
      </c>
    </row>
    <row r="2" spans="1:9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109</v>
      </c>
      <c r="I2" s="2"/>
    </row>
    <row r="3" spans="1:9">
      <c r="A3" s="3">
        <v>200</v>
      </c>
      <c r="B3" s="3"/>
      <c r="C3" s="4">
        <v>100000</v>
      </c>
      <c r="D3" s="4">
        <v>200000</v>
      </c>
      <c r="E3" s="3">
        <v>500</v>
      </c>
      <c r="F3" s="3">
        <v>100000000</v>
      </c>
      <c r="G3" s="3">
        <v>400</v>
      </c>
      <c r="H3" s="2" t="s">
        <v>110</v>
      </c>
      <c r="I3" s="3" t="s">
        <v>111</v>
      </c>
    </row>
    <row r="4" spans="1:12">
      <c r="A4" s="5">
        <f t="shared" ref="A4:A9" si="0">C4/B4</f>
        <v>399.201596806379</v>
      </c>
      <c r="B4" s="2">
        <v>1</v>
      </c>
      <c r="C4" s="6">
        <f>$D$3-D4</f>
        <v>399.201596806379</v>
      </c>
      <c r="D4" s="7">
        <f t="shared" ref="D4:D9" si="1">$F$2/E4</f>
        <v>199600.798403194</v>
      </c>
      <c r="E4" s="2">
        <v>501</v>
      </c>
      <c r="F4" s="3">
        <v>100000000</v>
      </c>
      <c r="G4" s="5">
        <f>D4/E4</f>
        <v>398.404787231923</v>
      </c>
      <c r="H4" s="2"/>
      <c r="I4" s="2"/>
      <c r="K4">
        <f t="shared" ref="K4:K9" si="2">B4*100</f>
        <v>100</v>
      </c>
      <c r="L4" s="15">
        <f t="shared" ref="L4:L9" si="3">C4-K4</f>
        <v>299.201596806379</v>
      </c>
    </row>
    <row r="5" spans="1:12">
      <c r="A5" s="5">
        <f t="shared" si="0"/>
        <v>392.156862745099</v>
      </c>
      <c r="B5" s="2">
        <v>10</v>
      </c>
      <c r="C5" s="6">
        <f t="shared" ref="C5:C9" si="4">$D$3-D5</f>
        <v>3921.56862745099</v>
      </c>
      <c r="D5" s="7">
        <f t="shared" si="1"/>
        <v>196078.431372549</v>
      </c>
      <c r="E5" s="2">
        <v>510</v>
      </c>
      <c r="F5" s="3">
        <v>100000000</v>
      </c>
      <c r="G5" s="5">
        <f t="shared" ref="G5:G9" si="5">D5/E5</f>
        <v>384.467512495194</v>
      </c>
      <c r="H5" s="2"/>
      <c r="I5" s="2"/>
      <c r="K5">
        <f t="shared" si="2"/>
        <v>1000</v>
      </c>
      <c r="L5" s="15">
        <f t="shared" si="3"/>
        <v>2921.56862745099</v>
      </c>
    </row>
    <row r="6" spans="1:12">
      <c r="A6" s="5">
        <f t="shared" si="0"/>
        <v>333.333333333333</v>
      </c>
      <c r="B6" s="2">
        <v>100</v>
      </c>
      <c r="C6" s="6">
        <f t="shared" si="4"/>
        <v>33333.3333333333</v>
      </c>
      <c r="D6" s="7">
        <f t="shared" si="1"/>
        <v>166666.666666667</v>
      </c>
      <c r="E6" s="2">
        <v>600</v>
      </c>
      <c r="F6" s="3">
        <v>100000000</v>
      </c>
      <c r="G6" s="5">
        <f t="shared" si="5"/>
        <v>277.777777777778</v>
      </c>
      <c r="H6" s="2"/>
      <c r="I6" s="2"/>
      <c r="K6">
        <f t="shared" si="2"/>
        <v>10000</v>
      </c>
      <c r="L6" s="15">
        <f t="shared" si="3"/>
        <v>23333.3333333333</v>
      </c>
    </row>
    <row r="7" spans="1:12">
      <c r="A7" s="5">
        <f t="shared" si="0"/>
        <v>285.714285714286</v>
      </c>
      <c r="B7" s="2">
        <v>200</v>
      </c>
      <c r="C7" s="6">
        <f t="shared" si="4"/>
        <v>57142.8571428571</v>
      </c>
      <c r="D7" s="7">
        <f t="shared" si="1"/>
        <v>142857.142857143</v>
      </c>
      <c r="E7" s="2">
        <v>700</v>
      </c>
      <c r="F7" s="3">
        <v>100000000</v>
      </c>
      <c r="G7" s="5">
        <f t="shared" si="5"/>
        <v>204.081632653061</v>
      </c>
      <c r="H7" s="2"/>
      <c r="I7" s="2"/>
      <c r="K7">
        <f t="shared" si="2"/>
        <v>20000</v>
      </c>
      <c r="L7" s="15">
        <f t="shared" si="3"/>
        <v>37142.8571428571</v>
      </c>
    </row>
    <row r="8" spans="1:12">
      <c r="A8" s="5">
        <f t="shared" si="0"/>
        <v>200</v>
      </c>
      <c r="B8" s="2">
        <v>500</v>
      </c>
      <c r="C8" s="7">
        <f t="shared" si="4"/>
        <v>100000</v>
      </c>
      <c r="D8" s="7">
        <f t="shared" si="1"/>
        <v>100000</v>
      </c>
      <c r="E8" s="2">
        <v>1000</v>
      </c>
      <c r="F8" s="3">
        <v>100000000</v>
      </c>
      <c r="G8" s="5">
        <f t="shared" si="5"/>
        <v>100</v>
      </c>
      <c r="H8" s="2"/>
      <c r="I8" s="2"/>
      <c r="J8" t="s">
        <v>112</v>
      </c>
      <c r="K8">
        <f t="shared" si="2"/>
        <v>50000</v>
      </c>
      <c r="L8" s="15">
        <f t="shared" si="3"/>
        <v>50000</v>
      </c>
    </row>
    <row r="9" spans="1:12">
      <c r="A9" s="8">
        <f t="shared" si="0"/>
        <v>181.818181818182</v>
      </c>
      <c r="B9" s="9">
        <v>600</v>
      </c>
      <c r="C9" s="10">
        <f t="shared" si="4"/>
        <v>109090.909090909</v>
      </c>
      <c r="D9" s="11">
        <f t="shared" si="1"/>
        <v>90909.0909090909</v>
      </c>
      <c r="E9" s="9">
        <v>1100</v>
      </c>
      <c r="F9" s="3">
        <v>100000000</v>
      </c>
      <c r="G9" s="8">
        <f t="shared" si="5"/>
        <v>82.6446280991736</v>
      </c>
      <c r="K9">
        <f t="shared" si="2"/>
        <v>60000</v>
      </c>
      <c r="L9" s="15">
        <f t="shared" si="3"/>
        <v>49090.9090909091</v>
      </c>
    </row>
    <row r="11" spans="1:9">
      <c r="A11" s="12" t="s">
        <v>113</v>
      </c>
      <c r="B11" s="13"/>
      <c r="C11" s="13"/>
      <c r="D11" s="13"/>
      <c r="E11" s="13"/>
      <c r="F11" s="13"/>
      <c r="G11" s="13"/>
      <c r="H11" s="13"/>
      <c r="I11" s="13"/>
    </row>
    <row r="12" spans="1:9">
      <c r="A12" s="13"/>
      <c r="B12" s="13"/>
      <c r="C12" s="13"/>
      <c r="D12" s="13"/>
      <c r="E12" s="13"/>
      <c r="F12" s="13"/>
      <c r="G12" s="13"/>
      <c r="H12" s="13"/>
      <c r="I12" s="13"/>
    </row>
    <row r="13" spans="1:9">
      <c r="A13" s="13"/>
      <c r="B13" s="13"/>
      <c r="C13" s="13"/>
      <c r="D13" s="13"/>
      <c r="E13" s="13"/>
      <c r="F13" s="13"/>
      <c r="G13" s="13"/>
      <c r="H13" s="13"/>
      <c r="I13" s="13"/>
    </row>
    <row r="14" spans="1:9">
      <c r="A14" s="13"/>
      <c r="B14" s="13"/>
      <c r="C14" s="13"/>
      <c r="D14" s="13"/>
      <c r="E14" s="13"/>
      <c r="F14" s="13"/>
      <c r="G14" s="13"/>
      <c r="H14" s="13"/>
      <c r="I14" s="13"/>
    </row>
    <row r="15" spans="1:9">
      <c r="A15" s="13"/>
      <c r="B15" s="13"/>
      <c r="C15" s="13"/>
      <c r="D15" s="13"/>
      <c r="E15" s="13"/>
      <c r="F15" s="13"/>
      <c r="G15" s="13"/>
      <c r="H15" s="13"/>
      <c r="I15" s="13"/>
    </row>
    <row r="16" spans="1:9">
      <c r="A16" s="13"/>
      <c r="B16" s="13"/>
      <c r="C16" s="13"/>
      <c r="D16" s="13"/>
      <c r="E16" s="13"/>
      <c r="F16" s="13"/>
      <c r="G16" s="13"/>
      <c r="H16" s="13"/>
      <c r="I16" s="13"/>
    </row>
    <row r="17" spans="1:9">
      <c r="A17" s="13"/>
      <c r="B17" s="13"/>
      <c r="C17" s="13"/>
      <c r="D17" s="13"/>
      <c r="E17" s="13"/>
      <c r="F17" s="13"/>
      <c r="G17" s="13"/>
      <c r="H17" s="13"/>
      <c r="I17" s="13"/>
    </row>
    <row r="18" spans="1:9">
      <c r="A18" s="13"/>
      <c r="B18" s="13"/>
      <c r="C18" s="13"/>
      <c r="D18" s="13"/>
      <c r="E18" s="13"/>
      <c r="F18" s="13"/>
      <c r="G18" s="13"/>
      <c r="H18" s="13"/>
      <c r="I18" s="13"/>
    </row>
    <row r="19" spans="1:9">
      <c r="A19" s="13"/>
      <c r="B19" s="13"/>
      <c r="C19" s="13"/>
      <c r="D19" s="13"/>
      <c r="E19" s="13"/>
      <c r="F19" s="13"/>
      <c r="G19" s="13"/>
      <c r="H19" s="13"/>
      <c r="I19" s="13"/>
    </row>
    <row r="20" spans="1:9">
      <c r="A20" s="13"/>
      <c r="B20" s="13"/>
      <c r="C20" s="13"/>
      <c r="D20" s="13"/>
      <c r="E20" s="13"/>
      <c r="F20" s="13"/>
      <c r="G20" s="13"/>
      <c r="H20" s="13"/>
      <c r="I20" s="13"/>
    </row>
    <row r="21" spans="1:9">
      <c r="A21" s="13"/>
      <c r="B21" s="13"/>
      <c r="C21" s="13"/>
      <c r="D21" s="13"/>
      <c r="E21" s="13"/>
      <c r="F21" s="13"/>
      <c r="G21" s="13"/>
      <c r="H21" s="13"/>
      <c r="I21" s="13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  <row r="23" spans="1:9">
      <c r="A23" s="13"/>
      <c r="B23" s="13"/>
      <c r="C23" s="13"/>
      <c r="D23" s="13"/>
      <c r="E23" s="13"/>
      <c r="F23" s="13"/>
      <c r="G23" s="13"/>
      <c r="H23" s="13"/>
      <c r="I23" s="13"/>
    </row>
  </sheetData>
  <mergeCells count="1">
    <mergeCell ref="A11:I2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F17" sqref="F17"/>
    </sheetView>
  </sheetViews>
  <sheetFormatPr defaultColWidth="9" defaultRowHeight="14.25" outlineLevelCol="1"/>
  <cols>
    <col min="2" max="2" width="19.25" customWidth="1"/>
  </cols>
  <sheetData>
    <row r="1" spans="1:1">
      <c r="A1" t="s">
        <v>114</v>
      </c>
    </row>
    <row r="2" spans="1:2">
      <c r="A2">
        <v>1</v>
      </c>
      <c r="B2" t="s">
        <v>115</v>
      </c>
    </row>
    <row r="3" spans="1:2">
      <c r="A3">
        <v>2</v>
      </c>
      <c r="B3" t="s">
        <v>116</v>
      </c>
    </row>
    <row r="5" spans="1:1">
      <c r="A5" t="s">
        <v>117</v>
      </c>
    </row>
    <row r="7" spans="1:2">
      <c r="A7">
        <v>1</v>
      </c>
      <c r="B7" t="s">
        <v>118</v>
      </c>
    </row>
    <row r="8" spans="1:2">
      <c r="A8">
        <v>2</v>
      </c>
      <c r="B8" t="s">
        <v>119</v>
      </c>
    </row>
    <row r="9" spans="1:2">
      <c r="A9">
        <v>3</v>
      </c>
      <c r="B9" t="s">
        <v>120</v>
      </c>
    </row>
    <row r="10" spans="1:2">
      <c r="A10">
        <v>4</v>
      </c>
      <c r="B10" t="s">
        <v>121</v>
      </c>
    </row>
    <row r="11" spans="1:2">
      <c r="A11">
        <v>5</v>
      </c>
      <c r="B11" t="s">
        <v>122</v>
      </c>
    </row>
    <row r="12" spans="1:2">
      <c r="A12">
        <v>6</v>
      </c>
      <c r="B12" t="s">
        <v>123</v>
      </c>
    </row>
    <row r="13" spans="1:2">
      <c r="A13">
        <v>7</v>
      </c>
      <c r="B13" t="s">
        <v>124</v>
      </c>
    </row>
    <row r="14" spans="1:2">
      <c r="A14">
        <v>8</v>
      </c>
      <c r="B14" t="s">
        <v>125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  <vt:lpstr>合约检测checklist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EDY</cp:lastModifiedBy>
  <dcterms:created xsi:type="dcterms:W3CDTF">2022-08-17T03:23:00Z</dcterms:created>
  <dcterms:modified xsi:type="dcterms:W3CDTF">2022-11-22T02:34:57Z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8PEuhqYRYCGfZ0h9PzSoh9b6/tKWsR5uuFsRNNccLgDC7nZ1tanC7oMLKexdPq9XyPAiF1sI79JjXnxGlQzh3uRJWtld9T4QsevehoAckjBzI8Bc/wXPL2OUWQBIhQOdE4EqCVbvK99BKR6LWym1o6HSsZHBXZ0hD2Wn8tc6t2nsZck3pbZepoz6rgFkuugVbR6WUSSq/Ah7Bpn/AcggVfCMtmQ5brTExKlA03xhNDxR5umTHMf85CMPn1fyI4mIM2DMpdEc4OZ1OLROrBogML68sY/xjxtofCRHTIK7oIz6cQh1UXo7SS7h1gHINfdxR6Kj9+QQjMHUTrRMVL+XN1wqBo8ec0f2lmAn3qE5puqhtbCAEsM1ggiySlAjmpJG9ZqRNFnK2NpPGdQ/nAfv5UkH5z7iz7qOlkLT6vdPbm+3uronUejVmFALsZk08waeDz6Lf6q7qNSSpOEW4w34sMBr4fBgCzFbFNARxeSgqDM=</vt:lpwstr>
  </property>
  <property fmtid="{D5CDD505-2E9C-101B-9397-08002B2CF9AE}" pid="3" name="ICV">
    <vt:lpwstr>CF5F10AEAA024ADC8CA0CA60AD4E2D46</vt:lpwstr>
  </property>
  <property fmtid="{D5CDD505-2E9C-101B-9397-08002B2CF9AE}" pid="4" name="KSOProductBuildVer">
    <vt:lpwstr>2052-11.1.0.12763</vt:lpwstr>
  </property>
</Properties>
</file>