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lidityProjectGit\solidityTest\"/>
    </mc:Choice>
  </mc:AlternateContent>
  <xr:revisionPtr revIDLastSave="0" documentId="13_ncr:1_{9261121E-6132-4D73-9B35-F9448FF4FF71}" xr6:coauthVersionLast="43" xr6:coauthVersionMax="43" xr10:uidLastSave="{00000000-0000-0000-0000-000000000000}"/>
  <bookViews>
    <workbookView xWindow="-120" yWindow="-120" windowWidth="29040" windowHeight="15840" tabRatio="456" firstSheet="2" activeTab="7" xr2:uid="{05AAACF9-C555-44C3-9157-138E1CF9061B}"/>
  </bookViews>
  <sheets>
    <sheet name="滑点计算" sheetId="1" r:id="rId1"/>
    <sheet name="期货收益计算" sheetId="2" r:id="rId2"/>
    <sheet name="无偿损失计算" sheetId="4" r:id="rId3"/>
    <sheet name="单笔交易时" sheetId="3" r:id="rId4"/>
    <sheet name="长期看Lp分成" sheetId="5" r:id="rId5"/>
    <sheet name="抵押算法" sheetId="6" r:id="rId6"/>
    <sheet name="套利数据演算" sheetId="7" r:id="rId7"/>
    <sheet name="合约检测checklis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7" l="1"/>
  <c r="L4" i="7"/>
  <c r="K5" i="7"/>
  <c r="L5" i="7"/>
  <c r="K6" i="7"/>
  <c r="L6" i="7"/>
  <c r="K7" i="7"/>
  <c r="L7" i="7" s="1"/>
  <c r="K9" i="7"/>
  <c r="L9" i="7" s="1"/>
  <c r="L8" i="7"/>
  <c r="K8" i="7"/>
  <c r="C8" i="7"/>
  <c r="A9" i="7"/>
  <c r="D9" i="7"/>
  <c r="C9" i="7"/>
  <c r="G9" i="7"/>
  <c r="G5" i="7"/>
  <c r="D5" i="7"/>
  <c r="C5" i="7" s="1"/>
  <c r="A5" i="7" s="1"/>
  <c r="D6" i="7"/>
  <c r="C6" i="7" s="1"/>
  <c r="A6" i="7" s="1"/>
  <c r="D7" i="7"/>
  <c r="C7" i="7" s="1"/>
  <c r="A7" i="7" s="1"/>
  <c r="D8" i="7"/>
  <c r="A8" i="7" s="1"/>
  <c r="D4" i="7"/>
  <c r="G4" i="7" s="1"/>
  <c r="F3" i="1"/>
  <c r="G8" i="7" l="1"/>
  <c r="G7" i="7"/>
  <c r="G6" i="7"/>
  <c r="C4" i="7"/>
  <c r="A4" i="7" s="1"/>
  <c r="L17" i="5"/>
  <c r="B25" i="3"/>
  <c r="M18" i="1"/>
  <c r="C18" i="5"/>
  <c r="F18" i="5" s="1"/>
  <c r="D18" i="5"/>
  <c r="G18" i="5" s="1"/>
  <c r="E18" i="5"/>
  <c r="C19" i="5"/>
  <c r="D19" i="5"/>
  <c r="E19" i="5"/>
  <c r="C20" i="5"/>
  <c r="F20" i="5" s="1"/>
  <c r="H20" i="5" s="1"/>
  <c r="J20" i="5" s="1"/>
  <c r="L20" i="5" s="1"/>
  <c r="D20" i="5"/>
  <c r="E20" i="5"/>
  <c r="G20" i="5"/>
  <c r="I20" i="5"/>
  <c r="C21" i="5"/>
  <c r="I21" i="5" s="1"/>
  <c r="D21" i="5"/>
  <c r="G21" i="5" s="1"/>
  <c r="E21" i="5"/>
  <c r="C17" i="5"/>
  <c r="F17" i="5" s="1"/>
  <c r="E17" i="5"/>
  <c r="D17" i="5"/>
  <c r="N3" i="5"/>
  <c r="N4" i="5"/>
  <c r="N5" i="5"/>
  <c r="N6" i="5"/>
  <c r="N2" i="5"/>
  <c r="C3" i="5"/>
  <c r="F3" i="5" s="1"/>
  <c r="C4" i="5"/>
  <c r="C5" i="5"/>
  <c r="C6" i="5"/>
  <c r="F6" i="5" s="1"/>
  <c r="C2" i="5"/>
  <c r="D3" i="5"/>
  <c r="E3" i="5"/>
  <c r="D4" i="5"/>
  <c r="E4" i="5"/>
  <c r="F4" i="5"/>
  <c r="I4" i="5"/>
  <c r="J4" i="5" s="1"/>
  <c r="D5" i="5"/>
  <c r="I5" i="5" s="1"/>
  <c r="E5" i="5"/>
  <c r="F5" i="5"/>
  <c r="D6" i="5"/>
  <c r="E6" i="5"/>
  <c r="E2" i="5"/>
  <c r="D2" i="5"/>
  <c r="H18" i="5" l="1"/>
  <c r="J18" i="5" s="1"/>
  <c r="L18" i="5" s="1"/>
  <c r="K18" i="5"/>
  <c r="I19" i="5"/>
  <c r="K19" i="5" s="1"/>
  <c r="F21" i="5"/>
  <c r="I18" i="5"/>
  <c r="G19" i="5"/>
  <c r="H21" i="5"/>
  <c r="J21" i="5" s="1"/>
  <c r="L21" i="5" s="1"/>
  <c r="K20" i="5"/>
  <c r="F19" i="5"/>
  <c r="K21" i="5"/>
  <c r="M20" i="5"/>
  <c r="N20" i="5" s="1"/>
  <c r="I17" i="5"/>
  <c r="G17" i="5"/>
  <c r="H17" i="5" s="1"/>
  <c r="J17" i="5" s="1"/>
  <c r="J5" i="5"/>
  <c r="G6" i="5"/>
  <c r="H6" i="5" s="1"/>
  <c r="M6" i="5" s="1"/>
  <c r="G5" i="5"/>
  <c r="H5" i="5" s="1"/>
  <c r="M5" i="5" s="1"/>
  <c r="K4" i="5"/>
  <c r="G3" i="5"/>
  <c r="H3" i="5" s="1"/>
  <c r="M3" i="5" s="1"/>
  <c r="G4" i="5"/>
  <c r="H4" i="5" s="1"/>
  <c r="M4" i="5" s="1"/>
  <c r="I3" i="5"/>
  <c r="J3" i="5" s="1"/>
  <c r="I6" i="5"/>
  <c r="J6" i="5" s="1"/>
  <c r="K5" i="5"/>
  <c r="I2" i="5"/>
  <c r="G2" i="5"/>
  <c r="F2" i="5"/>
  <c r="H10" i="3"/>
  <c r="A9" i="3"/>
  <c r="A10" i="3"/>
  <c r="J10" i="3"/>
  <c r="N10" i="3"/>
  <c r="A11" i="3"/>
  <c r="J11" i="3"/>
  <c r="N11" i="3"/>
  <c r="A16" i="3"/>
  <c r="N16" i="3"/>
  <c r="J16" i="3" s="1"/>
  <c r="A17" i="3"/>
  <c r="N17" i="3"/>
  <c r="J17" i="3" s="1"/>
  <c r="A18" i="3"/>
  <c r="N18" i="3"/>
  <c r="J18" i="3" s="1"/>
  <c r="A12" i="3"/>
  <c r="A13" i="3"/>
  <c r="A14" i="3"/>
  <c r="A15" i="3"/>
  <c r="C11" i="4"/>
  <c r="D11" i="4"/>
  <c r="E11" i="4"/>
  <c r="I11" i="4"/>
  <c r="J11" i="4"/>
  <c r="K11" i="4"/>
  <c r="L11" i="4"/>
  <c r="H11" i="4"/>
  <c r="G11" i="4"/>
  <c r="F11" i="4"/>
  <c r="N9" i="3"/>
  <c r="J9" i="3" s="1"/>
  <c r="N12" i="3"/>
  <c r="J12" i="3" s="1"/>
  <c r="N13" i="3"/>
  <c r="J13" i="3" s="1"/>
  <c r="N14" i="3"/>
  <c r="J14" i="3" s="1"/>
  <c r="N15" i="3"/>
  <c r="J15" i="3" s="1"/>
  <c r="N8" i="3"/>
  <c r="H3" i="4"/>
  <c r="H8" i="4"/>
  <c r="H5" i="4"/>
  <c r="H4" i="4"/>
  <c r="H9" i="4" s="1"/>
  <c r="H10" i="4" s="1"/>
  <c r="M18" i="5" l="1"/>
  <c r="N18" i="5" s="1"/>
  <c r="H19" i="5"/>
  <c r="J19" i="5" s="1"/>
  <c r="M17" i="5"/>
  <c r="M21" i="5"/>
  <c r="N21" i="5"/>
  <c r="K17" i="5"/>
  <c r="N17" i="5" s="1"/>
  <c r="L5" i="5"/>
  <c r="L4" i="5"/>
  <c r="H2" i="5"/>
  <c r="M2" i="5" s="1"/>
  <c r="K6" i="5"/>
  <c r="L6" i="5" s="1"/>
  <c r="K3" i="5"/>
  <c r="L3" i="5" s="1"/>
  <c r="J2" i="5"/>
  <c r="K2" i="5"/>
  <c r="L2" i="5" s="1"/>
  <c r="H18" i="3"/>
  <c r="I18" i="3" s="1"/>
  <c r="H17" i="3"/>
  <c r="B17" i="3" s="1"/>
  <c r="H11" i="3"/>
  <c r="H14" i="3"/>
  <c r="B14" i="3" s="1"/>
  <c r="H16" i="3"/>
  <c r="H13" i="3"/>
  <c r="K13" i="3" s="1"/>
  <c r="P13" i="3" s="1"/>
  <c r="H12" i="3"/>
  <c r="B12" i="3" s="1"/>
  <c r="K12" i="3"/>
  <c r="P12" i="3" s="1"/>
  <c r="H15" i="3"/>
  <c r="B15" i="3" s="1"/>
  <c r="H9" i="3"/>
  <c r="K9" i="3" s="1"/>
  <c r="M9" i="3" s="1"/>
  <c r="K14" i="3"/>
  <c r="P14" i="3" s="1"/>
  <c r="B16" i="3"/>
  <c r="I16" i="3"/>
  <c r="K16" i="3"/>
  <c r="P16" i="3" s="1"/>
  <c r="I14" i="3"/>
  <c r="B13" i="3"/>
  <c r="I13" i="3"/>
  <c r="C19" i="1"/>
  <c r="G19" i="1"/>
  <c r="G20" i="1"/>
  <c r="G21" i="1"/>
  <c r="G22" i="1"/>
  <c r="G23" i="1"/>
  <c r="G24" i="1"/>
  <c r="G25" i="1"/>
  <c r="G18" i="1"/>
  <c r="F19" i="1"/>
  <c r="F20" i="1"/>
  <c r="F21" i="1"/>
  <c r="F22" i="1"/>
  <c r="F23" i="1"/>
  <c r="F24" i="1"/>
  <c r="F25" i="1"/>
  <c r="F18" i="1"/>
  <c r="G4" i="1"/>
  <c r="G5" i="1"/>
  <c r="G6" i="1"/>
  <c r="G7" i="1"/>
  <c r="G8" i="1"/>
  <c r="G9" i="1"/>
  <c r="G10" i="1"/>
  <c r="G3" i="1"/>
  <c r="F7" i="1"/>
  <c r="F4" i="1"/>
  <c r="F5" i="1"/>
  <c r="F6" i="1"/>
  <c r="F8" i="1"/>
  <c r="F9" i="1"/>
  <c r="F10" i="1"/>
  <c r="E22" i="1"/>
  <c r="E18" i="1"/>
  <c r="N19" i="1"/>
  <c r="N20" i="1"/>
  <c r="N21" i="1"/>
  <c r="N22" i="1"/>
  <c r="N23" i="1"/>
  <c r="N24" i="1"/>
  <c r="N25" i="1"/>
  <c r="M19" i="1"/>
  <c r="M20" i="1"/>
  <c r="M21" i="1"/>
  <c r="M22" i="1"/>
  <c r="M23" i="1"/>
  <c r="M24" i="1"/>
  <c r="M25" i="1"/>
  <c r="N18" i="1"/>
  <c r="L19" i="1"/>
  <c r="L20" i="1"/>
  <c r="L21" i="1"/>
  <c r="L22" i="1"/>
  <c r="L23" i="1"/>
  <c r="L24" i="1"/>
  <c r="L25" i="1"/>
  <c r="L18" i="1"/>
  <c r="C22" i="1"/>
  <c r="C18" i="1"/>
  <c r="D19" i="1"/>
  <c r="D20" i="1"/>
  <c r="D21" i="1"/>
  <c r="D22" i="1"/>
  <c r="D23" i="1"/>
  <c r="D24" i="1"/>
  <c r="D25" i="1"/>
  <c r="D18" i="1"/>
  <c r="E19" i="1"/>
  <c r="E20" i="1"/>
  <c r="C20" i="1" s="1"/>
  <c r="E21" i="1"/>
  <c r="C21" i="1" s="1"/>
  <c r="E23" i="1"/>
  <c r="C23" i="1" s="1"/>
  <c r="E24" i="1"/>
  <c r="C24" i="1" s="1"/>
  <c r="E25" i="1"/>
  <c r="C25" i="1" s="1"/>
  <c r="B19" i="1"/>
  <c r="B20" i="1"/>
  <c r="B21" i="1"/>
  <c r="B22" i="1"/>
  <c r="B23" i="1"/>
  <c r="B24" i="1"/>
  <c r="B25" i="1"/>
  <c r="B18" i="1"/>
  <c r="A19" i="1"/>
  <c r="A20" i="1"/>
  <c r="A21" i="1"/>
  <c r="A22" i="1"/>
  <c r="A23" i="1"/>
  <c r="A24" i="1"/>
  <c r="A25" i="1"/>
  <c r="A18" i="1"/>
  <c r="J19" i="1"/>
  <c r="J20" i="1"/>
  <c r="J21" i="1"/>
  <c r="J22" i="1"/>
  <c r="J23" i="1"/>
  <c r="J24" i="1"/>
  <c r="J25" i="1"/>
  <c r="J18" i="1"/>
  <c r="E10" i="1"/>
  <c r="E6" i="1"/>
  <c r="E7" i="1"/>
  <c r="E8" i="1"/>
  <c r="E9" i="1"/>
  <c r="E5" i="1"/>
  <c r="E4" i="1"/>
  <c r="E3" i="1"/>
  <c r="D10" i="1"/>
  <c r="D4" i="1"/>
  <c r="D5" i="1"/>
  <c r="D6" i="1"/>
  <c r="D7" i="1"/>
  <c r="D8" i="1"/>
  <c r="D9" i="1"/>
  <c r="D3" i="1"/>
  <c r="L19" i="5" l="1"/>
  <c r="M19" i="5"/>
  <c r="K18" i="3"/>
  <c r="P18" i="3" s="1"/>
  <c r="B18" i="3"/>
  <c r="I17" i="3"/>
  <c r="K17" i="3"/>
  <c r="P17" i="3" s="1"/>
  <c r="I9" i="3"/>
  <c r="K15" i="3"/>
  <c r="P15" i="3" s="1"/>
  <c r="B9" i="3"/>
  <c r="I15" i="3"/>
  <c r="I12" i="3"/>
  <c r="M14" i="3"/>
  <c r="P9" i="3"/>
  <c r="O9" i="3"/>
  <c r="F9" i="3" s="1"/>
  <c r="K11" i="3"/>
  <c r="I11" i="3"/>
  <c r="B11" i="3"/>
  <c r="B10" i="3"/>
  <c r="I10" i="3"/>
  <c r="K10" i="3"/>
  <c r="M17" i="3"/>
  <c r="O17" i="3"/>
  <c r="O16" i="3"/>
  <c r="M16" i="3"/>
  <c r="O14" i="3"/>
  <c r="D14" i="3" s="1"/>
  <c r="O13" i="3"/>
  <c r="D13" i="3" s="1"/>
  <c r="M13" i="3"/>
  <c r="O12" i="3"/>
  <c r="M12" i="3"/>
  <c r="N19" i="5" l="1"/>
  <c r="M18" i="3"/>
  <c r="O15" i="3"/>
  <c r="D15" i="3" s="1"/>
  <c r="M15" i="3"/>
  <c r="O18" i="3"/>
  <c r="F18" i="3" s="1"/>
  <c r="C9" i="3"/>
  <c r="D9" i="3"/>
  <c r="O11" i="3"/>
  <c r="M11" i="3"/>
  <c r="P11" i="3"/>
  <c r="M10" i="3"/>
  <c r="O10" i="3"/>
  <c r="P10" i="3"/>
  <c r="C16" i="3"/>
  <c r="D16" i="3"/>
  <c r="F16" i="3"/>
  <c r="D17" i="3"/>
  <c r="F17" i="3"/>
  <c r="C17" i="3"/>
  <c r="D18" i="3"/>
  <c r="C18" i="3"/>
  <c r="F12" i="3"/>
  <c r="D12" i="3"/>
  <c r="F14" i="3"/>
  <c r="C14" i="3"/>
  <c r="E14" i="3" s="1"/>
  <c r="G9" i="3"/>
  <c r="F13" i="3"/>
  <c r="C13" i="3"/>
  <c r="C12" i="3"/>
  <c r="E9" i="3"/>
  <c r="F15" i="3" l="1"/>
  <c r="C15" i="3"/>
  <c r="E15" i="3" s="1"/>
  <c r="D10" i="3"/>
  <c r="F10" i="3"/>
  <c r="C10" i="3"/>
  <c r="F11" i="3"/>
  <c r="D11" i="3"/>
  <c r="C11" i="3"/>
  <c r="G17" i="3"/>
  <c r="E17" i="3"/>
  <c r="G18" i="3"/>
  <c r="E18" i="3"/>
  <c r="E16" i="3"/>
  <c r="G16" i="3"/>
  <c r="E12" i="3"/>
  <c r="G14" i="3"/>
  <c r="G13" i="3"/>
  <c r="E13" i="3"/>
  <c r="G12" i="3"/>
  <c r="G15" i="3" l="1"/>
  <c r="E10" i="3"/>
  <c r="G10" i="3"/>
  <c r="E11" i="3"/>
  <c r="G11" i="3"/>
</calcChain>
</file>

<file path=xl/sharedStrings.xml><?xml version="1.0" encoding="utf-8"?>
<sst xmlns="http://schemas.openxmlformats.org/spreadsheetml/2006/main" count="155" uniqueCount="117">
  <si>
    <t>购买ETH数量 （ΔY）</t>
  </si>
  <si>
    <t>单个ETH价格 (DAI)</t>
  </si>
  <si>
    <t>滑点</t>
  </si>
  <si>
    <t>购买时消耗的DAI （ΔX）</t>
  </si>
  <si>
    <t>DAI流动量 （x）</t>
  </si>
  <si>
    <t>ETH流动量 （y）</t>
  </si>
  <si>
    <t>常数 （K）</t>
  </si>
  <si>
    <t>x/y</t>
  </si>
  <si>
    <t>alpha （ΔX/x）</t>
  </si>
  <si>
    <t>beta （ΔY/y）</t>
  </si>
  <si>
    <t>理论消耗</t>
    <phoneticPr fontId="5" type="noConversion"/>
  </si>
  <si>
    <t>滑点差值</t>
    <phoneticPr fontId="5" type="noConversion"/>
  </si>
  <si>
    <t>实际消耗-理论消耗</t>
    <phoneticPr fontId="5" type="noConversion"/>
  </si>
  <si>
    <t>(实际消耗-理论消耗)/理论消耗</t>
    <phoneticPr fontId="5" type="noConversion"/>
  </si>
  <si>
    <t xml:space="preserve"> 控制输入为整数</t>
    <phoneticPr fontId="5" type="noConversion"/>
  </si>
  <si>
    <t>(实际产出-理论产出)/理论产出</t>
    <phoneticPr fontId="5" type="noConversion"/>
  </si>
  <si>
    <r>
      <t>x/y(</t>
    </r>
    <r>
      <rPr>
        <b/>
        <sz val="9.6"/>
        <color rgb="FF555555"/>
        <rFont val="宋体"/>
        <family val="2"/>
        <charset val="134"/>
      </rPr>
      <t>兑价</t>
    </r>
    <r>
      <rPr>
        <b/>
        <sz val="9.6"/>
        <color rgb="FF555555"/>
        <rFont val="Arial"/>
        <family val="2"/>
      </rPr>
      <t>)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</si>
  <si>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单个</t>
    </r>
    <r>
      <rPr>
        <b/>
        <sz val="9.6"/>
        <color rgb="FF555555"/>
        <rFont val="Arial"/>
        <family val="2"/>
      </rPr>
      <t>ETH</t>
    </r>
    <r>
      <rPr>
        <b/>
        <sz val="9.6"/>
        <color rgb="FF555555"/>
        <rFont val="微软雅黑"/>
        <family val="2"/>
        <charset val="134"/>
      </rPr>
      <t>价格</t>
    </r>
    <r>
      <rPr>
        <b/>
        <sz val="9.6"/>
        <color rgb="FF555555"/>
        <rFont val="Arial"/>
        <family val="2"/>
      </rPr>
      <t xml:space="preserve"> (DAI)</t>
    </r>
    <r>
      <rPr>
        <b/>
        <sz val="9.6"/>
        <color rgb="FF555555"/>
        <rFont val="宋体"/>
        <family val="2"/>
        <charset val="134"/>
      </rPr>
      <t>（交易时）</t>
    </r>
    <phoneticPr fontId="5" type="noConversion"/>
  </si>
  <si>
    <t>实际产出-理论产出)</t>
    <phoneticPr fontId="5" type="noConversion"/>
  </si>
  <si>
    <t>理论产出</t>
    <phoneticPr fontId="5" type="noConversion"/>
  </si>
  <si>
    <t>保证金</t>
    <phoneticPr fontId="5" type="noConversion"/>
  </si>
  <si>
    <t>杠杆</t>
    <phoneticPr fontId="5" type="noConversion"/>
  </si>
  <si>
    <t>t1</t>
    <phoneticPr fontId="5" type="noConversion"/>
  </si>
  <si>
    <t>t2</t>
    <phoneticPr fontId="5" type="noConversion"/>
  </si>
  <si>
    <t xml:space="preserve">收益 </t>
    <phoneticPr fontId="5" type="noConversion"/>
  </si>
  <si>
    <t>收益率</t>
    <phoneticPr fontId="5" type="noConversion"/>
  </si>
  <si>
    <t>x10</t>
    <phoneticPr fontId="5" type="noConversion"/>
  </si>
  <si>
    <t>怎么看</t>
    <phoneticPr fontId="5" type="noConversion"/>
  </si>
  <si>
    <t>多</t>
    <phoneticPr fontId="5" type="noConversion"/>
  </si>
  <si>
    <t>空</t>
    <phoneticPr fontId="5" type="noConversion"/>
  </si>
  <si>
    <t>x1</t>
    <phoneticPr fontId="5" type="noConversion"/>
  </si>
  <si>
    <t>A</t>
  </si>
  <si>
    <t>B</t>
  </si>
  <si>
    <t>C</t>
  </si>
  <si>
    <t>D</t>
  </si>
  <si>
    <t>O</t>
  </si>
  <si>
    <t>E</t>
  </si>
  <si>
    <t>F</t>
  </si>
  <si>
    <t>G</t>
  </si>
  <si>
    <t>H</t>
  </si>
  <si>
    <t>p1/p0</t>
  </si>
  <si>
    <t>ETH</t>
  </si>
  <si>
    <r>
      <t>e(ETH</t>
    </r>
    <r>
      <rPr>
        <sz val="9.6"/>
        <color rgb="FF555555"/>
        <rFont val="宋体"/>
        <family val="2"/>
        <charset val="134"/>
      </rPr>
      <t>数量</t>
    </r>
    <r>
      <rPr>
        <sz val="9.6"/>
        <color rgb="FF555555"/>
        <rFont val="Arial"/>
        <family val="2"/>
      </rPr>
      <t>)</t>
    </r>
    <phoneticPr fontId="5" type="noConversion"/>
  </si>
  <si>
    <t>DAI</t>
    <phoneticPr fontId="5" type="noConversion"/>
  </si>
  <si>
    <r>
      <t>t(DAI</t>
    </r>
    <r>
      <rPr>
        <sz val="9.6"/>
        <color rgb="FF555555"/>
        <rFont val="宋体"/>
        <family val="2"/>
        <charset val="134"/>
      </rPr>
      <t>数量</t>
    </r>
    <r>
      <rPr>
        <sz val="9.6"/>
        <color rgb="FF555555"/>
        <rFont val="Arial"/>
        <family val="2"/>
      </rPr>
      <t>)</t>
    </r>
    <phoneticPr fontId="5" type="noConversion"/>
  </si>
  <si>
    <t>k</t>
    <phoneticPr fontId="5" type="noConversion"/>
  </si>
  <si>
    <t>p(DAI/ETH)</t>
    <phoneticPr fontId="5" type="noConversion"/>
  </si>
  <si>
    <r>
      <t>v0(hold</t>
    </r>
    <r>
      <rPr>
        <sz val="9.6"/>
        <color rgb="FF555555"/>
        <rFont val="宋体"/>
        <family val="2"/>
        <charset val="134"/>
      </rPr>
      <t>时资金</t>
    </r>
    <r>
      <rPr>
        <sz val="9.6"/>
        <color rgb="FF555555"/>
        <rFont val="Arial"/>
        <family val="2"/>
      </rPr>
      <t>)</t>
    </r>
    <phoneticPr fontId="5" type="noConversion"/>
  </si>
  <si>
    <r>
      <t>DAI</t>
    </r>
    <r>
      <rPr>
        <sz val="9.6"/>
        <color rgb="FF555555"/>
        <rFont val="宋体"/>
        <family val="2"/>
        <charset val="134"/>
      </rPr>
      <t>结算</t>
    </r>
    <phoneticPr fontId="5" type="noConversion"/>
  </si>
  <si>
    <t>impermanent loss</t>
    <phoneticPr fontId="5" type="noConversion"/>
  </si>
  <si>
    <r>
      <t>v1(</t>
    </r>
    <r>
      <rPr>
        <sz val="9.6"/>
        <color rgb="FF555555"/>
        <rFont val="宋体"/>
        <family val="2"/>
        <charset val="134"/>
      </rPr>
      <t>放入流动池后的资金</t>
    </r>
    <r>
      <rPr>
        <sz val="9.6"/>
        <color rgb="FF555555"/>
        <rFont val="Arial"/>
        <family val="2"/>
      </rPr>
      <t>)</t>
    </r>
    <phoneticPr fontId="5" type="noConversion"/>
  </si>
  <si>
    <t>DAI结算</t>
    <phoneticPr fontId="5" type="noConversion"/>
  </si>
  <si>
    <t>impermanant loss的比率与当前价格变化的关系，O列表示资金刚放入流动池的情况，O-&gt;H表示价格上涨时impermanent loss的变化，A&lt;-O表示价格下跌时impermanent loss的变化。</t>
    <phoneticPr fontId="5" type="noConversion"/>
  </si>
  <si>
    <t>L(v1/v0)</t>
    <phoneticPr fontId="5" type="noConversion"/>
  </si>
  <si>
    <r>
      <t>ETH</t>
    </r>
    <r>
      <rPr>
        <sz val="9.6"/>
        <color rgb="FF555555"/>
        <rFont val="宋体"/>
        <family val="2"/>
        <charset val="134"/>
      </rPr>
      <t>前后价格比</t>
    </r>
    <phoneticPr fontId="5" type="noConversion"/>
  </si>
  <si>
    <r>
      <t>alpha</t>
    </r>
    <r>
      <rPr>
        <b/>
        <sz val="9.6"/>
        <color rgb="FF555555"/>
        <rFont val="宋体"/>
        <family val="2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宋体"/>
        <family val="2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宋体"/>
        <family val="2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宋体"/>
        <family val="2"/>
        <charset val="134"/>
      </rPr>
      <t>是之前的兑换前的流动量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</si>
  <si>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购买时消耗的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</si>
  <si>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r>
      <t>DAI</t>
    </r>
    <r>
      <rPr>
        <b/>
        <sz val="9.6"/>
        <color rgb="FF555555"/>
        <rFont val="微软雅黑"/>
        <family val="2"/>
        <charset val="134"/>
      </rPr>
      <t>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</si>
  <si>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2"/>
        <charset val="134"/>
      </rPr>
      <t>计价流动量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Arial"/>
        <family val="2"/>
      </rPr>
      <t>x2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</si>
  <si>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r>
      <rPr>
        <b/>
        <sz val="9.6"/>
        <color rgb="FF555555"/>
        <rFont val="宋体"/>
        <family val="2"/>
        <charset val="134"/>
      </rPr>
      <t>购买时计价的</t>
    </r>
    <r>
      <rPr>
        <b/>
        <sz val="9.6"/>
        <color rgb="FF555555"/>
        <rFont val="Arial"/>
        <family val="2"/>
        <charset val="134"/>
      </rPr>
      <t xml:space="preserve">DAI 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Calibri"/>
        <family val="2"/>
        <charset val="161"/>
      </rPr>
      <t>Δ</t>
    </r>
    <r>
      <rPr>
        <b/>
        <sz val="9.6"/>
        <color rgb="FF555555"/>
        <rFont val="Arial"/>
        <family val="2"/>
        <charset val="134"/>
      </rPr>
      <t>X2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</si>
  <si>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r>
      <rPr>
        <b/>
        <sz val="9.6"/>
        <color rgb="FF555555"/>
        <rFont val="宋体"/>
        <family val="2"/>
        <charset val="134"/>
      </rPr>
      <t>计算</t>
    </r>
    <r>
      <rPr>
        <b/>
        <sz val="9.6"/>
        <color rgb="FF555555"/>
        <rFont val="Arial"/>
        <family val="2"/>
      </rPr>
      <t>k</t>
    </r>
    <phoneticPr fontId="5" type="noConversion"/>
  </si>
  <si>
    <t>利差</t>
    <phoneticPr fontId="5" type="noConversion"/>
  </si>
  <si>
    <t>p1/p0</t>
    <phoneticPr fontId="5" type="noConversion"/>
  </si>
  <si>
    <t>总资产（DAI计价）原来v0</t>
    <phoneticPr fontId="5" type="noConversion"/>
  </si>
  <si>
    <t>总资产（DAI计价）v1</t>
    <phoneticPr fontId="5" type="noConversion"/>
  </si>
  <si>
    <t>v1/v0</t>
    <phoneticPr fontId="5" type="noConversion"/>
  </si>
  <si>
    <t>根据上面数据画出的函数图像，蓝色的曲线是不包含手续费的，黄色的图像包含手续费，红色的线条是我手动添加上去的为了方便说明。
先看蓝色曲线，当不计算手续费收益的情况下，无论币价上涨或下跌，流动性提供者100%会有损失。
再看黄色的曲线，由于黄色曲线是计算手续费收益的，所以只要币价在一个范围内波动，流动性提供者可以稳赚手续费收益。
PS:这里手续费10% 应该是 池中手续费占比</t>
    <phoneticPr fontId="5" type="noConversion"/>
  </si>
  <si>
    <t>x</t>
    <phoneticPr fontId="5" type="noConversion"/>
  </si>
  <si>
    <t>y</t>
    <phoneticPr fontId="5" type="noConversion"/>
  </si>
  <si>
    <t>y1</t>
    <phoneticPr fontId="5" type="noConversion"/>
  </si>
  <si>
    <t>流动性的百分比</t>
    <phoneticPr fontId="5" type="noConversion"/>
  </si>
  <si>
    <t>L1</t>
    <phoneticPr fontId="5" type="noConversion"/>
  </si>
  <si>
    <t>L2</t>
    <phoneticPr fontId="5" type="noConversion"/>
  </si>
  <si>
    <t>fee=L2-L2</t>
    <phoneticPr fontId="5" type="noConversion"/>
  </si>
  <si>
    <t>y^</t>
    <phoneticPr fontId="5" type="noConversion"/>
  </si>
  <si>
    <t>x^</t>
    <phoneticPr fontId="5" type="noConversion"/>
  </si>
  <si>
    <t>x^+y^</t>
    <phoneticPr fontId="5" type="noConversion"/>
  </si>
  <si>
    <t>流动性的百分比(fee/L2)</t>
    <phoneticPr fontId="5" type="noConversion"/>
  </si>
  <si>
    <r>
      <t>alpha</t>
    </r>
    <r>
      <rPr>
        <b/>
        <sz val="9.6"/>
        <color rgb="FF555555"/>
        <rFont val="等线"/>
        <family val="2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等线"/>
        <family val="2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等线"/>
        <family val="2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等线"/>
        <family val="2"/>
        <charset val="134"/>
      </rPr>
      <t>是之前的兑换前的流动量</t>
    </r>
    <phoneticPr fontId="5" type="noConversion"/>
  </si>
  <si>
    <t>50%的手续费</t>
    <phoneticPr fontId="5" type="noConversion"/>
  </si>
  <si>
    <t>x^（x的增量）</t>
    <phoneticPr fontId="5" type="noConversion"/>
  </si>
  <si>
    <t>y^（y的增量）</t>
    <phoneticPr fontId="5" type="noConversion"/>
  </si>
  <si>
    <t>t=7</t>
    <phoneticPr fontId="5" type="noConversion"/>
  </si>
  <si>
    <t>L(t)</t>
    <phoneticPr fontId="5" type="noConversion"/>
  </si>
  <si>
    <t>s</t>
    <phoneticPr fontId="5" type="noConversion"/>
  </si>
  <si>
    <t>p[user]</t>
    <phoneticPr fontId="5" type="noConversion"/>
  </si>
  <si>
    <t>t=9</t>
    <phoneticPr fontId="5" type="noConversion"/>
  </si>
  <si>
    <t>t=12</t>
    <phoneticPr fontId="5" type="noConversion"/>
  </si>
  <si>
    <t>t=14</t>
    <phoneticPr fontId="5" type="noConversion"/>
  </si>
  <si>
    <t>t=18</t>
    <phoneticPr fontId="5" type="noConversion"/>
  </si>
  <si>
    <t>s+=R/100*(9-7)</t>
    <phoneticPr fontId="5" type="noConversion"/>
  </si>
  <si>
    <t>s+=R/200*(12-9)</t>
    <phoneticPr fontId="5" type="noConversion"/>
  </si>
  <si>
    <t>s+=R/300(14-12)</t>
    <phoneticPr fontId="5" type="noConversion"/>
  </si>
  <si>
    <t>s+=R/100*(18-14)</t>
    <phoneticPr fontId="5" type="noConversion"/>
  </si>
  <si>
    <t>小黄</t>
    <phoneticPr fontId="5" type="noConversion"/>
  </si>
  <si>
    <t>reward=(R/100*(9-7)+R/200*(12-9)-p[user])*100=3.5R</t>
    <phoneticPr fontId="5" type="noConversion"/>
  </si>
  <si>
    <t>p[user]取0</t>
    <phoneticPr fontId="5" type="noConversion"/>
  </si>
  <si>
    <t>p[user]取R/100*(9-7)</t>
    <phoneticPr fontId="5" type="noConversion"/>
  </si>
  <si>
    <t>因为在t=12时小黄的代币数量变化了，所以要计算出变化前的收益。并且更新p[小黄]为s=R/100*(9-7)+R/200*(12-9)</t>
    <phoneticPr fontId="5" type="noConversion"/>
  </si>
  <si>
    <t>p[user]取R/100*(9-7)+R/200*(12-9)</t>
    <phoneticPr fontId="5" type="noConversion"/>
  </si>
  <si>
    <t>大熊</t>
    <phoneticPr fontId="5" type="noConversion"/>
  </si>
  <si>
    <t>reward=(R/300(14-12)+R/200*(12-9)+R/100*(9-7)-p[user])*200+reward=4.83R（4+5/6）</t>
    <phoneticPr fontId="5" type="noConversion"/>
  </si>
  <si>
    <t>reward=(R/100*(18-14)+R/300(14-12)+R/200*(12-9)+R/100*(9-7)-p[user])*100=6.17R(6+1/6)</t>
    <phoneticPr fontId="5" type="noConversion"/>
  </si>
  <si>
    <t>单个ETH价格 (DAI)（交易时）</t>
  </si>
  <si>
    <t>x/y(兑价)</t>
  </si>
  <si>
    <t>原正常价格</t>
    <phoneticPr fontId="5" type="noConversion"/>
  </si>
  <si>
    <t>拉升ETH价格</t>
    <phoneticPr fontId="5" type="noConversion"/>
  </si>
  <si>
    <r>
      <rPr>
        <b/>
        <sz val="9.6"/>
        <color rgb="FF555555"/>
        <rFont val="等线"/>
        <family val="2"/>
        <charset val="134"/>
      </rPr>
      <t>投入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</si>
  <si>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输出的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</si>
  <si>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t>100,000DAI</t>
    <phoneticPr fontId="5" type="noConversion"/>
  </si>
  <si>
    <r>
      <rPr>
        <b/>
        <sz val="9.6"/>
        <color rgb="FF555555"/>
        <rFont val="等线"/>
        <family val="2"/>
        <charset val="134"/>
      </rPr>
      <t>输入的</t>
    </r>
    <r>
      <rPr>
        <b/>
        <sz val="9.6"/>
        <color rgb="FF555555"/>
        <rFont val="Arial"/>
        <family val="2"/>
        <charset val="134"/>
      </rPr>
      <t xml:space="preserve">ETH </t>
    </r>
    <r>
      <rPr>
        <b/>
        <sz val="9.6"/>
        <color rgb="FF555555"/>
        <rFont val="等线"/>
        <family val="2"/>
        <charset val="134"/>
      </rPr>
      <t>（</t>
    </r>
    <r>
      <rPr>
        <b/>
        <sz val="9.6"/>
        <color rgb="FF555555"/>
        <rFont val="Calibri"/>
        <family val="2"/>
        <charset val="161"/>
      </rPr>
      <t>Δ</t>
    </r>
    <r>
      <rPr>
        <b/>
        <sz val="9.6"/>
        <color rgb="FF555555"/>
        <rFont val="Arial"/>
        <family val="2"/>
        <charset val="134"/>
      </rPr>
      <t>y</t>
    </r>
    <r>
      <rPr>
        <b/>
        <sz val="9.6"/>
        <color rgb="FF555555"/>
        <rFont val="等线"/>
        <family val="2"/>
        <charset val="134"/>
      </rPr>
      <t>）</t>
    </r>
    <phoneticPr fontId="5" type="noConversion"/>
  </si>
  <si>
    <t>500ETH兑换100,000DAI</t>
    <phoneticPr fontId="5" type="noConversion"/>
  </si>
  <si>
    <r>
      <rPr>
        <b/>
        <sz val="9.6"/>
        <color rgb="FF555555"/>
        <rFont val="等线"/>
        <family val="2"/>
        <charset val="134"/>
      </rPr>
      <t>成本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</si>
  <si>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t>利润</t>
    <phoneticPr fontId="5" type="noConversion"/>
  </si>
  <si>
    <t>1、正常拉高交易池价格再进行兑换 这种方法是亏本的。
2、bzx协议第一次攻击事件中 关键点为 使用1300ETH就拉高了BTC的价格（本应使用5637.62ETH拉高）PS：当时uniswap是V1
3、分析认为 像这种拉高拉低行为后 往往会借助其他产品（以此时价格进行计算）进行获利操作，也就是说价格操控的目的是将异常的价格喂价给其他产品。</t>
    <phoneticPr fontId="5" type="noConversion"/>
  </si>
  <si>
    <t>发币集中</t>
    <phoneticPr fontId="5" type="noConversion"/>
  </si>
  <si>
    <t>事件打印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</si>
</sst>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_ * #,##0.0000_ ;_ * \-#,##0.0000_ ;_ * &quot;-&quot;????_ ;_ @_ "/>
    <numFmt numFmtId="177" formatCode="_ * #,##0_ ;_ * \-#,##0_ ;_ * &quot;-&quot;????_ ;_ @_ "/>
    <numFmt numFmtId="178" formatCode="0.00_);[Red]\(0.00\)"/>
    <numFmt numFmtId="179" formatCode="0.000%"/>
    <numFmt numFmtId="180" formatCode="0.00_ "/>
    <numFmt numFmtId="181" formatCode="0.000_ "/>
    <numFmt numFmtId="182" formatCode="0.0000_ "/>
    <numFmt numFmtId="183" formatCode="0.0000%"/>
    <numFmt numFmtId="184" formatCode="0_ "/>
    <numFmt numFmtId="185" formatCode="_ * #,##0.00_ ;_ * \-#,##0.00_ ;_ * &quot;-&quot;_ ;_ @_ "/>
  </numFmts>
  <fonts count="1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9.6"/>
      <color rgb="FF555555"/>
      <name val="Arial"/>
      <family val="2"/>
    </font>
    <font>
      <sz val="9.6"/>
      <color rgb="FF555555"/>
      <name val="Arial"/>
      <family val="2"/>
    </font>
    <font>
      <sz val="9"/>
      <name val="等线"/>
      <family val="2"/>
      <charset val="134"/>
      <scheme val="minor"/>
    </font>
    <font>
      <b/>
      <sz val="9.6"/>
      <color rgb="FF555555"/>
      <name val="等线"/>
      <family val="2"/>
      <charset val="134"/>
    </font>
    <font>
      <b/>
      <sz val="9.6"/>
      <color rgb="FF555555"/>
      <name val="宋体"/>
      <family val="2"/>
      <charset val="134"/>
    </font>
    <font>
      <sz val="8"/>
      <color theme="1"/>
      <name val="等线"/>
      <family val="2"/>
      <charset val="134"/>
      <scheme val="minor"/>
    </font>
    <font>
      <b/>
      <sz val="9.6"/>
      <color rgb="FF555555"/>
      <name val="微软雅黑"/>
      <family val="2"/>
      <charset val="134"/>
    </font>
    <font>
      <b/>
      <sz val="9.6"/>
      <color rgb="FF555555"/>
      <name val="Arial"/>
      <family val="2"/>
      <charset val="134"/>
    </font>
    <font>
      <sz val="12"/>
      <color rgb="FF4D4D4D"/>
      <name val="Arial"/>
      <family val="2"/>
    </font>
    <font>
      <sz val="9.6"/>
      <color rgb="FF555555"/>
      <name val="宋体"/>
      <family val="2"/>
      <charset val="134"/>
    </font>
    <font>
      <sz val="9"/>
      <color theme="1"/>
      <name val="等线"/>
      <family val="3"/>
      <charset val="134"/>
      <scheme val="minor"/>
    </font>
    <font>
      <b/>
      <sz val="9.6"/>
      <color rgb="FF555555"/>
      <name val="Calibri"/>
      <family val="2"/>
      <charset val="161"/>
    </font>
    <font>
      <sz val="14"/>
      <color rgb="FF333333"/>
      <name val="MJXc-TeX-math-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9" fontId="4" fillId="3" borderId="1" xfId="3" applyFont="1" applyFill="1" applyBorder="1" applyAlignment="1">
      <alignment vertical="center" wrapText="1"/>
    </xf>
    <xf numFmtId="43" fontId="7" fillId="3" borderId="1" xfId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vertical="center" wrapText="1"/>
    </xf>
    <xf numFmtId="43" fontId="0" fillId="0" borderId="0" xfId="1" applyFont="1">
      <alignment vertical="center"/>
    </xf>
    <xf numFmtId="41" fontId="4" fillId="3" borderId="1" xfId="2" applyFont="1" applyFill="1" applyBorder="1" applyAlignment="1">
      <alignment vertical="center" wrapText="1"/>
    </xf>
    <xf numFmtId="0" fontId="8" fillId="0" borderId="0" xfId="0" applyFont="1">
      <alignment vertical="center"/>
    </xf>
    <xf numFmtId="43" fontId="2" fillId="2" borderId="1" xfId="4" applyNumberFormat="1" applyBorder="1" applyAlignment="1">
      <alignment horizontal="center" vertical="center" wrapText="1"/>
    </xf>
    <xf numFmtId="176" fontId="2" fillId="2" borderId="1" xfId="4" applyNumberFormat="1" applyBorder="1" applyAlignment="1">
      <alignment horizontal="center" vertical="center" wrapText="1"/>
    </xf>
    <xf numFmtId="176" fontId="4" fillId="3" borderId="1" xfId="1" applyNumberFormat="1" applyFont="1" applyFill="1" applyBorder="1" applyAlignment="1">
      <alignment vertical="center" wrapText="1"/>
    </xf>
    <xf numFmtId="176" fontId="0" fillId="0" borderId="0" xfId="1" applyNumberFormat="1" applyFont="1">
      <alignment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77" fontId="4" fillId="3" borderId="1" xfId="1" applyNumberFormat="1" applyFont="1" applyFill="1" applyBorder="1" applyAlignment="1">
      <alignment vertical="center" wrapText="1"/>
    </xf>
    <xf numFmtId="10" fontId="4" fillId="3" borderId="1" xfId="3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11" fillId="0" borderId="0" xfId="0" applyFont="1">
      <alignment vertical="center"/>
    </xf>
    <xf numFmtId="0" fontId="12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8" fontId="2" fillId="2" borderId="1" xfId="4" applyNumberFormat="1" applyBorder="1" applyAlignment="1">
      <alignment horizontal="center" vertical="center" wrapText="1"/>
    </xf>
    <xf numFmtId="178" fontId="4" fillId="3" borderId="1" xfId="1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1" fontId="4" fillId="4" borderId="1" xfId="0" applyNumberFormat="1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10" fontId="4" fillId="3" borderId="0" xfId="0" applyNumberFormat="1" applyFont="1" applyFill="1" applyBorder="1" applyAlignment="1">
      <alignment vertical="center" wrapText="1"/>
    </xf>
    <xf numFmtId="0" fontId="15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179" fontId="0" fillId="0" borderId="0" xfId="3" applyNumberFormat="1" applyFont="1">
      <alignment vertical="center"/>
    </xf>
    <xf numFmtId="180" fontId="0" fillId="0" borderId="0" xfId="3" applyNumberFormat="1" applyFont="1">
      <alignment vertical="center"/>
    </xf>
    <xf numFmtId="181" fontId="0" fillId="0" borderId="0" xfId="3" applyNumberFormat="1" applyFont="1">
      <alignment vertical="center"/>
    </xf>
    <xf numFmtId="182" fontId="0" fillId="0" borderId="0" xfId="3" applyNumberFormat="1" applyFont="1">
      <alignment vertical="center"/>
    </xf>
    <xf numFmtId="183" fontId="0" fillId="0" borderId="0" xfId="3" applyNumberFormat="1" applyFont="1">
      <alignment vertical="center"/>
    </xf>
    <xf numFmtId="1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43" fontId="0" fillId="0" borderId="1" xfId="0" applyNumberFormat="1" applyBorder="1">
      <alignment vertical="center"/>
    </xf>
    <xf numFmtId="185" fontId="0" fillId="0" borderId="1" xfId="0" applyNumberFormat="1" applyBorder="1">
      <alignment vertical="center"/>
    </xf>
    <xf numFmtId="41" fontId="0" fillId="0" borderId="1" xfId="0" applyNumberFormat="1" applyBorder="1">
      <alignment vertical="center"/>
    </xf>
    <xf numFmtId="0" fontId="0" fillId="0" borderId="4" xfId="0" applyFill="1" applyBorder="1">
      <alignment vertical="center"/>
    </xf>
    <xf numFmtId="41" fontId="0" fillId="0" borderId="4" xfId="0" applyNumberFormat="1" applyFill="1" applyBorder="1">
      <alignment vertical="center"/>
    </xf>
    <xf numFmtId="185" fontId="0" fillId="0" borderId="4" xfId="0" applyNumberFormat="1" applyFill="1" applyBorder="1">
      <alignment vertical="center"/>
    </xf>
    <xf numFmtId="43" fontId="0" fillId="0" borderId="4" xfId="0" applyNumberFormat="1" applyFill="1" applyBorder="1">
      <alignment vertical="center"/>
    </xf>
    <xf numFmtId="0" fontId="10" fillId="3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</cellXfs>
  <cellStyles count="5">
    <cellStyle name="百分比" xfId="3" builtinId="5"/>
    <cellStyle name="常规" xfId="0" builtinId="0"/>
    <cellStyle name="千位分隔" xfId="1" builtinId="3"/>
    <cellStyle name="千位分隔[0]" xfId="2" builtinId="6"/>
    <cellStyle name="着色 4" xfId="4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345288</xdr:colOff>
      <xdr:row>7</xdr:row>
      <xdr:rowOff>70034</xdr:rowOff>
    </xdr:from>
    <xdr:to>
      <xdr:col>21</xdr:col>
      <xdr:colOff>373645</xdr:colOff>
      <xdr:row>23</xdr:row>
      <xdr:rowOff>161084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351B0FB-1960-4B1D-A91A-8BAED34E9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2016" y="1610843"/>
          <a:ext cx="5519239" cy="3578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203200</xdr:colOff>
      <xdr:row>1</xdr:row>
      <xdr:rowOff>132010</xdr:rowOff>
    </xdr:from>
    <xdr:to>
      <xdr:col>20</xdr:col>
      <xdr:colOff>361530</xdr:colOff>
      <xdr:row>25</xdr:row>
      <xdr:rowOff>26756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F3FBF3B-83C4-4C9D-BA1C-26B0B4B3E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316160"/>
          <a:ext cx="8387930" cy="43143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</xdr:rowOff>
    </xdr:from>
    <xdr:to>
      <xdr:col>1</xdr:col>
      <xdr:colOff>805189</xdr:colOff>
      <xdr:row>1</xdr:row>
      <xdr:rowOff>175847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4EAE468-2E45-4105-A8AE-2F696E939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731" y="183174"/>
          <a:ext cx="805189" cy="1758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822338</xdr:colOff>
      <xdr:row>2</xdr:row>
      <xdr:rowOff>175846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A600EAE-F6F3-4137-B923-884C6047D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731" y="366346"/>
          <a:ext cx="822338" cy="1758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805189</xdr:colOff>
      <xdr:row>3</xdr:row>
      <xdr:rowOff>175846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72FC28C-9C80-4E51-A2E0-98C9949E0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731" y="549519"/>
          <a:ext cx="805189" cy="175846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</xdr:row>
      <xdr:rowOff>7328</xdr:rowOff>
    </xdr:from>
    <xdr:to>
      <xdr:col>1</xdr:col>
      <xdr:colOff>798634</xdr:colOff>
      <xdr:row>5</xdr:row>
      <xdr:rowOff>174981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88509AE-A419-4E16-808C-BE0BEA9E9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923193"/>
          <a:ext cx="820615" cy="167653"/>
        </a:xfrm>
        <a:prstGeom prst="rect">
          <a:avLst/>
        </a:prstGeom>
      </xdr:spPr>
    </xdr:pic>
    <xdr:clientData/>
  </xdr:twoCellAnchor>
  <xdr:twoCellAnchor editAs="oneCell">
    <xdr:from>
      <xdr:col>0</xdr:col>
      <xdr:colOff>669681</xdr:colOff>
      <xdr:row>3</xdr:row>
      <xdr:rowOff>167542</xdr:rowOff>
    </xdr:from>
    <xdr:to>
      <xdr:col>1</xdr:col>
      <xdr:colOff>825500</xdr:colOff>
      <xdr:row>4</xdr:row>
      <xdr:rowOff>165598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D49B34C-3EF5-47B0-A650-84D2D0291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681" y="719992"/>
          <a:ext cx="841619" cy="182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F3E5-7D34-4A51-979D-A892FCDB2E15}">
  <dimension ref="A1:Q25"/>
  <sheetViews>
    <sheetView topLeftCell="B1" zoomScale="130" zoomScaleNormal="130" workbookViewId="0">
      <selection activeCell="H8" sqref="H8:J8"/>
    </sheetView>
  </sheetViews>
  <sheetFormatPr defaultRowHeight="14.25"/>
  <cols>
    <col min="1" max="2" width="10.875" bestFit="1" customWidth="1"/>
    <col min="4" max="4" width="12.375" style="8" customWidth="1"/>
    <col min="5" max="5" width="13.375" style="14" customWidth="1"/>
    <col min="6" max="7" width="14.5" style="14" customWidth="1"/>
    <col min="8" max="8" width="11" bestFit="1" customWidth="1"/>
    <col min="9" max="9" width="11.5" bestFit="1" customWidth="1"/>
    <col min="10" max="10" width="9.875" bestFit="1" customWidth="1"/>
    <col min="13" max="14" width="10.875" bestFit="1" customWidth="1"/>
    <col min="16" max="16" width="12.625" customWidth="1"/>
  </cols>
  <sheetData>
    <row r="1" spans="1:17" ht="42.75">
      <c r="A1" s="1" t="s">
        <v>0</v>
      </c>
      <c r="B1" s="16" t="s">
        <v>17</v>
      </c>
      <c r="C1" s="1" t="s">
        <v>2</v>
      </c>
      <c r="D1" s="11" t="s">
        <v>11</v>
      </c>
      <c r="E1" s="12" t="s">
        <v>13</v>
      </c>
      <c r="F1" s="12" t="s">
        <v>12</v>
      </c>
      <c r="G1" s="12" t="s">
        <v>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16</v>
      </c>
      <c r="M1" s="1" t="s">
        <v>8</v>
      </c>
      <c r="N1" s="1" t="s">
        <v>9</v>
      </c>
      <c r="O1" s="2"/>
      <c r="P1" s="1" t="s">
        <v>78</v>
      </c>
      <c r="Q1" s="2"/>
    </row>
    <row r="2" spans="1:17">
      <c r="A2" s="3"/>
      <c r="B2" s="3"/>
      <c r="C2" s="3"/>
      <c r="D2" s="7"/>
      <c r="E2" s="13"/>
      <c r="F2" s="13"/>
      <c r="G2" s="13"/>
      <c r="H2" s="3"/>
      <c r="I2" s="3">
        <v>100000</v>
      </c>
      <c r="J2" s="3">
        <v>1000</v>
      </c>
      <c r="K2" s="3">
        <v>100000000</v>
      </c>
      <c r="L2" s="3">
        <v>100</v>
      </c>
      <c r="M2" s="3"/>
      <c r="N2" s="3"/>
      <c r="O2" s="2"/>
      <c r="P2" s="2"/>
      <c r="Q2" s="2"/>
    </row>
    <row r="3" spans="1:17">
      <c r="A3" s="3">
        <v>1</v>
      </c>
      <c r="B3" s="3">
        <v>100.10010010000001</v>
      </c>
      <c r="C3" s="4">
        <v>1E-3</v>
      </c>
      <c r="D3" s="7">
        <f t="shared" ref="D3:D10" si="0">H3-A3*100</f>
        <v>0.10010010000000591</v>
      </c>
      <c r="E3" s="13">
        <f>(H3-A3*100)/(A3*100)</f>
        <v>1.001001000000059E-3</v>
      </c>
      <c r="F3" s="13">
        <f>(H3-A3*100)</f>
        <v>0.10010010000000591</v>
      </c>
      <c r="G3" s="17">
        <f>A3*100</f>
        <v>100</v>
      </c>
      <c r="H3" s="3">
        <v>100.10010010000001</v>
      </c>
      <c r="I3" s="3">
        <v>100100.1001</v>
      </c>
      <c r="J3" s="3">
        <v>999</v>
      </c>
      <c r="K3" s="3">
        <v>100000000</v>
      </c>
      <c r="L3" s="3">
        <v>100.2003004</v>
      </c>
      <c r="M3" s="3">
        <v>1.0010010000000001E-3</v>
      </c>
      <c r="N3" s="3">
        <v>1E-3</v>
      </c>
      <c r="O3" s="2"/>
      <c r="P3" s="2"/>
      <c r="Q3" s="2"/>
    </row>
    <row r="4" spans="1:17">
      <c r="A4" s="3">
        <v>10</v>
      </c>
      <c r="B4" s="3">
        <v>101.01010100000001</v>
      </c>
      <c r="C4" s="4">
        <v>1.01E-2</v>
      </c>
      <c r="D4" s="7">
        <f t="shared" si="0"/>
        <v>10.101009999999974</v>
      </c>
      <c r="E4" s="13">
        <f>(H4-A4*100)/(A4*100)</f>
        <v>1.0101009999999975E-2</v>
      </c>
      <c r="F4" s="13">
        <f t="shared" ref="F4:F10" si="1">(H4-A4*100)</f>
        <v>10.101009999999974</v>
      </c>
      <c r="G4" s="17">
        <f t="shared" ref="G4:G10" si="2">A4*100</f>
        <v>1000</v>
      </c>
      <c r="H4" s="3">
        <v>1010.10101</v>
      </c>
      <c r="I4" s="3">
        <v>101010.101</v>
      </c>
      <c r="J4" s="3">
        <v>990</v>
      </c>
      <c r="K4" s="3">
        <v>100000000</v>
      </c>
      <c r="L4" s="3">
        <v>102.0304051</v>
      </c>
      <c r="M4" s="3">
        <v>1.0101010000000001E-2</v>
      </c>
      <c r="N4" s="3">
        <v>0.01</v>
      </c>
      <c r="O4" s="2"/>
      <c r="P4" s="2"/>
      <c r="Q4" s="2"/>
    </row>
    <row r="5" spans="1:17">
      <c r="A5" s="3">
        <v>50</v>
      </c>
      <c r="B5" s="3">
        <v>105.2631579</v>
      </c>
      <c r="C5" s="4">
        <v>5.2600000000000001E-2</v>
      </c>
      <c r="D5" s="7">
        <f t="shared" si="0"/>
        <v>263.15789500000028</v>
      </c>
      <c r="E5" s="13">
        <f>(H5-A5*100)/(A5*100)</f>
        <v>5.2631579000000053E-2</v>
      </c>
      <c r="F5" s="13">
        <f t="shared" si="1"/>
        <v>263.15789500000028</v>
      </c>
      <c r="G5" s="17">
        <f t="shared" si="2"/>
        <v>5000</v>
      </c>
      <c r="H5" s="3">
        <v>5263.1578950000003</v>
      </c>
      <c r="I5" s="3">
        <v>105263.15790000001</v>
      </c>
      <c r="J5" s="3">
        <v>950</v>
      </c>
      <c r="K5" s="3">
        <v>100000000</v>
      </c>
      <c r="L5" s="3">
        <v>110.8033241</v>
      </c>
      <c r="M5" s="3">
        <v>5.2631578999999998E-2</v>
      </c>
      <c r="N5" s="3">
        <v>0.05</v>
      </c>
      <c r="O5" s="2"/>
      <c r="P5" s="2"/>
      <c r="Q5" s="2"/>
    </row>
    <row r="6" spans="1:17">
      <c r="A6" s="3">
        <v>100</v>
      </c>
      <c r="B6" s="3">
        <v>111.1111111</v>
      </c>
      <c r="C6" s="4">
        <v>0.1111</v>
      </c>
      <c r="D6" s="7">
        <f t="shared" si="0"/>
        <v>1111.1111099999998</v>
      </c>
      <c r="E6" s="13">
        <f t="shared" ref="E6:E9" si="3">(H6-A6*100)/(A6*100)</f>
        <v>0.11111111099999998</v>
      </c>
      <c r="F6" s="13">
        <f t="shared" si="1"/>
        <v>1111.1111099999998</v>
      </c>
      <c r="G6" s="17">
        <f t="shared" si="2"/>
        <v>10000</v>
      </c>
      <c r="H6" s="3">
        <v>11111.11111</v>
      </c>
      <c r="I6" s="3">
        <v>111111.11109999999</v>
      </c>
      <c r="J6" s="3">
        <v>900</v>
      </c>
      <c r="K6" s="3">
        <v>100000000</v>
      </c>
      <c r="L6" s="3">
        <v>123.45679010000001</v>
      </c>
      <c r="M6" s="3">
        <v>0.111111111</v>
      </c>
      <c r="N6" s="3">
        <v>0.1</v>
      </c>
      <c r="O6" s="2"/>
      <c r="P6" s="2"/>
      <c r="Q6" s="2"/>
    </row>
    <row r="7" spans="1:17">
      <c r="A7" s="3">
        <v>200</v>
      </c>
      <c r="B7" s="3">
        <v>125</v>
      </c>
      <c r="C7" s="4">
        <v>0.25</v>
      </c>
      <c r="D7" s="7">
        <f t="shared" si="0"/>
        <v>5000</v>
      </c>
      <c r="E7" s="13">
        <f t="shared" si="3"/>
        <v>0.25</v>
      </c>
      <c r="F7" s="17">
        <f t="shared" si="1"/>
        <v>5000</v>
      </c>
      <c r="G7" s="17">
        <f t="shared" si="2"/>
        <v>20000</v>
      </c>
      <c r="H7" s="9">
        <v>25000</v>
      </c>
      <c r="I7" s="9">
        <v>125000</v>
      </c>
      <c r="J7" s="3">
        <v>800</v>
      </c>
      <c r="K7" s="3">
        <v>100000000</v>
      </c>
      <c r="L7" s="3">
        <v>156.25</v>
      </c>
      <c r="M7" s="3">
        <v>0.25</v>
      </c>
      <c r="N7" s="3">
        <v>0.2</v>
      </c>
      <c r="O7" s="2"/>
      <c r="P7" s="2"/>
      <c r="Q7" s="2"/>
    </row>
    <row r="8" spans="1:17">
      <c r="A8" s="3">
        <v>500</v>
      </c>
      <c r="B8" s="3">
        <v>200</v>
      </c>
      <c r="C8" s="4">
        <v>1</v>
      </c>
      <c r="D8" s="7">
        <f t="shared" si="0"/>
        <v>50000</v>
      </c>
      <c r="E8" s="13">
        <f t="shared" si="3"/>
        <v>1</v>
      </c>
      <c r="F8" s="17">
        <f t="shared" si="1"/>
        <v>50000</v>
      </c>
      <c r="G8" s="17">
        <f t="shared" si="2"/>
        <v>50000</v>
      </c>
      <c r="H8" s="9">
        <v>100000</v>
      </c>
      <c r="I8" s="9">
        <v>200000</v>
      </c>
      <c r="J8" s="3">
        <v>500</v>
      </c>
      <c r="K8" s="3">
        <v>100000000</v>
      </c>
      <c r="L8" s="3">
        <v>400</v>
      </c>
      <c r="M8" s="3">
        <v>1</v>
      </c>
      <c r="N8" s="3">
        <v>0.5</v>
      </c>
      <c r="O8" s="2"/>
      <c r="P8" s="2"/>
      <c r="Q8" s="2"/>
    </row>
    <row r="9" spans="1:17">
      <c r="A9" s="3">
        <v>800</v>
      </c>
      <c r="B9" s="3">
        <v>500</v>
      </c>
      <c r="C9" s="4">
        <v>4</v>
      </c>
      <c r="D9" s="7">
        <f t="shared" si="0"/>
        <v>320000</v>
      </c>
      <c r="E9" s="13">
        <f t="shared" si="3"/>
        <v>4</v>
      </c>
      <c r="F9" s="17">
        <f t="shared" si="1"/>
        <v>320000</v>
      </c>
      <c r="G9" s="17">
        <f t="shared" si="2"/>
        <v>80000</v>
      </c>
      <c r="H9" s="9">
        <v>400000</v>
      </c>
      <c r="I9" s="9">
        <v>500000</v>
      </c>
      <c r="J9" s="3">
        <v>200</v>
      </c>
      <c r="K9" s="3">
        <v>100000000</v>
      </c>
      <c r="L9" s="3">
        <v>2500</v>
      </c>
      <c r="M9" s="3">
        <v>4</v>
      </c>
      <c r="N9" s="3">
        <v>0.8</v>
      </c>
      <c r="O9" s="2"/>
      <c r="P9" s="2"/>
      <c r="Q9" s="2"/>
    </row>
    <row r="10" spans="1:17">
      <c r="A10" s="3">
        <v>999</v>
      </c>
      <c r="B10" s="3">
        <v>100000</v>
      </c>
      <c r="C10" s="4">
        <v>999</v>
      </c>
      <c r="D10" s="7">
        <f t="shared" si="0"/>
        <v>99800100</v>
      </c>
      <c r="E10" s="13">
        <f>(H10-A10*100)/(A10*100)</f>
        <v>999</v>
      </c>
      <c r="F10" s="17">
        <f t="shared" si="1"/>
        <v>99800100</v>
      </c>
      <c r="G10" s="17">
        <f t="shared" si="2"/>
        <v>99900</v>
      </c>
      <c r="H10" s="9">
        <v>99900000</v>
      </c>
      <c r="I10" s="9">
        <v>100000000</v>
      </c>
      <c r="J10" s="3">
        <v>1</v>
      </c>
      <c r="K10" s="3">
        <v>100000000</v>
      </c>
      <c r="L10" s="3">
        <v>100000000</v>
      </c>
      <c r="M10" s="3">
        <v>999</v>
      </c>
      <c r="N10" s="3">
        <v>0.999</v>
      </c>
      <c r="O10" s="2"/>
      <c r="P10" s="2"/>
      <c r="Q10" s="2"/>
    </row>
    <row r="14" spans="1:17">
      <c r="H14" s="10" t="s">
        <v>14</v>
      </c>
    </row>
    <row r="15" spans="1:17" ht="18" customHeight="1"/>
    <row r="16" spans="1:17" ht="49.5">
      <c r="A16" s="1" t="s">
        <v>0</v>
      </c>
      <c r="B16" s="1" t="s">
        <v>1</v>
      </c>
      <c r="C16" s="1" t="s">
        <v>2</v>
      </c>
      <c r="D16" s="6" t="s">
        <v>11</v>
      </c>
      <c r="E16" s="15" t="s">
        <v>15</v>
      </c>
      <c r="F16" s="15" t="s">
        <v>18</v>
      </c>
      <c r="G16" s="15" t="s">
        <v>19</v>
      </c>
      <c r="H16" s="1" t="s">
        <v>3</v>
      </c>
      <c r="I16" s="1" t="s">
        <v>4</v>
      </c>
      <c r="J16" s="1" t="s">
        <v>5</v>
      </c>
      <c r="K16" s="1" t="s">
        <v>6</v>
      </c>
      <c r="L16" s="1" t="s">
        <v>7</v>
      </c>
      <c r="M16" s="1" t="s">
        <v>8</v>
      </c>
      <c r="N16" s="1" t="s">
        <v>9</v>
      </c>
      <c r="O16" s="2"/>
      <c r="P16" s="1" t="s">
        <v>55</v>
      </c>
      <c r="Q16" s="2"/>
    </row>
    <row r="17" spans="1:17">
      <c r="A17" s="3"/>
      <c r="B17" s="3"/>
      <c r="C17" s="5"/>
      <c r="D17" s="7"/>
      <c r="E17" s="13"/>
      <c r="F17" s="13"/>
      <c r="G17" s="13"/>
      <c r="H17" s="3"/>
      <c r="I17" s="3">
        <v>100000</v>
      </c>
      <c r="J17" s="3">
        <v>1000</v>
      </c>
      <c r="K17" s="3">
        <v>100000000</v>
      </c>
      <c r="L17" s="3">
        <v>100</v>
      </c>
      <c r="M17" s="3"/>
      <c r="N17" s="3"/>
      <c r="O17" s="2"/>
      <c r="P17" s="2"/>
      <c r="Q17" s="2"/>
    </row>
    <row r="18" spans="1:17">
      <c r="A18" s="3">
        <f>1000-J18</f>
        <v>0.99900099900105488</v>
      </c>
      <c r="B18" s="3">
        <f>H18/A18</f>
        <v>100.0999999999944</v>
      </c>
      <c r="C18" s="18">
        <f>E18</f>
        <v>-9.9900099894512095E-4</v>
      </c>
      <c r="D18" s="7">
        <f>H18/100-A18</f>
        <v>9.9900099894512095E-4</v>
      </c>
      <c r="E18" s="13">
        <f t="shared" ref="E18:E25" si="4">(A18-H18/100)/(H18/100)</f>
        <v>-9.9900099894512095E-4</v>
      </c>
      <c r="F18" s="13">
        <f>A18-H18/100</f>
        <v>-9.9900099894512095E-4</v>
      </c>
      <c r="G18" s="17">
        <f>H18/100</f>
        <v>1</v>
      </c>
      <c r="H18" s="3">
        <v>100</v>
      </c>
      <c r="I18" s="3">
        <v>100100</v>
      </c>
      <c r="J18" s="3">
        <f>K18/I18</f>
        <v>999.00099900099895</v>
      </c>
      <c r="K18" s="3">
        <v>100000000</v>
      </c>
      <c r="L18" s="3">
        <f>I18/J18</f>
        <v>100.20010000000001</v>
      </c>
      <c r="M18" s="3">
        <f>H18/100000</f>
        <v>1E-3</v>
      </c>
      <c r="N18" s="3">
        <f>A18/1000</f>
        <v>9.9900099900105494E-4</v>
      </c>
      <c r="O18" s="2"/>
      <c r="P18" s="2"/>
      <c r="Q18" s="2"/>
    </row>
    <row r="19" spans="1:17">
      <c r="A19" s="3">
        <f t="shared" ref="A19:A25" si="5">1000-J19</f>
        <v>9.9009900990098458</v>
      </c>
      <c r="B19" s="3">
        <f t="shared" ref="B19:B25" si="6">H19/A19</f>
        <v>101.00000000000057</v>
      </c>
      <c r="C19" s="18">
        <f>E19</f>
        <v>-9.9009900990154158E-3</v>
      </c>
      <c r="D19" s="7">
        <f t="shared" ref="D19:D25" si="7">H19/100-A19</f>
        <v>9.9009900990154165E-2</v>
      </c>
      <c r="E19" s="13">
        <f t="shared" si="4"/>
        <v>-9.9009900990154158E-3</v>
      </c>
      <c r="F19" s="13">
        <f t="shared" ref="F19:F25" si="8">A19-H19/100</f>
        <v>-9.9009900990154165E-2</v>
      </c>
      <c r="G19" s="17">
        <f t="shared" ref="G19:G25" si="9">H19/100</f>
        <v>10</v>
      </c>
      <c r="H19" s="3">
        <v>1000</v>
      </c>
      <c r="I19" s="3">
        <v>101000</v>
      </c>
      <c r="J19" s="3">
        <f t="shared" ref="J19:J25" si="10">K19/I19</f>
        <v>990.09900990099015</v>
      </c>
      <c r="K19" s="3">
        <v>100000000</v>
      </c>
      <c r="L19" s="3">
        <f t="shared" ref="L19:L25" si="11">I19/J19</f>
        <v>102.00999999999999</v>
      </c>
      <c r="M19" s="3">
        <f t="shared" ref="M19:M25" si="12">H19/100000</f>
        <v>0.01</v>
      </c>
      <c r="N19" s="3">
        <f t="shared" ref="N19:N25" si="13">A19/1000</f>
        <v>9.9009900990098456E-3</v>
      </c>
      <c r="O19" s="2"/>
      <c r="P19" s="2"/>
      <c r="Q19" s="2"/>
    </row>
    <row r="20" spans="1:17">
      <c r="A20" s="3">
        <f t="shared" si="5"/>
        <v>47.619047619047592</v>
      </c>
      <c r="B20" s="3">
        <f t="shared" si="6"/>
        <v>105.00000000000006</v>
      </c>
      <c r="C20" s="18">
        <f t="shared" ref="C20:C25" si="14">E20</f>
        <v>-4.7619047619048158E-2</v>
      </c>
      <c r="D20" s="7">
        <f t="shared" si="7"/>
        <v>2.380952380952408</v>
      </c>
      <c r="E20" s="13">
        <f t="shared" si="4"/>
        <v>-4.7619047619048158E-2</v>
      </c>
      <c r="F20" s="13">
        <f t="shared" si="8"/>
        <v>-2.380952380952408</v>
      </c>
      <c r="G20" s="17">
        <f t="shared" si="9"/>
        <v>50</v>
      </c>
      <c r="H20" s="3">
        <v>5000</v>
      </c>
      <c r="I20" s="3">
        <v>105000</v>
      </c>
      <c r="J20" s="3">
        <f t="shared" si="10"/>
        <v>952.38095238095241</v>
      </c>
      <c r="K20" s="3">
        <v>100000000</v>
      </c>
      <c r="L20" s="3">
        <f t="shared" si="11"/>
        <v>110.25</v>
      </c>
      <c r="M20" s="3">
        <f t="shared" si="12"/>
        <v>0.05</v>
      </c>
      <c r="N20" s="3">
        <f t="shared" si="13"/>
        <v>4.7619047619047589E-2</v>
      </c>
      <c r="O20" s="2"/>
      <c r="P20" s="2"/>
      <c r="Q20" s="2"/>
    </row>
    <row r="21" spans="1:17">
      <c r="A21" s="3">
        <f t="shared" si="5"/>
        <v>90.909090909090878</v>
      </c>
      <c r="B21" s="3">
        <f t="shared" si="6"/>
        <v>110.00000000000004</v>
      </c>
      <c r="C21" s="18">
        <f t="shared" si="14"/>
        <v>-9.0909090909091217E-2</v>
      </c>
      <c r="D21" s="7">
        <f t="shared" si="7"/>
        <v>9.0909090909091219</v>
      </c>
      <c r="E21" s="13">
        <f t="shared" si="4"/>
        <v>-9.0909090909091217E-2</v>
      </c>
      <c r="F21" s="13">
        <f t="shared" si="8"/>
        <v>-9.0909090909091219</v>
      </c>
      <c r="G21" s="17">
        <f t="shared" si="9"/>
        <v>100</v>
      </c>
      <c r="H21" s="3">
        <v>10000</v>
      </c>
      <c r="I21" s="3">
        <v>110000</v>
      </c>
      <c r="J21" s="3">
        <f t="shared" si="10"/>
        <v>909.09090909090912</v>
      </c>
      <c r="K21" s="3">
        <v>100000000</v>
      </c>
      <c r="L21" s="3">
        <f t="shared" si="11"/>
        <v>121</v>
      </c>
      <c r="M21" s="3">
        <f t="shared" si="12"/>
        <v>0.1</v>
      </c>
      <c r="N21" s="3">
        <f t="shared" si="13"/>
        <v>9.0909090909090884E-2</v>
      </c>
      <c r="O21" s="2"/>
      <c r="P21" s="2"/>
      <c r="Q21" s="2"/>
    </row>
    <row r="22" spans="1:17">
      <c r="A22" s="3">
        <f t="shared" si="5"/>
        <v>200</v>
      </c>
      <c r="B22" s="3">
        <f t="shared" si="6"/>
        <v>125</v>
      </c>
      <c r="C22" s="18">
        <f t="shared" si="14"/>
        <v>-0.2</v>
      </c>
      <c r="D22" s="7">
        <f t="shared" si="7"/>
        <v>50</v>
      </c>
      <c r="E22" s="13">
        <f t="shared" si="4"/>
        <v>-0.2</v>
      </c>
      <c r="F22" s="17">
        <f t="shared" si="8"/>
        <v>-50</v>
      </c>
      <c r="G22" s="17">
        <f t="shared" si="9"/>
        <v>250</v>
      </c>
      <c r="H22" s="3">
        <v>25000</v>
      </c>
      <c r="I22" s="3">
        <v>125000</v>
      </c>
      <c r="J22" s="3">
        <f t="shared" si="10"/>
        <v>800</v>
      </c>
      <c r="K22" s="3">
        <v>100000000</v>
      </c>
      <c r="L22" s="3">
        <f t="shared" si="11"/>
        <v>156.25</v>
      </c>
      <c r="M22" s="3">
        <f t="shared" si="12"/>
        <v>0.25</v>
      </c>
      <c r="N22" s="3">
        <f t="shared" si="13"/>
        <v>0.2</v>
      </c>
      <c r="O22" s="2"/>
      <c r="P22" s="2"/>
      <c r="Q22" s="2"/>
    </row>
    <row r="23" spans="1:17">
      <c r="A23" s="3">
        <f t="shared" si="5"/>
        <v>500</v>
      </c>
      <c r="B23" s="3">
        <f t="shared" si="6"/>
        <v>200</v>
      </c>
      <c r="C23" s="18">
        <f t="shared" si="14"/>
        <v>-0.5</v>
      </c>
      <c r="D23" s="7">
        <f t="shared" si="7"/>
        <v>500</v>
      </c>
      <c r="E23" s="13">
        <f t="shared" si="4"/>
        <v>-0.5</v>
      </c>
      <c r="F23" s="17">
        <f t="shared" si="8"/>
        <v>-500</v>
      </c>
      <c r="G23" s="17">
        <f t="shared" si="9"/>
        <v>1000</v>
      </c>
      <c r="H23" s="3">
        <v>100000</v>
      </c>
      <c r="I23" s="3">
        <v>200000</v>
      </c>
      <c r="J23" s="3">
        <f t="shared" si="10"/>
        <v>500</v>
      </c>
      <c r="K23" s="3">
        <v>100000000</v>
      </c>
      <c r="L23" s="3">
        <f t="shared" si="11"/>
        <v>400</v>
      </c>
      <c r="M23" s="3">
        <f t="shared" si="12"/>
        <v>1</v>
      </c>
      <c r="N23" s="3">
        <f t="shared" si="13"/>
        <v>0.5</v>
      </c>
      <c r="O23" s="2"/>
      <c r="P23" s="2"/>
      <c r="Q23" s="2"/>
    </row>
    <row r="24" spans="1:17">
      <c r="A24" s="3">
        <f t="shared" si="5"/>
        <v>800</v>
      </c>
      <c r="B24" s="3">
        <f t="shared" si="6"/>
        <v>500</v>
      </c>
      <c r="C24" s="18">
        <f t="shared" si="14"/>
        <v>-0.8</v>
      </c>
      <c r="D24" s="7">
        <f t="shared" si="7"/>
        <v>3200</v>
      </c>
      <c r="E24" s="13">
        <f t="shared" si="4"/>
        <v>-0.8</v>
      </c>
      <c r="F24" s="17">
        <f t="shared" si="8"/>
        <v>-3200</v>
      </c>
      <c r="G24" s="17">
        <f t="shared" si="9"/>
        <v>4000</v>
      </c>
      <c r="H24" s="3">
        <v>400000</v>
      </c>
      <c r="I24" s="3">
        <v>500000</v>
      </c>
      <c r="J24" s="3">
        <f t="shared" si="10"/>
        <v>200</v>
      </c>
      <c r="K24" s="3">
        <v>100000000</v>
      </c>
      <c r="L24" s="3">
        <f t="shared" si="11"/>
        <v>2500</v>
      </c>
      <c r="M24" s="3">
        <f t="shared" si="12"/>
        <v>4</v>
      </c>
      <c r="N24" s="3">
        <f t="shared" si="13"/>
        <v>0.8</v>
      </c>
      <c r="O24" s="2"/>
      <c r="P24" s="2"/>
      <c r="Q24" s="2"/>
    </row>
    <row r="25" spans="1:17">
      <c r="A25" s="3">
        <f t="shared" si="5"/>
        <v>999</v>
      </c>
      <c r="B25" s="3">
        <f t="shared" si="6"/>
        <v>100000</v>
      </c>
      <c r="C25" s="18">
        <f t="shared" si="14"/>
        <v>-0.999</v>
      </c>
      <c r="D25" s="7">
        <f t="shared" si="7"/>
        <v>998001</v>
      </c>
      <c r="E25" s="13">
        <f t="shared" si="4"/>
        <v>-0.999</v>
      </c>
      <c r="F25" s="17">
        <f t="shared" si="8"/>
        <v>-998001</v>
      </c>
      <c r="G25" s="17">
        <f t="shared" si="9"/>
        <v>999000</v>
      </c>
      <c r="H25" s="3">
        <v>99900000</v>
      </c>
      <c r="I25" s="3">
        <v>100000000</v>
      </c>
      <c r="J25" s="3">
        <f t="shared" si="10"/>
        <v>1</v>
      </c>
      <c r="K25" s="3">
        <v>100000000</v>
      </c>
      <c r="L25" s="3">
        <f t="shared" si="11"/>
        <v>100000000</v>
      </c>
      <c r="M25" s="3">
        <f t="shared" si="12"/>
        <v>999</v>
      </c>
      <c r="N25" s="3">
        <f t="shared" si="13"/>
        <v>0.999</v>
      </c>
      <c r="O25" s="2"/>
      <c r="P25" s="2"/>
      <c r="Q25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18BB-9ACC-434B-94E7-2812DA578A23}">
  <dimension ref="A1:G10"/>
  <sheetViews>
    <sheetView zoomScale="127" zoomScaleNormal="85" workbookViewId="0">
      <selection activeCell="B32" sqref="B32"/>
    </sheetView>
  </sheetViews>
  <sheetFormatPr defaultRowHeight="14.25"/>
  <sheetData>
    <row r="1" spans="1:7">
      <c r="A1" t="s">
        <v>20</v>
      </c>
      <c r="B1" t="s">
        <v>21</v>
      </c>
      <c r="C1" t="s">
        <v>27</v>
      </c>
      <c r="D1" t="s">
        <v>22</v>
      </c>
      <c r="E1" t="s">
        <v>23</v>
      </c>
      <c r="F1" t="s">
        <v>24</v>
      </c>
      <c r="G1" t="s">
        <v>25</v>
      </c>
    </row>
    <row r="2" spans="1:7">
      <c r="A2">
        <v>100</v>
      </c>
      <c r="B2" t="s">
        <v>26</v>
      </c>
      <c r="C2" t="s">
        <v>28</v>
      </c>
      <c r="D2">
        <v>1000</v>
      </c>
      <c r="E2">
        <v>1100</v>
      </c>
      <c r="F2">
        <v>100</v>
      </c>
      <c r="G2" s="19">
        <v>1</v>
      </c>
    </row>
    <row r="3" spans="1:7">
      <c r="D3">
        <v>1000</v>
      </c>
      <c r="E3">
        <v>900</v>
      </c>
      <c r="F3">
        <v>-100</v>
      </c>
      <c r="G3" s="19">
        <v>-1</v>
      </c>
    </row>
    <row r="4" spans="1:7">
      <c r="C4" t="s">
        <v>29</v>
      </c>
      <c r="D4">
        <v>1000</v>
      </c>
      <c r="E4">
        <v>1100</v>
      </c>
      <c r="F4">
        <v>-100</v>
      </c>
      <c r="G4" s="19">
        <v>-1</v>
      </c>
    </row>
    <row r="5" spans="1:7">
      <c r="D5">
        <v>1000</v>
      </c>
      <c r="E5">
        <v>900</v>
      </c>
      <c r="F5">
        <v>100</v>
      </c>
      <c r="G5" s="19">
        <v>1</v>
      </c>
    </row>
    <row r="7" spans="1:7">
      <c r="A7">
        <v>1000</v>
      </c>
      <c r="B7" t="s">
        <v>30</v>
      </c>
      <c r="C7" t="s">
        <v>28</v>
      </c>
      <c r="D7">
        <v>1000</v>
      </c>
      <c r="E7">
        <v>1100</v>
      </c>
      <c r="F7">
        <v>100</v>
      </c>
      <c r="G7" s="19">
        <v>0.1</v>
      </c>
    </row>
    <row r="8" spans="1:7">
      <c r="D8">
        <v>1000</v>
      </c>
      <c r="E8">
        <v>900</v>
      </c>
      <c r="F8">
        <v>-100</v>
      </c>
      <c r="G8" s="19">
        <v>-0.1</v>
      </c>
    </row>
    <row r="9" spans="1:7">
      <c r="C9" t="s">
        <v>29</v>
      </c>
      <c r="D9">
        <v>1000</v>
      </c>
      <c r="E9">
        <v>1100</v>
      </c>
      <c r="F9">
        <v>-100</v>
      </c>
      <c r="G9" s="19">
        <v>-0.1</v>
      </c>
    </row>
    <row r="10" spans="1:7">
      <c r="D10">
        <v>1000</v>
      </c>
      <c r="E10">
        <v>900</v>
      </c>
      <c r="F10">
        <v>100</v>
      </c>
      <c r="G10" s="19">
        <v>0.1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AE4A-5906-4718-9918-5A702D8FDDAE}">
  <dimension ref="A1:L18"/>
  <sheetViews>
    <sheetView zoomScale="136" workbookViewId="0">
      <selection activeCell="A13" sqref="A13:L18"/>
    </sheetView>
  </sheetViews>
  <sheetFormatPr defaultRowHeight="14.25"/>
  <cols>
    <col min="1" max="1" width="8.25" customWidth="1"/>
    <col min="8" max="8" width="10.875" bestFit="1" customWidth="1"/>
    <col min="12" max="12" width="9" customWidth="1"/>
  </cols>
  <sheetData>
    <row r="1" spans="1:12" ht="24.75" customHeight="1">
      <c r="A1" s="50" t="s">
        <v>52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>
      <c r="A2" s="1"/>
      <c r="B2" s="2"/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/>
      <c r="I2" s="1" t="s">
        <v>36</v>
      </c>
      <c r="J2" s="1" t="s">
        <v>37</v>
      </c>
      <c r="K2" s="1" t="s">
        <v>38</v>
      </c>
      <c r="L2" s="1" t="s">
        <v>39</v>
      </c>
    </row>
    <row r="3" spans="1:12" ht="24.75">
      <c r="A3" s="3" t="s">
        <v>54</v>
      </c>
      <c r="B3" s="3" t="s">
        <v>40</v>
      </c>
      <c r="C3" s="4">
        <v>0</v>
      </c>
      <c r="D3" s="4">
        <v>0.25</v>
      </c>
      <c r="E3" s="4">
        <v>0.503</v>
      </c>
      <c r="F3" s="4">
        <v>0.75609999999999999</v>
      </c>
      <c r="G3" s="4">
        <v>1</v>
      </c>
      <c r="H3" s="4">
        <f>H7/100</f>
        <v>1.2</v>
      </c>
      <c r="I3" s="4">
        <v>1.5625</v>
      </c>
      <c r="J3" s="4">
        <v>2.0407999999999999</v>
      </c>
      <c r="K3" s="4">
        <v>4</v>
      </c>
      <c r="L3" s="4">
        <v>4.9382999999999999</v>
      </c>
    </row>
    <row r="4" spans="1:12">
      <c r="A4" s="3" t="s">
        <v>41</v>
      </c>
      <c r="B4" s="3" t="s">
        <v>42</v>
      </c>
      <c r="C4" s="3">
        <v>3162278</v>
      </c>
      <c r="D4" s="3">
        <v>200</v>
      </c>
      <c r="E4" s="3">
        <v>141</v>
      </c>
      <c r="F4" s="3">
        <v>115</v>
      </c>
      <c r="G4" s="3">
        <v>100</v>
      </c>
      <c r="H4" s="3">
        <f>SQRT(H6/H7)</f>
        <v>91.287092917527687</v>
      </c>
      <c r="I4" s="3">
        <v>80</v>
      </c>
      <c r="J4" s="3">
        <v>70</v>
      </c>
      <c r="K4" s="3">
        <v>50</v>
      </c>
      <c r="L4" s="3">
        <v>45</v>
      </c>
    </row>
    <row r="5" spans="1:12">
      <c r="A5" s="3" t="s">
        <v>43</v>
      </c>
      <c r="B5" s="3" t="s">
        <v>44</v>
      </c>
      <c r="C5" s="3">
        <v>0.31622773199999998</v>
      </c>
      <c r="D5" s="3">
        <v>5000</v>
      </c>
      <c r="E5" s="3">
        <v>7092.198582</v>
      </c>
      <c r="F5" s="3">
        <v>8695.6521740000007</v>
      </c>
      <c r="G5" s="3">
        <v>10000</v>
      </c>
      <c r="H5" s="3">
        <f>SQRT(H6*H7)</f>
        <v>10954.451150103323</v>
      </c>
      <c r="I5" s="3">
        <v>12500</v>
      </c>
      <c r="J5" s="3">
        <v>14285.71429</v>
      </c>
      <c r="K5" s="3">
        <v>20000</v>
      </c>
      <c r="L5" s="3">
        <v>22222.22222</v>
      </c>
    </row>
    <row r="6" spans="1:12">
      <c r="A6" s="3"/>
      <c r="B6" s="3" t="s">
        <v>45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</row>
    <row r="7" spans="1:12">
      <c r="A7" s="3"/>
      <c r="B7" s="26" t="s">
        <v>46</v>
      </c>
      <c r="C7" s="27">
        <v>9.9999999999999995E-8</v>
      </c>
      <c r="D7" s="26">
        <v>25</v>
      </c>
      <c r="E7" s="26">
        <v>50.299280719999999</v>
      </c>
      <c r="F7" s="26">
        <v>75.61436673</v>
      </c>
      <c r="G7" s="26">
        <v>100</v>
      </c>
      <c r="H7" s="26">
        <v>120</v>
      </c>
      <c r="I7" s="26">
        <v>156.25</v>
      </c>
      <c r="J7" s="26">
        <v>204.0816327</v>
      </c>
      <c r="K7" s="26">
        <v>400</v>
      </c>
      <c r="L7" s="26">
        <v>493.82716049999999</v>
      </c>
    </row>
    <row r="8" spans="1:12" ht="25.5">
      <c r="A8" s="3" t="s">
        <v>48</v>
      </c>
      <c r="B8" s="3" t="s">
        <v>47</v>
      </c>
      <c r="C8" s="3">
        <v>10000.00001</v>
      </c>
      <c r="D8" s="3">
        <v>12500</v>
      </c>
      <c r="E8" s="3">
        <v>15029.92807</v>
      </c>
      <c r="F8" s="3">
        <v>17561.436669999999</v>
      </c>
      <c r="G8" s="3">
        <v>20000</v>
      </c>
      <c r="H8" s="3">
        <f>100*H7+10000</f>
        <v>22000</v>
      </c>
      <c r="I8" s="3">
        <v>25625</v>
      </c>
      <c r="J8" s="3">
        <v>30408.163270000001</v>
      </c>
      <c r="K8" s="3">
        <v>50000</v>
      </c>
      <c r="L8" s="3">
        <v>59382.716050000003</v>
      </c>
    </row>
    <row r="9" spans="1:12" ht="37.5">
      <c r="A9" s="21" t="s">
        <v>51</v>
      </c>
      <c r="B9" s="3" t="s">
        <v>50</v>
      </c>
      <c r="C9" s="3">
        <v>1</v>
      </c>
      <c r="D9" s="3">
        <v>10000</v>
      </c>
      <c r="E9" s="3">
        <v>14184</v>
      </c>
      <c r="F9" s="3">
        <v>17391</v>
      </c>
      <c r="G9" s="3">
        <v>20000</v>
      </c>
      <c r="H9" s="3">
        <f>H4*H7+H5</f>
        <v>21908.902300206646</v>
      </c>
      <c r="I9" s="3">
        <v>25000</v>
      </c>
      <c r="J9" s="3">
        <v>28571</v>
      </c>
      <c r="K9" s="3">
        <v>40000</v>
      </c>
      <c r="L9" s="3">
        <v>44444</v>
      </c>
    </row>
    <row r="10" spans="1:12" ht="25.5">
      <c r="A10" s="3" t="s">
        <v>49</v>
      </c>
      <c r="B10" s="3" t="s">
        <v>53</v>
      </c>
      <c r="C10" s="4">
        <v>1E-4</v>
      </c>
      <c r="D10" s="4">
        <v>0.8</v>
      </c>
      <c r="E10" s="4">
        <v>0.94369999999999998</v>
      </c>
      <c r="F10" s="4">
        <v>0.99029999999999996</v>
      </c>
      <c r="G10" s="4">
        <v>1</v>
      </c>
      <c r="H10" s="4">
        <f>H9/H8</f>
        <v>0.99585919546393842</v>
      </c>
      <c r="I10" s="4">
        <v>0.97560000000000002</v>
      </c>
      <c r="J10" s="4">
        <v>0.93959999999999999</v>
      </c>
      <c r="K10" s="4">
        <v>0.8</v>
      </c>
      <c r="L10" s="4">
        <v>0.74839999999999995</v>
      </c>
    </row>
    <row r="11" spans="1:12">
      <c r="A11" s="28"/>
      <c r="B11" s="28"/>
      <c r="C11" s="29">
        <f t="shared" ref="C11:E11" si="0">C9*1.1/C8</f>
        <v>1.0999999989000001E-4</v>
      </c>
      <c r="D11" s="29">
        <f t="shared" si="0"/>
        <v>0.88</v>
      </c>
      <c r="E11" s="29">
        <f t="shared" si="0"/>
        <v>1.0380888003810653</v>
      </c>
      <c r="F11" s="29">
        <f>F9*1.1/F8</f>
        <v>1.0893243166534166</v>
      </c>
      <c r="G11" s="29">
        <f>G9*1.1/G8</f>
        <v>1.1000000000000001</v>
      </c>
      <c r="H11" s="29">
        <f>H9*1.1/H8</f>
        <v>1.0954451150103324</v>
      </c>
      <c r="I11" s="29">
        <f t="shared" ref="I11:L11" si="1">I9*1.1/I8</f>
        <v>1.0731707317073171</v>
      </c>
      <c r="J11" s="29">
        <f t="shared" si="1"/>
        <v>1.0335415434646211</v>
      </c>
      <c r="K11" s="29">
        <f t="shared" si="1"/>
        <v>0.88</v>
      </c>
      <c r="L11" s="29">
        <f t="shared" si="1"/>
        <v>0.82327659042803247</v>
      </c>
    </row>
    <row r="13" spans="1:12">
      <c r="A13" s="51" t="s">
        <v>66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</row>
    <row r="14" spans="1:12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</row>
    <row r="15" spans="1:12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 spans="1:12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</row>
    <row r="17" spans="1:12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</row>
    <row r="18" spans="1:12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</row>
  </sheetData>
  <mergeCells count="2">
    <mergeCell ref="A1:L1"/>
    <mergeCell ref="A13:L18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FCC8-BAB7-40EE-AD0B-D20B49F368AF}">
  <dimension ref="A1:U25"/>
  <sheetViews>
    <sheetView zoomScale="115" zoomScaleNormal="100" workbookViewId="0">
      <selection activeCell="B25" sqref="B25"/>
    </sheetView>
  </sheetViews>
  <sheetFormatPr defaultRowHeight="14.25"/>
  <cols>
    <col min="1" max="1" width="21.25" customWidth="1"/>
    <col min="2" max="2" width="11.375" customWidth="1"/>
    <col min="3" max="3" width="11.375" bestFit="1" customWidth="1"/>
    <col min="4" max="4" width="16" style="23" customWidth="1"/>
    <col min="5" max="5" width="19.375" customWidth="1"/>
    <col min="6" max="6" width="13.5" customWidth="1"/>
    <col min="7" max="7" width="10.125" customWidth="1"/>
    <col min="8" max="10" width="10.875" customWidth="1"/>
    <col min="11" max="11" width="12.125" customWidth="1"/>
    <col min="12" max="13" width="9.125" customWidth="1"/>
    <col min="14" max="14" width="11.125" bestFit="1" customWidth="1"/>
    <col min="15" max="15" width="11.375" bestFit="1" customWidth="1"/>
    <col min="16" max="17" width="10.875" bestFit="1" customWidth="1"/>
    <col min="18" max="18" width="9.125" bestFit="1" customWidth="1"/>
  </cols>
  <sheetData>
    <row r="1" spans="1:21" ht="15">
      <c r="B1" s="20"/>
    </row>
    <row r="7" spans="1:21" ht="62.25">
      <c r="A7" s="1" t="s">
        <v>0</v>
      </c>
      <c r="B7" s="16" t="s">
        <v>17</v>
      </c>
      <c r="C7" s="22" t="s">
        <v>64</v>
      </c>
      <c r="D7" s="24" t="s">
        <v>63</v>
      </c>
      <c r="E7" s="12" t="s">
        <v>61</v>
      </c>
      <c r="F7" s="12" t="s">
        <v>62</v>
      </c>
      <c r="G7" s="12" t="s">
        <v>65</v>
      </c>
      <c r="H7" s="16" t="s">
        <v>56</v>
      </c>
      <c r="I7" s="16" t="s">
        <v>59</v>
      </c>
      <c r="J7" s="16" t="s">
        <v>58</v>
      </c>
      <c r="K7" s="1" t="s">
        <v>57</v>
      </c>
      <c r="L7" s="1" t="s">
        <v>5</v>
      </c>
      <c r="M7" s="16" t="s">
        <v>60</v>
      </c>
      <c r="N7" s="1" t="s">
        <v>6</v>
      </c>
      <c r="O7" s="1" t="s">
        <v>16</v>
      </c>
      <c r="P7" s="1"/>
      <c r="Q7" s="1"/>
      <c r="R7" s="1"/>
      <c r="S7" s="1" t="s">
        <v>9</v>
      </c>
      <c r="T7" s="2"/>
      <c r="U7" s="1" t="s">
        <v>55</v>
      </c>
    </row>
    <row r="8" spans="1:21">
      <c r="A8" s="3"/>
      <c r="B8" s="3"/>
      <c r="C8" s="3"/>
      <c r="D8" s="25"/>
      <c r="E8" s="13"/>
      <c r="F8" s="13"/>
      <c r="G8" s="13"/>
      <c r="H8" s="3"/>
      <c r="I8" s="3"/>
      <c r="J8" s="3"/>
      <c r="K8" s="3">
        <v>10000</v>
      </c>
      <c r="L8" s="3">
        <v>100</v>
      </c>
      <c r="M8" s="3"/>
      <c r="N8" s="3">
        <f>$K$8*$L$8</f>
        <v>1000000</v>
      </c>
      <c r="O8" s="3">
        <v>100</v>
      </c>
      <c r="P8" s="3"/>
      <c r="Q8" s="3"/>
      <c r="R8" s="3"/>
      <c r="S8" s="3"/>
      <c r="T8" s="2"/>
      <c r="U8" s="2"/>
    </row>
    <row r="9" spans="1:21">
      <c r="A9" s="3">
        <f t="shared" ref="A9:A11" si="0">$L$8-L9</f>
        <v>1</v>
      </c>
      <c r="B9" s="3">
        <f>H9/A9</f>
        <v>202.0202020202014</v>
      </c>
      <c r="C9" s="3">
        <f>O9*L9+K9</f>
        <v>20404.040404040403</v>
      </c>
      <c r="D9" s="25">
        <f>O9*$L$8+$K$8</f>
        <v>20305.070911131515</v>
      </c>
      <c r="E9" s="13">
        <f>C9-D9</f>
        <v>98.969492908887332</v>
      </c>
      <c r="F9" s="18">
        <f>O9/100</f>
        <v>1.0305070911131518</v>
      </c>
      <c r="G9" s="18">
        <f>C9/D9</f>
        <v>1.004874126928295</v>
      </c>
      <c r="H9" s="3">
        <f>(J9-$K$8)/$B$25</f>
        <v>202.0202020202014</v>
      </c>
      <c r="I9" s="3">
        <f>H9*0.9</f>
        <v>181.81818181818127</v>
      </c>
      <c r="J9" s="3">
        <f>N9/L9</f>
        <v>10101.010101010101</v>
      </c>
      <c r="K9" s="3">
        <f>$K$8+H9</f>
        <v>10202.020202020201</v>
      </c>
      <c r="L9" s="3">
        <v>99</v>
      </c>
      <c r="M9" s="3">
        <f>K9*L9</f>
        <v>1009999.9999999999</v>
      </c>
      <c r="N9" s="3">
        <f>$K$8*$L$8</f>
        <v>1000000</v>
      </c>
      <c r="O9" s="3">
        <f>K9/L9</f>
        <v>103.05070911131517</v>
      </c>
      <c r="P9" s="18">
        <f>1-J9/K9</f>
        <v>9.9009900990099098E-3</v>
      </c>
      <c r="Q9" s="3"/>
      <c r="R9" s="3"/>
      <c r="S9" s="3"/>
      <c r="T9" s="2"/>
      <c r="U9" s="2"/>
    </row>
    <row r="10" spans="1:21">
      <c r="A10" s="3">
        <f t="shared" si="0"/>
        <v>5</v>
      </c>
      <c r="B10" s="3">
        <f t="shared" ref="B10:B11" si="1">H10/A10</f>
        <v>210.52631578947404</v>
      </c>
      <c r="C10" s="3">
        <f t="shared" ref="C10:C11" si="2">O10*L10+K10</f>
        <v>22105.26315789474</v>
      </c>
      <c r="D10" s="25">
        <f t="shared" ref="D10:D11" si="3">O10*$L$8+$K$8</f>
        <v>21634.349030470916</v>
      </c>
      <c r="E10" s="13">
        <f t="shared" ref="E10:E11" si="4">C10-D10</f>
        <v>470.91412742382454</v>
      </c>
      <c r="F10" s="18">
        <f t="shared" ref="F10:F11" si="5">O10/100</f>
        <v>1.1634349030470916</v>
      </c>
      <c r="G10" s="18">
        <f t="shared" ref="G10:G11" si="6">C10/D10</f>
        <v>1.0217669654289374</v>
      </c>
      <c r="H10" s="3">
        <f t="shared" ref="H10:H18" si="7">(J10-$K$8)/$B$25</f>
        <v>1052.6315789473701</v>
      </c>
      <c r="I10" s="3">
        <f t="shared" ref="I10:I11" si="8">H10*0.9</f>
        <v>947.36842105263315</v>
      </c>
      <c r="J10" s="3">
        <f t="shared" ref="J10:J11" si="9">N10/L10</f>
        <v>10526.315789473685</v>
      </c>
      <c r="K10" s="3">
        <f t="shared" ref="K10:K11" si="10">$K$8+H10</f>
        <v>11052.63157894737</v>
      </c>
      <c r="L10" s="3">
        <v>95</v>
      </c>
      <c r="M10" s="3">
        <f t="shared" ref="M10:M11" si="11">K10*L10</f>
        <v>1050000.0000000002</v>
      </c>
      <c r="N10" s="3">
        <f t="shared" ref="N10:N11" si="12">$K$8*$L$8</f>
        <v>1000000</v>
      </c>
      <c r="O10" s="3">
        <f t="shared" ref="O10:O11" si="13">K10/L10</f>
        <v>116.34349030470916</v>
      </c>
      <c r="P10" s="18">
        <f t="shared" ref="P10:P11" si="14">1-J10/K10</f>
        <v>4.7619047619047672E-2</v>
      </c>
      <c r="Q10" s="3"/>
      <c r="R10" s="3"/>
      <c r="S10" s="3"/>
      <c r="T10" s="2"/>
      <c r="U10" s="2"/>
    </row>
    <row r="11" spans="1:21">
      <c r="A11" s="3">
        <f t="shared" si="0"/>
        <v>8</v>
      </c>
      <c r="B11" s="3">
        <f t="shared" si="1"/>
        <v>217.39130434782601</v>
      </c>
      <c r="C11" s="3">
        <f t="shared" si="2"/>
        <v>23478.260869565216</v>
      </c>
      <c r="D11" s="25">
        <f t="shared" si="3"/>
        <v>22759.924385633269</v>
      </c>
      <c r="E11" s="13">
        <f t="shared" si="4"/>
        <v>718.33648393194744</v>
      </c>
      <c r="F11" s="18">
        <f t="shared" si="5"/>
        <v>1.275992438563327</v>
      </c>
      <c r="G11" s="18">
        <f t="shared" si="6"/>
        <v>1.0315614617940199</v>
      </c>
      <c r="H11" s="3">
        <f t="shared" si="7"/>
        <v>1739.1304347826081</v>
      </c>
      <c r="I11" s="3">
        <f t="shared" si="8"/>
        <v>1565.2173913043473</v>
      </c>
      <c r="J11" s="3">
        <f t="shared" si="9"/>
        <v>10869.565217391304</v>
      </c>
      <c r="K11" s="3">
        <f t="shared" si="10"/>
        <v>11739.130434782608</v>
      </c>
      <c r="L11" s="3">
        <v>92</v>
      </c>
      <c r="M11" s="3">
        <f t="shared" si="11"/>
        <v>1080000</v>
      </c>
      <c r="N11" s="3">
        <f t="shared" si="12"/>
        <v>1000000</v>
      </c>
      <c r="O11" s="3">
        <f t="shared" si="13"/>
        <v>127.59924385633269</v>
      </c>
      <c r="P11" s="18">
        <f t="shared" si="14"/>
        <v>7.407407407407407E-2</v>
      </c>
      <c r="Q11" s="3"/>
      <c r="R11" s="3"/>
      <c r="S11" s="3"/>
      <c r="T11" s="2"/>
      <c r="U11" s="2"/>
    </row>
    <row r="12" spans="1:21">
      <c r="A12" s="3">
        <f>$L$8-L12</f>
        <v>10</v>
      </c>
      <c r="B12" s="3">
        <f>H12/A12</f>
        <v>222.22222222222226</v>
      </c>
      <c r="C12" s="3">
        <f t="shared" ref="C12:C18" si="15">O12*L12+K12</f>
        <v>24444.444444444445</v>
      </c>
      <c r="D12" s="25">
        <f>O12*$L$8+$K$8</f>
        <v>23580.246913580246</v>
      </c>
      <c r="E12" s="13">
        <f>C12-D12</f>
        <v>864.19753086419951</v>
      </c>
      <c r="F12" s="18">
        <f t="shared" ref="F12:F18" si="16">O12/100</f>
        <v>1.3580246913580247</v>
      </c>
      <c r="G12" s="18">
        <f t="shared" ref="G12:G18" si="17">C12/D12</f>
        <v>1.036649214659686</v>
      </c>
      <c r="H12" s="3">
        <f t="shared" si="7"/>
        <v>2222.2222222222226</v>
      </c>
      <c r="I12" s="3">
        <f t="shared" ref="I12:I18" si="18">H12*0.9</f>
        <v>2000.0000000000005</v>
      </c>
      <c r="J12" s="3">
        <f t="shared" ref="J12:J18" si="19">N12/L12</f>
        <v>11111.111111111111</v>
      </c>
      <c r="K12" s="3">
        <f>$K$8+H12</f>
        <v>12222.222222222223</v>
      </c>
      <c r="L12" s="3">
        <v>90</v>
      </c>
      <c r="M12" s="3">
        <f t="shared" ref="M12:M18" si="20">K12*L12</f>
        <v>1100000</v>
      </c>
      <c r="N12" s="3">
        <f>$K$8*$L$8</f>
        <v>1000000</v>
      </c>
      <c r="O12" s="3">
        <f t="shared" ref="O12:O18" si="21">K12/L12</f>
        <v>135.80246913580248</v>
      </c>
      <c r="P12" s="18">
        <f t="shared" ref="P12:P18" si="22">1-J12/K12</f>
        <v>9.0909090909090939E-2</v>
      </c>
      <c r="Q12" s="3"/>
      <c r="R12" s="3"/>
      <c r="S12" s="3"/>
      <c r="T12" s="2"/>
      <c r="U12" s="2"/>
    </row>
    <row r="13" spans="1:21">
      <c r="A13" s="3">
        <f>$L$8-L13</f>
        <v>20</v>
      </c>
      <c r="B13" s="3">
        <f>H13/A13</f>
        <v>250</v>
      </c>
      <c r="C13" s="3">
        <f t="shared" si="15"/>
        <v>30000</v>
      </c>
      <c r="D13" s="25">
        <f>O13*$L$8+$K$8</f>
        <v>28750</v>
      </c>
      <c r="E13" s="13">
        <f t="shared" ref="E13:E18" si="23">C13-D13</f>
        <v>1250</v>
      </c>
      <c r="F13" s="18">
        <f t="shared" si="16"/>
        <v>1.875</v>
      </c>
      <c r="G13" s="18">
        <f t="shared" si="17"/>
        <v>1.0434782608695652</v>
      </c>
      <c r="H13" s="3">
        <f t="shared" si="7"/>
        <v>5000</v>
      </c>
      <c r="I13" s="3">
        <f t="shared" si="18"/>
        <v>4500</v>
      </c>
      <c r="J13" s="3">
        <f t="shared" si="19"/>
        <v>12500</v>
      </c>
      <c r="K13" s="3">
        <f>$K$8+H13</f>
        <v>15000</v>
      </c>
      <c r="L13" s="3">
        <v>80</v>
      </c>
      <c r="M13" s="3">
        <f t="shared" si="20"/>
        <v>1200000</v>
      </c>
      <c r="N13" s="3">
        <f>$K$8*$L$8</f>
        <v>1000000</v>
      </c>
      <c r="O13" s="3">
        <f t="shared" si="21"/>
        <v>187.5</v>
      </c>
      <c r="P13" s="18">
        <f t="shared" si="22"/>
        <v>0.16666666666666663</v>
      </c>
      <c r="Q13" s="3"/>
      <c r="R13" s="3"/>
      <c r="S13" s="3"/>
      <c r="T13" s="2"/>
      <c r="U13" s="2"/>
    </row>
    <row r="14" spans="1:21">
      <c r="A14" s="3">
        <f>$L$8-L14</f>
        <v>30</v>
      </c>
      <c r="B14" s="3">
        <f>H14/A14</f>
        <v>285.71428571428572</v>
      </c>
      <c r="C14" s="3">
        <f t="shared" si="15"/>
        <v>37142.857142857145</v>
      </c>
      <c r="D14" s="25">
        <f>O14*$L$8+$K$8</f>
        <v>36530.612244897959</v>
      </c>
      <c r="E14" s="13">
        <f t="shared" si="23"/>
        <v>612.24489795918635</v>
      </c>
      <c r="F14" s="18">
        <f t="shared" si="16"/>
        <v>2.6530612244897958</v>
      </c>
      <c r="G14" s="18">
        <f t="shared" si="17"/>
        <v>1.016759776536313</v>
      </c>
      <c r="H14" s="3">
        <f t="shared" si="7"/>
        <v>8571.4285714285725</v>
      </c>
      <c r="I14" s="3">
        <f t="shared" si="18"/>
        <v>7714.2857142857156</v>
      </c>
      <c r="J14" s="3">
        <f t="shared" si="19"/>
        <v>14285.714285714286</v>
      </c>
      <c r="K14" s="3">
        <f>$K$8+H14</f>
        <v>18571.428571428572</v>
      </c>
      <c r="L14" s="3">
        <v>70</v>
      </c>
      <c r="M14" s="3">
        <f t="shared" si="20"/>
        <v>1300000</v>
      </c>
      <c r="N14" s="3">
        <f>$K$8*$L$8</f>
        <v>1000000</v>
      </c>
      <c r="O14" s="3">
        <f t="shared" si="21"/>
        <v>265.30612244897958</v>
      </c>
      <c r="P14" s="18">
        <f t="shared" si="22"/>
        <v>0.23076923076923084</v>
      </c>
      <c r="Q14" s="3"/>
      <c r="R14" s="3"/>
      <c r="S14" s="3"/>
      <c r="T14" s="2"/>
      <c r="U14" s="2"/>
    </row>
    <row r="15" spans="1:21">
      <c r="A15" s="3">
        <f>$L$8-L15</f>
        <v>50</v>
      </c>
      <c r="B15" s="3">
        <f>H15/A15</f>
        <v>400</v>
      </c>
      <c r="C15" s="3">
        <f t="shared" si="15"/>
        <v>60000</v>
      </c>
      <c r="D15" s="25">
        <f>O15*$L$8+$K$8</f>
        <v>70000</v>
      </c>
      <c r="E15" s="13">
        <f t="shared" si="23"/>
        <v>-10000</v>
      </c>
      <c r="F15" s="18">
        <f t="shared" si="16"/>
        <v>6</v>
      </c>
      <c r="G15" s="18">
        <f t="shared" si="17"/>
        <v>0.8571428571428571</v>
      </c>
      <c r="H15" s="3">
        <f t="shared" si="7"/>
        <v>20000</v>
      </c>
      <c r="I15" s="3">
        <f t="shared" si="18"/>
        <v>18000</v>
      </c>
      <c r="J15" s="3">
        <f t="shared" si="19"/>
        <v>20000</v>
      </c>
      <c r="K15" s="3">
        <f>$K$8+H15</f>
        <v>30000</v>
      </c>
      <c r="L15" s="3">
        <v>50</v>
      </c>
      <c r="M15" s="3">
        <f t="shared" si="20"/>
        <v>1500000</v>
      </c>
      <c r="N15" s="3">
        <f>$K$8*$L$8</f>
        <v>1000000</v>
      </c>
      <c r="O15" s="3">
        <f t="shared" si="21"/>
        <v>600</v>
      </c>
      <c r="P15" s="18">
        <f t="shared" si="22"/>
        <v>0.33333333333333337</v>
      </c>
      <c r="Q15" s="3"/>
      <c r="R15" s="3"/>
      <c r="S15" s="3"/>
      <c r="T15" s="2"/>
      <c r="U15" s="2"/>
    </row>
    <row r="16" spans="1:21">
      <c r="A16" s="3">
        <f t="shared" ref="A16:A18" si="24">$L$8-L16</f>
        <v>55</v>
      </c>
      <c r="B16" s="3">
        <f t="shared" ref="B16:B18" si="25">H16/A16</f>
        <v>444.44444444444446</v>
      </c>
      <c r="C16" s="3">
        <f t="shared" si="15"/>
        <v>68888.888888888891</v>
      </c>
      <c r="D16" s="25">
        <f t="shared" ref="D16:D18" si="26">O16*$L$8+$K$8</f>
        <v>86543.209876543217</v>
      </c>
      <c r="E16" s="13">
        <f t="shared" si="23"/>
        <v>-17654.320987654326</v>
      </c>
      <c r="F16" s="18">
        <f t="shared" si="16"/>
        <v>7.6543209876543212</v>
      </c>
      <c r="G16" s="18">
        <f t="shared" si="17"/>
        <v>0.79600570613409416</v>
      </c>
      <c r="H16" s="3">
        <f t="shared" si="7"/>
        <v>24444.444444444445</v>
      </c>
      <c r="I16" s="3">
        <f t="shared" si="18"/>
        <v>22000</v>
      </c>
      <c r="J16" s="3">
        <f t="shared" si="19"/>
        <v>22222.222222222223</v>
      </c>
      <c r="K16" s="3">
        <f t="shared" ref="K16:K18" si="27">$K$8+H16</f>
        <v>34444.444444444445</v>
      </c>
      <c r="L16" s="3">
        <v>45</v>
      </c>
      <c r="M16" s="3">
        <f t="shared" si="20"/>
        <v>1550000</v>
      </c>
      <c r="N16" s="3">
        <f t="shared" ref="N16:N18" si="28">$K$8*$L$8</f>
        <v>1000000</v>
      </c>
      <c r="O16" s="3">
        <f t="shared" si="21"/>
        <v>765.4320987654321</v>
      </c>
      <c r="P16" s="18">
        <f t="shared" si="22"/>
        <v>0.35483870967741937</v>
      </c>
      <c r="Q16" s="3"/>
      <c r="R16" s="3"/>
      <c r="S16" s="3"/>
      <c r="T16" s="2"/>
      <c r="U16" s="2"/>
    </row>
    <row r="17" spans="1:21">
      <c r="A17" s="3">
        <f t="shared" si="24"/>
        <v>80</v>
      </c>
      <c r="B17" s="3">
        <f t="shared" si="25"/>
        <v>1000</v>
      </c>
      <c r="C17" s="3">
        <f t="shared" si="15"/>
        <v>180000</v>
      </c>
      <c r="D17" s="25">
        <f t="shared" si="26"/>
        <v>460000</v>
      </c>
      <c r="E17" s="13">
        <f t="shared" si="23"/>
        <v>-280000</v>
      </c>
      <c r="F17" s="18">
        <f t="shared" si="16"/>
        <v>45</v>
      </c>
      <c r="G17" s="18">
        <f t="shared" si="17"/>
        <v>0.39130434782608697</v>
      </c>
      <c r="H17" s="3">
        <f t="shared" si="7"/>
        <v>80000</v>
      </c>
      <c r="I17" s="3">
        <f t="shared" si="18"/>
        <v>72000</v>
      </c>
      <c r="J17" s="3">
        <f t="shared" si="19"/>
        <v>50000</v>
      </c>
      <c r="K17" s="3">
        <f t="shared" si="27"/>
        <v>90000</v>
      </c>
      <c r="L17" s="3">
        <v>20</v>
      </c>
      <c r="M17" s="3">
        <f t="shared" si="20"/>
        <v>1800000</v>
      </c>
      <c r="N17" s="3">
        <f t="shared" si="28"/>
        <v>1000000</v>
      </c>
      <c r="O17" s="3">
        <f t="shared" si="21"/>
        <v>4500</v>
      </c>
      <c r="P17" s="18">
        <f t="shared" si="22"/>
        <v>0.44444444444444442</v>
      </c>
      <c r="Q17" s="3"/>
      <c r="R17" s="3"/>
      <c r="S17" s="3"/>
      <c r="T17" s="2"/>
      <c r="U17" s="2"/>
    </row>
    <row r="18" spans="1:21">
      <c r="A18" s="3">
        <f t="shared" si="24"/>
        <v>99</v>
      </c>
      <c r="B18" s="3">
        <f t="shared" si="25"/>
        <v>20000</v>
      </c>
      <c r="C18" s="3">
        <f t="shared" si="15"/>
        <v>3980000</v>
      </c>
      <c r="D18" s="25">
        <f t="shared" si="26"/>
        <v>199010000</v>
      </c>
      <c r="E18" s="13">
        <f t="shared" si="23"/>
        <v>-195030000</v>
      </c>
      <c r="F18" s="18">
        <f t="shared" si="16"/>
        <v>19900</v>
      </c>
      <c r="G18" s="18">
        <f t="shared" si="17"/>
        <v>1.999899502537561E-2</v>
      </c>
      <c r="H18" s="3">
        <f t="shared" si="7"/>
        <v>1980000</v>
      </c>
      <c r="I18" s="3">
        <f t="shared" si="18"/>
        <v>1782000</v>
      </c>
      <c r="J18" s="3">
        <f t="shared" si="19"/>
        <v>1000000</v>
      </c>
      <c r="K18" s="3">
        <f t="shared" si="27"/>
        <v>1990000</v>
      </c>
      <c r="L18" s="3">
        <v>1</v>
      </c>
      <c r="M18" s="3">
        <f t="shared" si="20"/>
        <v>1990000</v>
      </c>
      <c r="N18" s="3">
        <f t="shared" si="28"/>
        <v>1000000</v>
      </c>
      <c r="O18" s="3">
        <f t="shared" si="21"/>
        <v>1990000</v>
      </c>
      <c r="P18" s="18">
        <f t="shared" si="22"/>
        <v>0.49748743718592969</v>
      </c>
      <c r="Q18" s="3"/>
      <c r="R18" s="3"/>
      <c r="S18" s="3"/>
      <c r="T18" s="2"/>
      <c r="U18" s="2"/>
    </row>
    <row r="25" spans="1:21">
      <c r="A25" t="s">
        <v>79</v>
      </c>
      <c r="B25">
        <f>1-0.5</f>
        <v>0.5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56E0-52F9-47C7-BA40-94F45C8883AF}">
  <dimension ref="A1:N21"/>
  <sheetViews>
    <sheetView zoomScale="105" workbookViewId="0">
      <selection activeCell="H16" sqref="H16"/>
    </sheetView>
  </sheetViews>
  <sheetFormatPr defaultRowHeight="14.25"/>
  <cols>
    <col min="1" max="1" width="9.125" bestFit="1" customWidth="1"/>
    <col min="2" max="2" width="9.625" bestFit="1" customWidth="1"/>
    <col min="3" max="3" width="9.125" bestFit="1" customWidth="1"/>
    <col min="4" max="5" width="9.5" bestFit="1" customWidth="1"/>
    <col min="6" max="6" width="9.125" bestFit="1" customWidth="1"/>
    <col min="7" max="7" width="9.5" bestFit="1" customWidth="1"/>
    <col min="8" max="8" width="10.125" customWidth="1"/>
    <col min="9" max="9" width="25.375" customWidth="1"/>
    <col min="10" max="10" width="24.25" customWidth="1"/>
    <col min="11" max="11" width="13.125" bestFit="1" customWidth="1"/>
    <col min="12" max="12" width="12.375" customWidth="1"/>
    <col min="13" max="14" width="13.125" bestFit="1" customWidth="1"/>
  </cols>
  <sheetData>
    <row r="1" spans="1:14" ht="18">
      <c r="B1" s="23" t="s">
        <v>67</v>
      </c>
      <c r="C1" t="s">
        <v>68</v>
      </c>
      <c r="D1" t="s">
        <v>30</v>
      </c>
      <c r="E1" t="s">
        <v>69</v>
      </c>
      <c r="F1" t="s">
        <v>71</v>
      </c>
      <c r="G1" t="s">
        <v>72</v>
      </c>
      <c r="H1" t="s">
        <v>73</v>
      </c>
      <c r="I1" s="31" t="s">
        <v>70</v>
      </c>
      <c r="J1" s="30"/>
      <c r="L1" t="s">
        <v>80</v>
      </c>
      <c r="M1" t="s">
        <v>81</v>
      </c>
      <c r="N1" t="s">
        <v>76</v>
      </c>
    </row>
    <row r="2" spans="1:14">
      <c r="A2">
        <v>200</v>
      </c>
      <c r="B2">
        <v>2000</v>
      </c>
      <c r="C2">
        <f>B2</f>
        <v>2000</v>
      </c>
      <c r="D2">
        <f>B2+200</f>
        <v>2200</v>
      </c>
      <c r="E2">
        <f>B2</f>
        <v>2000</v>
      </c>
      <c r="F2">
        <f>SQRT(B2*C2)</f>
        <v>2000</v>
      </c>
      <c r="G2">
        <f>SQRT(D2*E2)</f>
        <v>2097.6176963403032</v>
      </c>
      <c r="H2">
        <f>G2-F2</f>
        <v>97.617696340303155</v>
      </c>
      <c r="I2" s="32">
        <f>1-(SQRT(B2*C2)/SQRT(D2*E2))</f>
        <v>4.653741075440776E-2</v>
      </c>
      <c r="J2" s="33">
        <f>I2*F2/(1-I2)</f>
        <v>97.617696340303254</v>
      </c>
      <c r="K2">
        <f>SQRT(D2*E2)*I2</f>
        <v>97.617696340303254</v>
      </c>
      <c r="L2">
        <f>K2/G2*D2</f>
        <v>102.38230365969707</v>
      </c>
      <c r="M2">
        <f>H2/G2*E2</f>
        <v>93.074821508815418</v>
      </c>
      <c r="N2">
        <f>L2+M2</f>
        <v>195.4571251685125</v>
      </c>
    </row>
    <row r="3" spans="1:14">
      <c r="B3">
        <v>20000</v>
      </c>
      <c r="C3">
        <f t="shared" ref="C3:C6" si="0">B3</f>
        <v>20000</v>
      </c>
      <c r="D3">
        <f t="shared" ref="D3:D6" si="1">B3+200</f>
        <v>20200</v>
      </c>
      <c r="E3">
        <f t="shared" ref="E3:E6" si="2">B3</f>
        <v>20000</v>
      </c>
      <c r="F3">
        <f t="shared" ref="F3:F6" si="3">SQRT(B3*C3)</f>
        <v>20000</v>
      </c>
      <c r="G3">
        <f t="shared" ref="G3:G6" si="4">SQRT(D3*E3)</f>
        <v>20099.751242241782</v>
      </c>
      <c r="H3">
        <f t="shared" ref="H3:H6" si="5">G3-F3</f>
        <v>99.751242241782165</v>
      </c>
      <c r="I3" s="32">
        <f t="shared" ref="I3:I6" si="6">1-(SQRT(B3*C3)/SQRT(D3*E3))</f>
        <v>4.962809790010958E-3</v>
      </c>
      <c r="J3" s="33">
        <f t="shared" ref="J3:J6" si="7">I3*F3/(1-I3)</f>
        <v>99.751242241782435</v>
      </c>
      <c r="K3">
        <f t="shared" ref="K3:K6" si="8">SQRT(D3*E3)*I3</f>
        <v>99.751242241782435</v>
      </c>
      <c r="L3">
        <f t="shared" ref="L3:L6" si="9">K3/G3*D3</f>
        <v>100.24875775822136</v>
      </c>
      <c r="M3">
        <f t="shared" ref="M3:M6" si="10">H3/G3*E3</f>
        <v>99.256195800218904</v>
      </c>
      <c r="N3">
        <f t="shared" ref="N3:N6" si="11">L3+M3</f>
        <v>199.50495355844026</v>
      </c>
    </row>
    <row r="4" spans="1:14">
      <c r="B4">
        <v>200000</v>
      </c>
      <c r="C4">
        <f t="shared" si="0"/>
        <v>200000</v>
      </c>
      <c r="D4">
        <f t="shared" si="1"/>
        <v>200200</v>
      </c>
      <c r="E4">
        <f t="shared" si="2"/>
        <v>200000</v>
      </c>
      <c r="F4">
        <f t="shared" si="3"/>
        <v>200000</v>
      </c>
      <c r="G4">
        <f t="shared" si="4"/>
        <v>200099.97501249218</v>
      </c>
      <c r="H4">
        <f t="shared" si="5"/>
        <v>99.97501249218476</v>
      </c>
      <c r="I4" s="32">
        <f t="shared" si="6"/>
        <v>4.9962531222680351E-4</v>
      </c>
      <c r="J4" s="33">
        <f t="shared" si="7"/>
        <v>99.975012492191993</v>
      </c>
      <c r="K4">
        <f t="shared" si="8"/>
        <v>99.975012492191993</v>
      </c>
      <c r="L4">
        <f t="shared" si="9"/>
        <v>100.02498750780606</v>
      </c>
      <c r="M4">
        <f t="shared" si="10"/>
        <v>99.925062445353475</v>
      </c>
      <c r="N4">
        <f t="shared" si="11"/>
        <v>199.95004995315952</v>
      </c>
    </row>
    <row r="5" spans="1:14">
      <c r="B5">
        <v>2000000</v>
      </c>
      <c r="C5">
        <f t="shared" si="0"/>
        <v>2000000</v>
      </c>
      <c r="D5">
        <f t="shared" si="1"/>
        <v>2000200</v>
      </c>
      <c r="E5">
        <f t="shared" si="2"/>
        <v>2000000</v>
      </c>
      <c r="F5">
        <f t="shared" si="3"/>
        <v>2000000</v>
      </c>
      <c r="G5">
        <f t="shared" si="4"/>
        <v>2000099.9975001251</v>
      </c>
      <c r="H5">
        <f t="shared" si="5"/>
        <v>99.997500125085935</v>
      </c>
      <c r="I5" s="32">
        <f t="shared" si="6"/>
        <v>4.9996250312545065E-5</v>
      </c>
      <c r="J5" s="34">
        <f t="shared" si="7"/>
        <v>99.997500125137009</v>
      </c>
      <c r="K5">
        <f t="shared" si="8"/>
        <v>99.997500125137009</v>
      </c>
      <c r="L5">
        <f t="shared" si="9"/>
        <v>100.00249987515264</v>
      </c>
      <c r="M5">
        <f t="shared" si="10"/>
        <v>99.992500625039057</v>
      </c>
      <c r="N5">
        <f t="shared" si="11"/>
        <v>199.99500050019168</v>
      </c>
    </row>
    <row r="6" spans="1:14">
      <c r="B6">
        <v>20000000</v>
      </c>
      <c r="C6">
        <f t="shared" si="0"/>
        <v>20000000</v>
      </c>
      <c r="D6">
        <f t="shared" si="1"/>
        <v>20000200</v>
      </c>
      <c r="E6">
        <f t="shared" si="2"/>
        <v>20000000</v>
      </c>
      <c r="F6">
        <f t="shared" si="3"/>
        <v>20000000</v>
      </c>
      <c r="G6">
        <f t="shared" si="4"/>
        <v>20000099.999749999</v>
      </c>
      <c r="H6">
        <f t="shared" si="5"/>
        <v>99.999749999493361</v>
      </c>
      <c r="I6" s="36">
        <f t="shared" si="6"/>
        <v>4.9999625002516979E-6</v>
      </c>
      <c r="J6" s="35">
        <f t="shared" si="7"/>
        <v>99.999750000033998</v>
      </c>
      <c r="K6">
        <f t="shared" si="8"/>
        <v>99.999750000033984</v>
      </c>
      <c r="L6">
        <f t="shared" si="9"/>
        <v>100.00024999753401</v>
      </c>
      <c r="M6">
        <f t="shared" si="10"/>
        <v>99.999250004493334</v>
      </c>
      <c r="N6">
        <f t="shared" si="11"/>
        <v>199.99950000202733</v>
      </c>
    </row>
    <row r="16" spans="1:14" ht="18">
      <c r="B16" s="23" t="s">
        <v>67</v>
      </c>
      <c r="C16" t="s">
        <v>68</v>
      </c>
      <c r="D16" t="s">
        <v>30</v>
      </c>
      <c r="E16" t="s">
        <v>69</v>
      </c>
      <c r="F16" t="s">
        <v>71</v>
      </c>
      <c r="G16" t="s">
        <v>72</v>
      </c>
      <c r="H16" t="s">
        <v>73</v>
      </c>
      <c r="I16" s="31" t="s">
        <v>77</v>
      </c>
      <c r="J16" s="30"/>
      <c r="L16" t="s">
        <v>75</v>
      </c>
      <c r="M16" t="s">
        <v>74</v>
      </c>
      <c r="N16" t="s">
        <v>76</v>
      </c>
    </row>
    <row r="17" spans="1:14">
      <c r="A17">
        <v>200</v>
      </c>
      <c r="B17">
        <v>2000</v>
      </c>
      <c r="C17">
        <f>B17</f>
        <v>2000</v>
      </c>
      <c r="D17">
        <f>B17+200</f>
        <v>2200</v>
      </c>
      <c r="E17">
        <f>B17+200</f>
        <v>2200</v>
      </c>
      <c r="F17">
        <f>SQRT(B17*C17)</f>
        <v>2000</v>
      </c>
      <c r="G17">
        <f>SQRT(D17*E17)</f>
        <v>2200</v>
      </c>
      <c r="H17">
        <f>G17-F17</f>
        <v>200</v>
      </c>
      <c r="I17" s="32">
        <f>1-(SQRT(B17*C17)/SQRT(D17*E17))</f>
        <v>9.0909090909090939E-2</v>
      </c>
      <c r="J17" s="32">
        <f>H17/G17</f>
        <v>9.0909090909090912E-2</v>
      </c>
      <c r="K17" s="37">
        <f>SQRT(D17*E17)*I17</f>
        <v>200.00000000000006</v>
      </c>
      <c r="L17" s="38">
        <f>J17*D17</f>
        <v>200</v>
      </c>
      <c r="M17" s="38">
        <f>J17*E17</f>
        <v>200</v>
      </c>
      <c r="N17" s="38">
        <f>L17+M17</f>
        <v>400</v>
      </c>
    </row>
    <row r="18" spans="1:14">
      <c r="B18">
        <v>20000</v>
      </c>
      <c r="C18">
        <f t="shared" ref="C18:C21" si="12">B18</f>
        <v>20000</v>
      </c>
      <c r="D18">
        <f t="shared" ref="D18:D21" si="13">B18+200</f>
        <v>20200</v>
      </c>
      <c r="E18">
        <f t="shared" ref="E18:E21" si="14">B18+200</f>
        <v>20200</v>
      </c>
      <c r="F18">
        <f t="shared" ref="F18:F21" si="15">SQRT(B18*C18)</f>
        <v>20000</v>
      </c>
      <c r="G18">
        <f t="shared" ref="G18:G21" si="16">SQRT(D18*E18)</f>
        <v>20200</v>
      </c>
      <c r="H18">
        <f t="shared" ref="H18:H21" si="17">G18-F18</f>
        <v>200</v>
      </c>
      <c r="I18" s="32">
        <f t="shared" ref="I18:I21" si="18">1-(SQRT(B18*C18)/SQRT(D18*E18))</f>
        <v>9.9009900990099098E-3</v>
      </c>
      <c r="J18" s="32">
        <f t="shared" ref="J18:J21" si="19">H18/G18</f>
        <v>9.9009900990099011E-3</v>
      </c>
      <c r="K18" s="37">
        <f t="shared" ref="K18:K21" si="20">SQRT(D18*E18)*I18</f>
        <v>200.00000000000017</v>
      </c>
      <c r="L18" s="38">
        <f t="shared" ref="L18:L21" si="21">J18*D18</f>
        <v>200</v>
      </c>
      <c r="M18" s="38">
        <f t="shared" ref="M18:M21" si="22">J18*E18</f>
        <v>200</v>
      </c>
      <c r="N18" s="38">
        <f t="shared" ref="N18:N21" si="23">L18+M18</f>
        <v>400</v>
      </c>
    </row>
    <row r="19" spans="1:14">
      <c r="B19">
        <v>200000</v>
      </c>
      <c r="C19">
        <f t="shared" si="12"/>
        <v>200000</v>
      </c>
      <c r="D19">
        <f t="shared" si="13"/>
        <v>200200</v>
      </c>
      <c r="E19">
        <f t="shared" si="14"/>
        <v>200200</v>
      </c>
      <c r="F19">
        <f t="shared" si="15"/>
        <v>200000</v>
      </c>
      <c r="G19">
        <f t="shared" si="16"/>
        <v>200200</v>
      </c>
      <c r="H19">
        <f t="shared" si="17"/>
        <v>200</v>
      </c>
      <c r="I19" s="32">
        <f t="shared" si="18"/>
        <v>9.9900099900096517E-4</v>
      </c>
      <c r="J19" s="32">
        <f t="shared" si="19"/>
        <v>9.99000999000999E-4</v>
      </c>
      <c r="K19" s="37">
        <f t="shared" si="20"/>
        <v>199.99999999999324</v>
      </c>
      <c r="L19" s="38">
        <f t="shared" si="21"/>
        <v>200</v>
      </c>
      <c r="M19" s="38">
        <f t="shared" si="22"/>
        <v>200</v>
      </c>
      <c r="N19" s="38">
        <f t="shared" si="23"/>
        <v>400</v>
      </c>
    </row>
    <row r="20" spans="1:14">
      <c r="B20">
        <v>2000000</v>
      </c>
      <c r="C20">
        <f t="shared" si="12"/>
        <v>2000000</v>
      </c>
      <c r="D20">
        <f t="shared" si="13"/>
        <v>2000200</v>
      </c>
      <c r="E20">
        <f t="shared" si="14"/>
        <v>2000200</v>
      </c>
      <c r="F20">
        <f t="shared" si="15"/>
        <v>2000000</v>
      </c>
      <c r="G20">
        <f t="shared" si="16"/>
        <v>2000200</v>
      </c>
      <c r="H20">
        <f t="shared" si="17"/>
        <v>200</v>
      </c>
      <c r="I20" s="32">
        <f t="shared" si="18"/>
        <v>9.9990000999916617E-5</v>
      </c>
      <c r="J20" s="32">
        <f t="shared" si="19"/>
        <v>9.9990000999900015E-5</v>
      </c>
      <c r="K20" s="37">
        <f t="shared" si="20"/>
        <v>200.00000000003322</v>
      </c>
      <c r="L20" s="38">
        <f t="shared" si="21"/>
        <v>200</v>
      </c>
      <c r="M20" s="38">
        <f t="shared" si="22"/>
        <v>200</v>
      </c>
      <c r="N20" s="38">
        <f t="shared" si="23"/>
        <v>400</v>
      </c>
    </row>
    <row r="21" spans="1:14">
      <c r="B21">
        <v>20000000</v>
      </c>
      <c r="C21">
        <f t="shared" si="12"/>
        <v>20000000</v>
      </c>
      <c r="D21">
        <f t="shared" si="13"/>
        <v>20000200</v>
      </c>
      <c r="E21">
        <f t="shared" si="14"/>
        <v>20000200</v>
      </c>
      <c r="F21">
        <f t="shared" si="15"/>
        <v>20000000</v>
      </c>
      <c r="G21">
        <f t="shared" si="16"/>
        <v>20000200</v>
      </c>
      <c r="H21">
        <f t="shared" si="17"/>
        <v>200</v>
      </c>
      <c r="I21" s="32">
        <f t="shared" si="18"/>
        <v>9.9999000009454164E-6</v>
      </c>
      <c r="J21" s="32">
        <f t="shared" si="19"/>
        <v>9.9999000009999908E-6</v>
      </c>
      <c r="K21" s="37">
        <f t="shared" si="20"/>
        <v>199.99999999890852</v>
      </c>
      <c r="L21" s="38">
        <f t="shared" si="21"/>
        <v>200.00000000000003</v>
      </c>
      <c r="M21" s="38">
        <f t="shared" si="22"/>
        <v>200.00000000000003</v>
      </c>
      <c r="N21" s="38">
        <f t="shared" si="23"/>
        <v>400.00000000000006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02E9-709A-484D-A636-681928D00EFD}">
  <dimension ref="A1:F20"/>
  <sheetViews>
    <sheetView zoomScale="150" zoomScaleNormal="150" workbookViewId="0">
      <selection activeCell="G8" sqref="G8"/>
    </sheetView>
  </sheetViews>
  <sheetFormatPr defaultRowHeight="14.25"/>
  <cols>
    <col min="2" max="2" width="11" customWidth="1"/>
    <col min="4" max="4" width="24.125" customWidth="1"/>
    <col min="5" max="5" width="9.375" customWidth="1"/>
  </cols>
  <sheetData>
    <row r="1" spans="1:6">
      <c r="C1" t="s">
        <v>83</v>
      </c>
      <c r="D1" t="s">
        <v>84</v>
      </c>
      <c r="E1" t="s">
        <v>85</v>
      </c>
    </row>
    <row r="2" spans="1:6">
      <c r="A2" t="s">
        <v>82</v>
      </c>
      <c r="C2">
        <v>0</v>
      </c>
      <c r="D2">
        <v>0</v>
      </c>
      <c r="E2" t="s">
        <v>84</v>
      </c>
    </row>
    <row r="3" spans="1:6">
      <c r="A3" t="s">
        <v>86</v>
      </c>
      <c r="C3">
        <v>100</v>
      </c>
      <c r="D3" t="s">
        <v>90</v>
      </c>
      <c r="E3" t="s">
        <v>84</v>
      </c>
    </row>
    <row r="4" spans="1:6">
      <c r="A4" t="s">
        <v>87</v>
      </c>
      <c r="C4">
        <v>200</v>
      </c>
      <c r="D4" t="s">
        <v>91</v>
      </c>
      <c r="E4" s="39" t="s">
        <v>84</v>
      </c>
    </row>
    <row r="5" spans="1:6">
      <c r="A5" t="s">
        <v>88</v>
      </c>
      <c r="C5">
        <v>300</v>
      </c>
      <c r="D5" t="s">
        <v>92</v>
      </c>
      <c r="E5" t="s">
        <v>84</v>
      </c>
    </row>
    <row r="6" spans="1:6">
      <c r="A6" t="s">
        <v>89</v>
      </c>
      <c r="C6">
        <v>100</v>
      </c>
      <c r="D6" t="s">
        <v>93</v>
      </c>
      <c r="E6" t="s">
        <v>84</v>
      </c>
    </row>
    <row r="9" spans="1:6">
      <c r="A9" s="51" t="s">
        <v>98</v>
      </c>
      <c r="B9" s="51"/>
      <c r="C9" s="51"/>
      <c r="D9" s="51"/>
      <c r="E9" s="51"/>
    </row>
    <row r="10" spans="1:6">
      <c r="A10" s="51"/>
      <c r="B10" s="51"/>
      <c r="C10" s="51"/>
      <c r="D10" s="51"/>
      <c r="E10" s="51"/>
    </row>
    <row r="12" spans="1:6">
      <c r="A12" t="s">
        <v>94</v>
      </c>
      <c r="B12" s="52"/>
      <c r="C12" s="52"/>
      <c r="D12" s="52"/>
    </row>
    <row r="13" spans="1:6">
      <c r="A13" t="s">
        <v>87</v>
      </c>
      <c r="B13" s="53" t="s">
        <v>95</v>
      </c>
      <c r="C13" s="53"/>
      <c r="D13" s="53"/>
      <c r="E13" t="s">
        <v>96</v>
      </c>
    </row>
    <row r="14" spans="1:6">
      <c r="A14" t="s">
        <v>88</v>
      </c>
      <c r="B14" s="54" t="s">
        <v>101</v>
      </c>
      <c r="C14" s="54"/>
      <c r="D14" s="54"/>
      <c r="E14" s="40" t="s">
        <v>99</v>
      </c>
      <c r="F14" s="40"/>
    </row>
    <row r="15" spans="1:6">
      <c r="B15" s="54"/>
      <c r="C15" s="54"/>
      <c r="D15" s="54"/>
    </row>
    <row r="17" spans="1:6">
      <c r="A17" t="s">
        <v>100</v>
      </c>
    </row>
    <row r="19" spans="1:6">
      <c r="A19" t="s">
        <v>89</v>
      </c>
      <c r="B19" s="55" t="s">
        <v>102</v>
      </c>
      <c r="C19" s="55"/>
      <c r="D19" s="55"/>
      <c r="E19" s="56" t="s">
        <v>97</v>
      </c>
      <c r="F19" s="56"/>
    </row>
    <row r="20" spans="1:6">
      <c r="B20" s="55"/>
      <c r="C20" s="55"/>
      <c r="D20" s="55"/>
    </row>
  </sheetData>
  <mergeCells count="6">
    <mergeCell ref="A9:E10"/>
    <mergeCell ref="B12:D12"/>
    <mergeCell ref="B13:D13"/>
    <mergeCell ref="B14:D15"/>
    <mergeCell ref="B19:D20"/>
    <mergeCell ref="E19:F19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9855-9DDA-4990-BCE9-F7DF8CA72F9B}">
  <dimension ref="A1:L23"/>
  <sheetViews>
    <sheetView zoomScale="114" workbookViewId="0">
      <selection activeCell="K18" sqref="K18"/>
    </sheetView>
  </sheetViews>
  <sheetFormatPr defaultRowHeight="14.25"/>
  <cols>
    <col min="1" max="1" width="11" bestFit="1" customWidth="1"/>
    <col min="2" max="2" width="11" customWidth="1"/>
    <col min="3" max="3" width="13.5" customWidth="1"/>
    <col min="4" max="4" width="14.125" customWidth="1"/>
    <col min="5" max="5" width="10" bestFit="1" customWidth="1"/>
    <col min="6" max="6" width="9.375" bestFit="1" customWidth="1"/>
    <col min="7" max="7" width="10.875" bestFit="1" customWidth="1"/>
    <col min="8" max="8" width="13" customWidth="1"/>
    <col min="9" max="9" width="27" customWidth="1"/>
    <col min="10" max="10" width="22.875" customWidth="1"/>
    <col min="11" max="11" width="12.5" customWidth="1"/>
  </cols>
  <sheetData>
    <row r="1" spans="1:12" ht="38.25">
      <c r="A1" s="16" t="s">
        <v>103</v>
      </c>
      <c r="B1" s="16" t="s">
        <v>110</v>
      </c>
      <c r="C1" s="16" t="s">
        <v>108</v>
      </c>
      <c r="D1" s="1" t="s">
        <v>4</v>
      </c>
      <c r="E1" s="1" t="s">
        <v>5</v>
      </c>
      <c r="F1" s="1" t="s">
        <v>6</v>
      </c>
      <c r="G1" s="1" t="s">
        <v>104</v>
      </c>
      <c r="H1" s="2"/>
      <c r="I1" s="1" t="s">
        <v>107</v>
      </c>
      <c r="K1" s="49" t="s">
        <v>112</v>
      </c>
      <c r="L1" t="s">
        <v>113</v>
      </c>
    </row>
    <row r="2" spans="1:12">
      <c r="A2" s="3">
        <v>100</v>
      </c>
      <c r="B2" s="3"/>
      <c r="C2" s="3"/>
      <c r="D2" s="3">
        <v>100000</v>
      </c>
      <c r="E2" s="3">
        <v>1000</v>
      </c>
      <c r="F2" s="3">
        <v>100000000</v>
      </c>
      <c r="G2" s="3">
        <v>100</v>
      </c>
      <c r="H2" s="2" t="s">
        <v>105</v>
      </c>
      <c r="I2" s="2"/>
    </row>
    <row r="3" spans="1:12">
      <c r="A3" s="3">
        <v>200</v>
      </c>
      <c r="B3" s="3"/>
      <c r="C3" s="9">
        <v>100000</v>
      </c>
      <c r="D3" s="9">
        <v>200000</v>
      </c>
      <c r="E3" s="3">
        <v>500</v>
      </c>
      <c r="F3" s="3">
        <v>100000000</v>
      </c>
      <c r="G3" s="3">
        <v>400</v>
      </c>
      <c r="H3" s="2" t="s">
        <v>106</v>
      </c>
      <c r="I3" s="3" t="s">
        <v>109</v>
      </c>
    </row>
    <row r="4" spans="1:12">
      <c r="A4" s="42">
        <f t="shared" ref="A4:A9" si="0">C4/B4</f>
        <v>399.2015968063788</v>
      </c>
      <c r="B4" s="2">
        <v>1</v>
      </c>
      <c r="C4" s="43">
        <f>$D$3-D4</f>
        <v>399.2015968063788</v>
      </c>
      <c r="D4" s="44">
        <f t="shared" ref="D4:D9" si="1">$F$2/E4</f>
        <v>199600.79840319362</v>
      </c>
      <c r="E4" s="2">
        <v>501</v>
      </c>
      <c r="F4" s="3">
        <v>100000000</v>
      </c>
      <c r="G4" s="42">
        <f>D4/E4</f>
        <v>398.40478723192342</v>
      </c>
      <c r="H4" s="2"/>
      <c r="I4" s="2"/>
      <c r="K4">
        <f t="shared" ref="K4:K7" si="2">B4*100</f>
        <v>100</v>
      </c>
      <c r="L4" s="41">
        <f t="shared" ref="L4:L7" si="3">C4-K4</f>
        <v>299.2015968063788</v>
      </c>
    </row>
    <row r="5" spans="1:12">
      <c r="A5" s="42">
        <f t="shared" si="0"/>
        <v>392.15686274509937</v>
      </c>
      <c r="B5" s="2">
        <v>10</v>
      </c>
      <c r="C5" s="43">
        <f t="shared" ref="C5:C9" si="4">$D$3-D5</f>
        <v>3921.5686274509935</v>
      </c>
      <c r="D5" s="44">
        <f t="shared" si="1"/>
        <v>196078.43137254901</v>
      </c>
      <c r="E5" s="2">
        <v>510</v>
      </c>
      <c r="F5" s="3">
        <v>100000000</v>
      </c>
      <c r="G5" s="42">
        <f t="shared" ref="G5:G9" si="5">D5/E5</f>
        <v>384.46751249519411</v>
      </c>
      <c r="H5" s="2"/>
      <c r="I5" s="2"/>
      <c r="K5">
        <f t="shared" si="2"/>
        <v>1000</v>
      </c>
      <c r="L5" s="41">
        <f t="shared" si="3"/>
        <v>2921.5686274509935</v>
      </c>
    </row>
    <row r="6" spans="1:12">
      <c r="A6" s="42">
        <f t="shared" si="0"/>
        <v>333.33333333333343</v>
      </c>
      <c r="B6" s="2">
        <v>100</v>
      </c>
      <c r="C6" s="43">
        <f t="shared" si="4"/>
        <v>33333.333333333343</v>
      </c>
      <c r="D6" s="44">
        <f t="shared" si="1"/>
        <v>166666.66666666666</v>
      </c>
      <c r="E6" s="2">
        <v>600</v>
      </c>
      <c r="F6" s="3">
        <v>100000000</v>
      </c>
      <c r="G6" s="42">
        <f t="shared" si="5"/>
        <v>277.77777777777777</v>
      </c>
      <c r="H6" s="2"/>
      <c r="I6" s="2"/>
      <c r="K6">
        <f t="shared" si="2"/>
        <v>10000</v>
      </c>
      <c r="L6" s="41">
        <f t="shared" si="3"/>
        <v>23333.333333333343</v>
      </c>
    </row>
    <row r="7" spans="1:12">
      <c r="A7" s="42">
        <f t="shared" si="0"/>
        <v>285.71428571428567</v>
      </c>
      <c r="B7" s="2">
        <v>200</v>
      </c>
      <c r="C7" s="43">
        <f t="shared" si="4"/>
        <v>57142.85714285713</v>
      </c>
      <c r="D7" s="44">
        <f t="shared" si="1"/>
        <v>142857.14285714287</v>
      </c>
      <c r="E7" s="2">
        <v>700</v>
      </c>
      <c r="F7" s="3">
        <v>100000000</v>
      </c>
      <c r="G7" s="42">
        <f t="shared" si="5"/>
        <v>204.08163265306123</v>
      </c>
      <c r="H7" s="2"/>
      <c r="I7" s="2"/>
      <c r="K7">
        <f t="shared" si="2"/>
        <v>20000</v>
      </c>
      <c r="L7" s="41">
        <f t="shared" si="3"/>
        <v>37142.85714285713</v>
      </c>
    </row>
    <row r="8" spans="1:12">
      <c r="A8" s="42">
        <f t="shared" si="0"/>
        <v>200</v>
      </c>
      <c r="B8" s="2">
        <v>500</v>
      </c>
      <c r="C8" s="44">
        <f>$D$3-D8</f>
        <v>100000</v>
      </c>
      <c r="D8" s="44">
        <f t="shared" si="1"/>
        <v>100000</v>
      </c>
      <c r="E8" s="2">
        <v>1000</v>
      </c>
      <c r="F8" s="3">
        <v>100000000</v>
      </c>
      <c r="G8" s="42">
        <f t="shared" si="5"/>
        <v>100</v>
      </c>
      <c r="H8" s="2"/>
      <c r="I8" s="2"/>
      <c r="J8" t="s">
        <v>111</v>
      </c>
      <c r="K8">
        <f>B8*100</f>
        <v>50000</v>
      </c>
      <c r="L8" s="41">
        <f>C8-K8</f>
        <v>50000</v>
      </c>
    </row>
    <row r="9" spans="1:12">
      <c r="A9" s="48">
        <f t="shared" si="0"/>
        <v>181.81818181818181</v>
      </c>
      <c r="B9" s="45">
        <v>600</v>
      </c>
      <c r="C9" s="47">
        <f t="shared" si="4"/>
        <v>109090.90909090909</v>
      </c>
      <c r="D9" s="46">
        <f t="shared" si="1"/>
        <v>90909.090909090912</v>
      </c>
      <c r="E9" s="45">
        <v>1100</v>
      </c>
      <c r="F9" s="3">
        <v>100000000</v>
      </c>
      <c r="G9" s="48">
        <f t="shared" si="5"/>
        <v>82.644628099173559</v>
      </c>
      <c r="K9">
        <f>B9*100</f>
        <v>60000</v>
      </c>
      <c r="L9" s="41">
        <f>C9-K9</f>
        <v>49090.909090909088</v>
      </c>
    </row>
    <row r="11" spans="1:12">
      <c r="A11" s="51" t="s">
        <v>114</v>
      </c>
      <c r="B11" s="52"/>
      <c r="C11" s="52"/>
      <c r="D11" s="52"/>
      <c r="E11" s="52"/>
      <c r="F11" s="52"/>
      <c r="G11" s="52"/>
      <c r="H11" s="52"/>
      <c r="I11" s="52"/>
    </row>
    <row r="12" spans="1:12">
      <c r="A12" s="52"/>
      <c r="B12" s="52"/>
      <c r="C12" s="52"/>
      <c r="D12" s="52"/>
      <c r="E12" s="52"/>
      <c r="F12" s="52"/>
      <c r="G12" s="52"/>
      <c r="H12" s="52"/>
      <c r="I12" s="52"/>
    </row>
    <row r="13" spans="1:12">
      <c r="A13" s="52"/>
      <c r="B13" s="52"/>
      <c r="C13" s="52"/>
      <c r="D13" s="52"/>
      <c r="E13" s="52"/>
      <c r="F13" s="52"/>
      <c r="G13" s="52"/>
      <c r="H13" s="52"/>
      <c r="I13" s="52"/>
    </row>
    <row r="14" spans="1:12">
      <c r="A14" s="52"/>
      <c r="B14" s="52"/>
      <c r="C14" s="52"/>
      <c r="D14" s="52"/>
      <c r="E14" s="52"/>
      <c r="F14" s="52"/>
      <c r="G14" s="52"/>
      <c r="H14" s="52"/>
      <c r="I14" s="52"/>
    </row>
    <row r="15" spans="1:12">
      <c r="A15" s="52"/>
      <c r="B15" s="52"/>
      <c r="C15" s="52"/>
      <c r="D15" s="52"/>
      <c r="E15" s="52"/>
      <c r="F15" s="52"/>
      <c r="G15" s="52"/>
      <c r="H15" s="52"/>
      <c r="I15" s="52"/>
    </row>
    <row r="16" spans="1:12">
      <c r="A16" s="52"/>
      <c r="B16" s="52"/>
      <c r="C16" s="52"/>
      <c r="D16" s="52"/>
      <c r="E16" s="52"/>
      <c r="F16" s="52"/>
      <c r="G16" s="52"/>
      <c r="H16" s="52"/>
      <c r="I16" s="52"/>
    </row>
    <row r="17" spans="1:9">
      <c r="A17" s="52"/>
      <c r="B17" s="52"/>
      <c r="C17" s="52"/>
      <c r="D17" s="52"/>
      <c r="E17" s="52"/>
      <c r="F17" s="52"/>
      <c r="G17" s="52"/>
      <c r="H17" s="52"/>
      <c r="I17" s="52"/>
    </row>
    <row r="18" spans="1:9">
      <c r="A18" s="52"/>
      <c r="B18" s="52"/>
      <c r="C18" s="52"/>
      <c r="D18" s="52"/>
      <c r="E18" s="52"/>
      <c r="F18" s="52"/>
      <c r="G18" s="52"/>
      <c r="H18" s="52"/>
      <c r="I18" s="52"/>
    </row>
    <row r="19" spans="1:9">
      <c r="A19" s="52"/>
      <c r="B19" s="52"/>
      <c r="C19" s="52"/>
      <c r="D19" s="52"/>
      <c r="E19" s="52"/>
      <c r="F19" s="52"/>
      <c r="G19" s="52"/>
      <c r="H19" s="52"/>
      <c r="I19" s="52"/>
    </row>
    <row r="20" spans="1:9">
      <c r="A20" s="52"/>
      <c r="B20" s="52"/>
      <c r="C20" s="52"/>
      <c r="D20" s="52"/>
      <c r="E20" s="52"/>
      <c r="F20" s="52"/>
      <c r="G20" s="52"/>
      <c r="H20" s="52"/>
      <c r="I20" s="52"/>
    </row>
    <row r="21" spans="1:9">
      <c r="A21" s="52"/>
      <c r="B21" s="52"/>
      <c r="C21" s="52"/>
      <c r="D21" s="52"/>
      <c r="E21" s="52"/>
      <c r="F21" s="52"/>
      <c r="G21" s="52"/>
      <c r="H21" s="52"/>
      <c r="I21" s="52"/>
    </row>
    <row r="22" spans="1:9">
      <c r="A22" s="52"/>
      <c r="B22" s="52"/>
      <c r="C22" s="52"/>
      <c r="D22" s="52"/>
      <c r="E22" s="52"/>
      <c r="F22" s="52"/>
      <c r="G22" s="52"/>
      <c r="H22" s="52"/>
      <c r="I22" s="52"/>
    </row>
    <row r="23" spans="1:9">
      <c r="A23" s="52"/>
      <c r="B23" s="52"/>
      <c r="C23" s="52"/>
      <c r="D23" s="52"/>
      <c r="E23" s="52"/>
      <c r="F23" s="52"/>
      <c r="G23" s="52"/>
      <c r="H23" s="52"/>
      <c r="I23" s="52"/>
    </row>
  </sheetData>
  <mergeCells count="1">
    <mergeCell ref="A11:I23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9B31-D30F-4863-955C-99569444CE4E}">
  <dimension ref="A1:B2"/>
  <sheetViews>
    <sheetView tabSelected="1" workbookViewId="0">
      <selection activeCell="E7" sqref="E7"/>
    </sheetView>
  </sheetViews>
  <sheetFormatPr defaultRowHeight="14.25"/>
  <sheetData>
    <row r="1" spans="1:2">
      <c r="A1">
        <v>1</v>
      </c>
      <c r="B1" t="s">
        <v>115</v>
      </c>
    </row>
    <row r="2" spans="1:2">
      <c r="A2">
        <v>2</v>
      </c>
      <c r="B2" t="s">
        <v>116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滑点计算</vt:lpstr>
      <vt:lpstr>期货收益计算</vt:lpstr>
      <vt:lpstr>无偿损失计算</vt:lpstr>
      <vt:lpstr>单笔交易时</vt:lpstr>
      <vt:lpstr>长期看Lp分成</vt:lpstr>
      <vt:lpstr>抵押算法</vt:lpstr>
      <vt:lpstr>套利数据演算</vt:lpstr>
      <vt:lpstr>合约检测checklist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kangwei_liu</dc:creator>
  <cp:lastModifiedBy>kangwei_liu</cp:lastModifiedBy>
  <dcterms:created xsi:type="dcterms:W3CDTF">2022-08-17T03:23:53Z</dcterms:created>
  <dcterms:modified xsi:type="dcterms:W3CDTF">2022-09-08T03:22:21Z</dcterms:modified>
</cp:coreProperties>
</file>