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cnelly/git-checkouts/adsbee/excel/"/>
    </mc:Choice>
  </mc:AlternateContent>
  <xr:revisionPtr revIDLastSave="0" documentId="13_ncr:1_{DFA26E33-C806-474F-9C24-897554662671}" xr6:coauthVersionLast="47" xr6:coauthVersionMax="47" xr10:uidLastSave="{00000000-0000-0000-0000-000000000000}"/>
  <bookViews>
    <workbookView xWindow="4680" yWindow="1280" windowWidth="24760" windowHeight="17460" firstSheet="3" activeTab="3" xr2:uid="{ACA008B4-9B4D-4199-B30B-92BCAB53FB39}"/>
  </bookViews>
  <sheets>
    <sheet name="TLV3542 Noise Figure" sheetId="2" r:id="rId1"/>
    <sheet name="AD8314 Input Match" sheetId="1" r:id="rId2"/>
    <sheet name="RP2040 PIO Delay Conversion" sheetId="3" r:id="rId3"/>
    <sheet name="Si4362 Configuration" sheetId="6" r:id="rId4"/>
    <sheet name="RP2040 Memory Map" sheetId="4" r:id="rId5"/>
    <sheet name="Mode S Beast RSSI Byte" sheetId="5" r:id="rId6"/>
  </sheets>
  <definedNames>
    <definedName name="C_bp_lf">'AD8314 Input Match'!$B$13</definedName>
    <definedName name="C_bp_lf_bot">'AD8314 Input Match'!$B$14</definedName>
    <definedName name="C_bp_lf_top">'AD8314 Input Match'!$B$15</definedName>
    <definedName name="f_r_bp_center">'AD8314 Input Match'!$B$7</definedName>
    <definedName name="f_r_bp_lf">'AD8314 Input Match'!$B$10</definedName>
    <definedName name="L_bp_hf">'AD8314 Input Match'!$B$23</definedName>
    <definedName name="L_bp_lf">'AD8314 Input Match'!$B$12</definedName>
    <definedName name="R_bp_L">'AD8314 Input Match'!$B$4</definedName>
    <definedName name="R_s">'AD8314 Input Match'!$B$3</definedName>
    <definedName name="w_r_bp_center">'AD8314 Input Match'!$B$8</definedName>
    <definedName name="w_r_bp_lf">'AD8314 Input Match'!$B$11</definedName>
    <definedName name="X_bp_L">'AD8314 Input Match'!$B$5</definedName>
    <definedName name="Z_bp_L">'AD8314 Input Match'!$B$6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6" l="1"/>
  <c r="B9" i="6"/>
  <c r="B14" i="6" s="1"/>
  <c r="B9" i="5"/>
  <c r="B5" i="5"/>
  <c r="B6" i="5"/>
  <c r="B6" i="4"/>
  <c r="B7" i="4" s="1"/>
  <c r="B8" i="4" s="1"/>
  <c r="B5" i="4"/>
  <c r="B4" i="3"/>
  <c r="B22" i="1"/>
  <c r="B21" i="1"/>
  <c r="B20" i="1"/>
  <c r="B6" i="1"/>
  <c r="B11" i="1"/>
  <c r="B13" i="1" s="1"/>
  <c r="B15" i="1" s="1"/>
  <c r="B17" i="1" s="1"/>
  <c r="B8" i="1"/>
  <c r="B18" i="1" s="1"/>
  <c r="B19" i="1" s="1"/>
  <c r="C8" i="4" l="1"/>
  <c r="C10" i="4" s="1"/>
  <c r="B5" i="3"/>
  <c r="B6" i="3" s="1"/>
  <c r="B7" i="3" s="1"/>
</calcChain>
</file>

<file path=xl/sharedStrings.xml><?xml version="1.0" encoding="utf-8"?>
<sst xmlns="http://schemas.openxmlformats.org/spreadsheetml/2006/main" count="125" uniqueCount="91">
  <si>
    <t>Parameter</t>
  </si>
  <si>
    <t>Value</t>
  </si>
  <si>
    <t>Units</t>
  </si>
  <si>
    <t>Note</t>
  </si>
  <si>
    <t>Bandpass Filter</t>
  </si>
  <si>
    <t>MHz</t>
  </si>
  <si>
    <t>f_r,bp,center</t>
  </si>
  <si>
    <t>w_r,bp,center</t>
  </si>
  <si>
    <t>Mrad/s</t>
  </si>
  <si>
    <t>Bandpass filter inductor value.</t>
  </si>
  <si>
    <t>nH</t>
  </si>
  <si>
    <t>f_r,bp,lf</t>
  </si>
  <si>
    <t>w_r,bp,lf</t>
  </si>
  <si>
    <t>Low Frequency</t>
  </si>
  <si>
    <t>L_bp,lf</t>
  </si>
  <si>
    <t>L_bp,hf</t>
  </si>
  <si>
    <t>C_bp,lf</t>
  </si>
  <si>
    <t>pF</t>
  </si>
  <si>
    <t>R_s</t>
  </si>
  <si>
    <t>Ohms</t>
  </si>
  <si>
    <t>Source impedance, from AD8314 datasheet (in parallel with AD8314 input, should yield 50 Ohms).</t>
  </si>
  <si>
    <t>C_bp,lf,bot</t>
  </si>
  <si>
    <t>C_bp,lf_top</t>
  </si>
  <si>
    <t>Bottom capacitor value for tapped input of low frequency side of coupled resonator bandpass filter.</t>
  </si>
  <si>
    <t>Top capacitor value for tapped input of low frequency side of coupled resonator bandpass filter.</t>
  </si>
  <si>
    <t>Coupling</t>
  </si>
  <si>
    <t>C_bp,coupling</t>
  </si>
  <si>
    <t>Z_bp_L</t>
  </si>
  <si>
    <t>Magnitude of bandpass filter load impedance (same as input impedance of AS8314 at bandpass filter resonant frequency).</t>
  </si>
  <si>
    <t>R_s' of coupled resonator equivalent circuit. Must be &gt; Z_bp_L, preferably by a good amount.</t>
  </si>
  <si>
    <t>Q</t>
  </si>
  <si>
    <t>Loaded Q of a single resonator in the bandpass filter. R is dominated by R_L. Q = X / R for reactance in prallel with resistance.</t>
  </si>
  <si>
    <t>Value of coupling capacitor connecting low frequency and high frequency resonators in bandpass filter.</t>
  </si>
  <si>
    <t>X_bp,L</t>
  </si>
  <si>
    <t>R_bp,L</t>
  </si>
  <si>
    <t>j*Ohms</t>
  </si>
  <si>
    <t>Resistance of AD8314 input at resonant frequency.</t>
  </si>
  <si>
    <t>Reactance of AD8314 input at resonant frequency.</t>
  </si>
  <si>
    <t>Reactance of bandpass filter low frequency resoinator's equivalent capacitor.</t>
  </si>
  <si>
    <t>X_bp,lf,tot</t>
  </si>
  <si>
    <t>R_bp,sp</t>
  </si>
  <si>
    <t>X_bp,lf</t>
  </si>
  <si>
    <t>R_bp,lf,tot</t>
  </si>
  <si>
    <t>Noise figure calculation paper: https://www.ti.com/lit/an/slyt094/slyt094.pdf</t>
  </si>
  <si>
    <t>cycles</t>
  </si>
  <si>
    <t>Post-Instruction Delay @ 16MHz</t>
  </si>
  <si>
    <t>Post-Instruction Delay @ 48MHz</t>
  </si>
  <si>
    <t>Total Time @ 16 Mhz</t>
  </si>
  <si>
    <t>Total Cycles @ 16 MHz</t>
  </si>
  <si>
    <t>us</t>
  </si>
  <si>
    <t>Total Cycles @ 48 MHz</t>
  </si>
  <si>
    <t>Instructions in Segment</t>
  </si>
  <si>
    <t>Start Address (Hex)</t>
  </si>
  <si>
    <t>Size (kBytes)</t>
  </si>
  <si>
    <t>0x</t>
  </si>
  <si>
    <t>Region</t>
  </si>
  <si>
    <t>FLASH_BL</t>
  </si>
  <si>
    <t>FLASH_APP0</t>
  </si>
  <si>
    <t>FLASH_APP1</t>
  </si>
  <si>
    <t>Total Flash Size (kBytes)</t>
  </si>
  <si>
    <t>Flash Utilized (kBytes)</t>
  </si>
  <si>
    <t>FLASH_HDR0</t>
  </si>
  <si>
    <t>FLASH_HDR1</t>
  </si>
  <si>
    <t>Bootloader</t>
  </si>
  <si>
    <t>Application 0 Header</t>
  </si>
  <si>
    <t>Application 0 Data</t>
  </si>
  <si>
    <t>Application 1 Header</t>
  </si>
  <si>
    <t>Application 1 Data</t>
  </si>
  <si>
    <t>10000000</t>
  </si>
  <si>
    <t>Unit</t>
  </si>
  <si>
    <t>p_min</t>
  </si>
  <si>
    <t>dBm</t>
  </si>
  <si>
    <t>p_max</t>
  </si>
  <si>
    <t>rssi_min</t>
  </si>
  <si>
    <t>rssi_max</t>
  </si>
  <si>
    <t>p_mid</t>
  </si>
  <si>
    <t>rssi_mid</t>
  </si>
  <si>
    <t>xosc_freq</t>
  </si>
  <si>
    <t>Hz</t>
  </si>
  <si>
    <t>ndec2</t>
  </si>
  <si>
    <t>ndec1</t>
  </si>
  <si>
    <t>ndec0</t>
  </si>
  <si>
    <t>rxosr</t>
  </si>
  <si>
    <t>dwn3byp</t>
  </si>
  <si>
    <t>dwn2byp</t>
  </si>
  <si>
    <t>sample_rate</t>
  </si>
  <si>
    <t>Sample rate for receiver I/Q and Bit Clock Recovery (BCR).</t>
  </si>
  <si>
    <t>kbps</t>
  </si>
  <si>
    <t>rx_oversampling_rate</t>
  </si>
  <si>
    <t>12 bits, indicates 8x the desired oversampling rate.</t>
  </si>
  <si>
    <t>rx_bit_rate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</si>
</sst>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3" borderId="0" xfId="0" applyFill="1"/>
    <xf numFmtId="0" fontId="0" fillId="0" borderId="1" xfId="0" applyBorder="1" applyAlignment="1">
      <alignment horizontal="right"/>
    </xf>
    <xf numFmtId="49" fontId="0" fillId="0" borderId="2" xfId="0" applyNumberFormat="1" applyBorder="1"/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right"/>
    </xf>
    <xf numFmtId="0" fontId="1" fillId="0" borderId="0" xfId="0" applyFont="1" applyAlignment="1">
      <alignment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5093732</xdr:colOff>
      <xdr:row>1</xdr:row>
      <xdr:rowOff>182879</xdr:rowOff>
    </xdr:from>
    <xdr:to>
      <xdr:col>11</xdr:col>
      <xdr:colOff>60960</xdr:colOff>
      <xdr:row>14</xdr:row>
      <xdr:rowOff>118476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DA98D1B-D8FF-54CD-11C2-AB33870EF6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77012" y="365759"/>
          <a:ext cx="4724638" cy="34103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1A8BE-3B15-4627-BC31-B7CF5AD21860}">
  <dimension ref="A1:D2"/>
  <sheetViews>
    <sheetView workbookViewId="0">
      <selection activeCell="D10" sqref="D10"/>
    </sheetView>
  </sheetViews>
  <sheetFormatPr baseColWidth="10" defaultColWidth="8.83203125" defaultRowHeight="15" x14ac:dyDescent="0.2"/>
  <cols>
    <col min="1" max="1" width="24.5" customWidth="1"/>
  </cols>
  <sheetData>
    <row r="1" spans="1:4" x14ac:dyDescent="0.2">
      <c r="A1" t="s">
        <v>43</v>
      </c>
    </row>
    <row r="2" spans="1:4" x14ac:dyDescent="0.2">
      <c r="A2" t="s">
        <v>0</v>
      </c>
      <c r="B2" t="s">
        <v>1</v>
      </c>
      <c r="C2" t="s">
        <v>2</v>
      </c>
      <c r="D2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394AD-DB26-46BE-8BA2-682774885DB9}">
  <dimension ref="A1:D23"/>
  <sheetViews>
    <sheetView workbookViewId="0">
      <pane xSplit="1" ySplit="1" topLeftCell="B10" activePane="bottomRight" state="frozen"/>
      <selection pane="topRight" activeCell="B1" sqref="B1"/>
      <selection pane="bottomLeft" activeCell="A2" sqref="A2"/>
      <selection pane="bottomRight" activeCell="D11" sqref="D11"/>
    </sheetView>
  </sheetViews>
  <sheetFormatPr baseColWidth="10" defaultColWidth="8.83203125" defaultRowHeight="15" x14ac:dyDescent="0.2"/>
  <cols>
    <col min="1" max="1" width="26.33203125" customWidth="1"/>
    <col min="2" max="2" width="11.5" bestFit="1" customWidth="1"/>
    <col min="4" max="4" width="72.83203125" style="4" customWidth="1"/>
  </cols>
  <sheetData>
    <row r="1" spans="1:4" ht="16" x14ac:dyDescent="0.2">
      <c r="A1" t="s">
        <v>0</v>
      </c>
      <c r="B1" t="s">
        <v>1</v>
      </c>
      <c r="C1" t="s">
        <v>2</v>
      </c>
      <c r="D1" s="4" t="s">
        <v>3</v>
      </c>
    </row>
    <row r="2" spans="1:4" x14ac:dyDescent="0.2">
      <c r="A2" s="2" t="s">
        <v>4</v>
      </c>
    </row>
    <row r="3" spans="1:4" ht="32" x14ac:dyDescent="0.2">
      <c r="A3" t="s">
        <v>18</v>
      </c>
      <c r="B3">
        <v>52.3</v>
      </c>
      <c r="C3" t="s">
        <v>19</v>
      </c>
      <c r="D3" s="4" t="s">
        <v>20</v>
      </c>
    </row>
    <row r="4" spans="1:4" ht="16" x14ac:dyDescent="0.2">
      <c r="A4" t="s">
        <v>34</v>
      </c>
      <c r="B4">
        <v>760</v>
      </c>
      <c r="C4" t="s">
        <v>19</v>
      </c>
      <c r="D4" s="4" t="s">
        <v>36</v>
      </c>
    </row>
    <row r="5" spans="1:4" ht="16" x14ac:dyDescent="0.2">
      <c r="A5" t="s">
        <v>33</v>
      </c>
      <c r="B5">
        <v>-106</v>
      </c>
      <c r="C5" t="s">
        <v>35</v>
      </c>
      <c r="D5" s="4" t="s">
        <v>37</v>
      </c>
    </row>
    <row r="6" spans="1:4" ht="32" x14ac:dyDescent="0.2">
      <c r="A6" t="s">
        <v>27</v>
      </c>
      <c r="B6" s="1">
        <f>SQRT(R_bp_L^2+X_bp_L^2)</f>
        <v>767.3565012430663</v>
      </c>
      <c r="C6" t="s">
        <v>19</v>
      </c>
      <c r="D6" s="4" t="s">
        <v>28</v>
      </c>
    </row>
    <row r="7" spans="1:4" x14ac:dyDescent="0.2">
      <c r="A7" t="s">
        <v>6</v>
      </c>
      <c r="B7">
        <v>1090</v>
      </c>
      <c r="C7" t="s">
        <v>5</v>
      </c>
    </row>
    <row r="8" spans="1:4" x14ac:dyDescent="0.2">
      <c r="A8" t="s">
        <v>7</v>
      </c>
      <c r="B8" s="1">
        <f>2*PI()*f_r_bp_center</f>
        <v>6848.671984825749</v>
      </c>
      <c r="C8" t="s">
        <v>8</v>
      </c>
    </row>
    <row r="9" spans="1:4" x14ac:dyDescent="0.2">
      <c r="A9" s="3" t="s">
        <v>13</v>
      </c>
    </row>
    <row r="10" spans="1:4" x14ac:dyDescent="0.2">
      <c r="A10" t="s">
        <v>11</v>
      </c>
      <c r="B10">
        <v>1075</v>
      </c>
      <c r="C10" t="s">
        <v>5</v>
      </c>
    </row>
    <row r="11" spans="1:4" x14ac:dyDescent="0.2">
      <c r="A11" t="s">
        <v>12</v>
      </c>
      <c r="B11" s="1">
        <f>2*PI()*f_r_bp_lf</f>
        <v>6754.4242052180552</v>
      </c>
      <c r="C11" t="s">
        <v>8</v>
      </c>
    </row>
    <row r="12" spans="1:4" ht="16" x14ac:dyDescent="0.2">
      <c r="A12" t="s">
        <v>14</v>
      </c>
      <c r="B12">
        <v>6.8</v>
      </c>
      <c r="C12" t="s">
        <v>10</v>
      </c>
      <c r="D12" s="4" t="s">
        <v>9</v>
      </c>
    </row>
    <row r="13" spans="1:4" x14ac:dyDescent="0.2">
      <c r="A13" t="s">
        <v>16</v>
      </c>
      <c r="B13" s="1">
        <f>1/((w_r_bp_lf*1000000)^2*L_bp_lf*0.000000001)*1000000000000</f>
        <v>3.2234016365710483</v>
      </c>
      <c r="C13" t="s">
        <v>17</v>
      </c>
    </row>
    <row r="14" spans="1:4" ht="32" x14ac:dyDescent="0.2">
      <c r="A14" t="s">
        <v>21</v>
      </c>
      <c r="B14">
        <v>20</v>
      </c>
      <c r="C14" t="s">
        <v>17</v>
      </c>
      <c r="D14" s="4" t="s">
        <v>23</v>
      </c>
    </row>
    <row r="15" spans="1:4" ht="32" x14ac:dyDescent="0.2">
      <c r="A15" t="s">
        <v>22</v>
      </c>
      <c r="B15" s="1">
        <f>C_bp_lf*C_bp_lf_bot/(C_bp_lf_bot-C_bp_lf)</f>
        <v>3.8427356568274194</v>
      </c>
      <c r="C15" t="s">
        <v>17</v>
      </c>
      <c r="D15" s="4" t="s">
        <v>24</v>
      </c>
    </row>
    <row r="16" spans="1:4" s="3" customFormat="1" x14ac:dyDescent="0.2">
      <c r="A16" s="3" t="s">
        <v>25</v>
      </c>
      <c r="D16" s="5"/>
    </row>
    <row r="17" spans="1:4" ht="16" x14ac:dyDescent="0.2">
      <c r="A17" t="s">
        <v>40</v>
      </c>
      <c r="B17">
        <f>R_s*(1+C_bp_lf_bot/C_bp_lf_top)^2</f>
        <v>2013.4128500415541</v>
      </c>
      <c r="C17" t="s">
        <v>19</v>
      </c>
      <c r="D17" s="4" t="s">
        <v>29</v>
      </c>
    </row>
    <row r="18" spans="1:4" ht="16" x14ac:dyDescent="0.2">
      <c r="A18" t="s">
        <v>41</v>
      </c>
      <c r="B18">
        <f>-1/(w_r_bp_center*1000000*C_bp_lf*0.000000000001)</f>
        <v>-45.298019211141273</v>
      </c>
      <c r="C18" t="s">
        <v>35</v>
      </c>
      <c r="D18" s="4" t="s">
        <v>38</v>
      </c>
    </row>
    <row r="19" spans="1:4" x14ac:dyDescent="0.2">
      <c r="A19" t="s">
        <v>39</v>
      </c>
      <c r="B19">
        <f>1/(1/B18+1/X_bp_L)</f>
        <v>-31.735974214442297</v>
      </c>
      <c r="C19" t="s">
        <v>35</v>
      </c>
    </row>
    <row r="20" spans="1:4" x14ac:dyDescent="0.2">
      <c r="A20" t="s">
        <v>42</v>
      </c>
      <c r="B20">
        <f>1/(1/B17+1/B4)</f>
        <v>551.73674053203229</v>
      </c>
      <c r="C20" t="s">
        <v>19</v>
      </c>
    </row>
    <row r="21" spans="1:4" ht="32" x14ac:dyDescent="0.2">
      <c r="A21" t="s">
        <v>30</v>
      </c>
      <c r="B21">
        <f>ABS(B20/B19)</f>
        <v>17.385215175809851</v>
      </c>
      <c r="D21" s="4" t="s">
        <v>31</v>
      </c>
    </row>
    <row r="22" spans="1:4" ht="32" x14ac:dyDescent="0.2">
      <c r="A22" t="s">
        <v>26</v>
      </c>
      <c r="B22">
        <f>C_bp_lf/B21</f>
        <v>0.18541051140144393</v>
      </c>
      <c r="C22" t="s">
        <v>17</v>
      </c>
      <c r="D22" s="4" t="s">
        <v>32</v>
      </c>
    </row>
    <row r="23" spans="1:4" x14ac:dyDescent="0.2">
      <c r="A23" t="s">
        <v>15</v>
      </c>
      <c r="B23">
        <v>10</v>
      </c>
      <c r="C23" t="s">
        <v>10</v>
      </c>
    </row>
  </sheetData>
  <conditionalFormatting sqref="B17">
    <cfRule type="cellIs" dxfId="0" priority="1" operator="lessThan">
      <formula>$B$6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2DF10-CE9B-482B-AF8C-BE5D5FAD84AE}">
  <dimension ref="A1:D7"/>
  <sheetViews>
    <sheetView workbookViewId="0">
      <selection activeCell="C2" sqref="C2"/>
    </sheetView>
  </sheetViews>
  <sheetFormatPr baseColWidth="10" defaultColWidth="8.83203125" defaultRowHeight="15" x14ac:dyDescent="0.2"/>
  <cols>
    <col min="1" max="1" width="31.66406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45</v>
      </c>
      <c r="B2">
        <v>1</v>
      </c>
      <c r="C2" t="s">
        <v>44</v>
      </c>
    </row>
    <row r="3" spans="1:4" x14ac:dyDescent="0.2">
      <c r="A3" t="s">
        <v>51</v>
      </c>
      <c r="B3">
        <v>1</v>
      </c>
    </row>
    <row r="4" spans="1:4" x14ac:dyDescent="0.2">
      <c r="A4" t="s">
        <v>48</v>
      </c>
      <c r="B4" s="1">
        <f>B2+B3</f>
        <v>2</v>
      </c>
      <c r="C4" t="s">
        <v>44</v>
      </c>
    </row>
    <row r="5" spans="1:4" x14ac:dyDescent="0.2">
      <c r="A5" t="s">
        <v>47</v>
      </c>
      <c r="B5" s="1">
        <f>B4/16</f>
        <v>0.125</v>
      </c>
      <c r="C5" t="s">
        <v>49</v>
      </c>
    </row>
    <row r="6" spans="1:4" x14ac:dyDescent="0.2">
      <c r="A6" t="s">
        <v>50</v>
      </c>
      <c r="B6" s="1">
        <f>B5*48</f>
        <v>6</v>
      </c>
    </row>
    <row r="7" spans="1:4" x14ac:dyDescent="0.2">
      <c r="A7" t="s">
        <v>46</v>
      </c>
      <c r="B7" s="6">
        <f>B6-1</f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0358F-5FC6-0B4A-A773-03445C27E3CB}">
  <dimension ref="A1:D14"/>
  <sheetViews>
    <sheetView tabSelected="1" zoomScale="176" workbookViewId="0">
      <pane ySplit="1" topLeftCell="A2" activePane="bottomLeft" state="frozen"/>
      <selection pane="bottomLeft" activeCell="D6" sqref="D6"/>
    </sheetView>
  </sheetViews>
  <sheetFormatPr baseColWidth="10" defaultRowHeight="15" x14ac:dyDescent="0.2"/>
  <cols>
    <col min="1" max="1" width="35" customWidth="1"/>
    <col min="4" max="4" width="46.1640625" style="4" customWidth="1"/>
  </cols>
  <sheetData>
    <row r="1" spans="1:4" ht="16" x14ac:dyDescent="0.2">
      <c r="A1" t="s">
        <v>0</v>
      </c>
      <c r="B1" t="s">
        <v>1</v>
      </c>
      <c r="C1" t="s">
        <v>69</v>
      </c>
      <c r="D1" s="4" t="s">
        <v>3</v>
      </c>
    </row>
    <row r="2" spans="1:4" x14ac:dyDescent="0.2">
      <c r="A2" t="s">
        <v>77</v>
      </c>
      <c r="B2">
        <v>30000000</v>
      </c>
      <c r="C2" t="s">
        <v>78</v>
      </c>
    </row>
    <row r="3" spans="1:4" x14ac:dyDescent="0.2">
      <c r="A3" t="s">
        <v>79</v>
      </c>
      <c r="B3">
        <v>4</v>
      </c>
    </row>
    <row r="4" spans="1:4" x14ac:dyDescent="0.2">
      <c r="A4" t="s">
        <v>80</v>
      </c>
      <c r="B4">
        <v>5</v>
      </c>
    </row>
    <row r="5" spans="1:4" x14ac:dyDescent="0.2">
      <c r="A5" t="s">
        <v>81</v>
      </c>
      <c r="B5">
        <v>1</v>
      </c>
    </row>
    <row r="6" spans="1:4" x14ac:dyDescent="0.2">
      <c r="A6" t="s">
        <v>83</v>
      </c>
      <c r="B6">
        <v>0</v>
      </c>
    </row>
    <row r="7" spans="1:4" x14ac:dyDescent="0.2">
      <c r="A7" t="s">
        <v>84</v>
      </c>
      <c r="B7">
        <v>0</v>
      </c>
    </row>
    <row r="9" spans="1:4" ht="16" x14ac:dyDescent="0.2">
      <c r="A9" t="s">
        <v>85</v>
      </c>
      <c r="B9">
        <f>B2/B3/B4/B5/IF(B6,1,3)/IF(B7,1,2)/1000</f>
        <v>250</v>
      </c>
      <c r="C9" t="s">
        <v>87</v>
      </c>
      <c r="D9" s="4" t="s">
        <v>86</v>
      </c>
    </row>
    <row r="11" spans="1:4" ht="16" x14ac:dyDescent="0.2">
      <c r="A11" t="s">
        <v>82</v>
      </c>
      <c r="B11">
        <v>12</v>
      </c>
      <c r="D11" s="4" t="s">
        <v>89</v>
      </c>
    </row>
    <row r="12" spans="1:4" x14ac:dyDescent="0.2">
      <c r="A12" t="s">
        <v>88</v>
      </c>
      <c r="B12">
        <f>B11/8</f>
        <v>1.5</v>
      </c>
    </row>
    <row r="14" spans="1:4" x14ac:dyDescent="0.2">
      <c r="A14" t="s">
        <v>90</v>
      </c>
      <c r="B14">
        <f>B9/B12</f>
        <v>166.66666666666666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E163-E676-481D-8CE2-7F8B76453E50}">
  <dimension ref="A1:E10"/>
  <sheetViews>
    <sheetView workbookViewId="0">
      <selection activeCell="E15" sqref="E15"/>
    </sheetView>
  </sheetViews>
  <sheetFormatPr baseColWidth="10" defaultColWidth="8.83203125" defaultRowHeight="15" x14ac:dyDescent="0.2"/>
  <cols>
    <col min="2" max="2" width="17.33203125" customWidth="1"/>
    <col min="3" max="3" width="13.1640625" customWidth="1"/>
    <col min="4" max="4" width="15.1640625" customWidth="1"/>
  </cols>
  <sheetData>
    <row r="1" spans="1:5" ht="32" x14ac:dyDescent="0.2">
      <c r="B1" s="4" t="s">
        <v>59</v>
      </c>
      <c r="C1">
        <v>16384</v>
      </c>
    </row>
    <row r="3" spans="1:5" s="4" customFormat="1" ht="17" thickBot="1" x14ac:dyDescent="0.25">
      <c r="A3" s="19" t="s">
        <v>52</v>
      </c>
      <c r="B3" s="19"/>
      <c r="C3" s="11" t="s">
        <v>53</v>
      </c>
      <c r="D3" s="11" t="s">
        <v>55</v>
      </c>
      <c r="E3" s="4" t="s">
        <v>3</v>
      </c>
    </row>
    <row r="4" spans="1:5" x14ac:dyDescent="0.2">
      <c r="A4" s="7" t="s">
        <v>54</v>
      </c>
      <c r="B4" s="8" t="s">
        <v>68</v>
      </c>
      <c r="C4" s="12">
        <v>176</v>
      </c>
      <c r="D4" s="13" t="s">
        <v>56</v>
      </c>
      <c r="E4" t="s">
        <v>63</v>
      </c>
    </row>
    <row r="5" spans="1:5" x14ac:dyDescent="0.2">
      <c r="A5" s="9" t="s">
        <v>54</v>
      </c>
      <c r="B5" t="str">
        <f>DEC2HEX(HEX2DEC(B4)+C4*1024)</f>
        <v>1002C000</v>
      </c>
      <c r="C5" s="17">
        <v>4</v>
      </c>
      <c r="D5" s="14" t="s">
        <v>61</v>
      </c>
      <c r="E5" t="s">
        <v>64</v>
      </c>
    </row>
    <row r="6" spans="1:5" x14ac:dyDescent="0.2">
      <c r="A6" s="9" t="s">
        <v>54</v>
      </c>
      <c r="B6" t="str">
        <f t="shared" ref="B6:B8" si="0">DEC2HEX(HEX2DEC(B5)+C5*1024)</f>
        <v>1002D000</v>
      </c>
      <c r="C6" s="17">
        <v>8100</v>
      </c>
      <c r="D6" s="14" t="s">
        <v>57</v>
      </c>
      <c r="E6" t="s">
        <v>65</v>
      </c>
    </row>
    <row r="7" spans="1:5" x14ac:dyDescent="0.2">
      <c r="A7" s="9" t="s">
        <v>54</v>
      </c>
      <c r="B7" t="str">
        <f t="shared" si="0"/>
        <v>10816000</v>
      </c>
      <c r="C7" s="17">
        <v>4</v>
      </c>
      <c r="D7" s="14" t="s">
        <v>62</v>
      </c>
      <c r="E7" t="s">
        <v>66</v>
      </c>
    </row>
    <row r="8" spans="1:5" ht="16" thickBot="1" x14ac:dyDescent="0.25">
      <c r="A8" s="10" t="s">
        <v>54</v>
      </c>
      <c r="B8" s="18" t="str">
        <f t="shared" si="0"/>
        <v>10817000</v>
      </c>
      <c r="C8" s="15">
        <f>C6</f>
        <v>8100</v>
      </c>
      <c r="D8" s="16" t="s">
        <v>58</v>
      </c>
      <c r="E8" t="s">
        <v>67</v>
      </c>
    </row>
    <row r="10" spans="1:5" ht="32" x14ac:dyDescent="0.2">
      <c r="B10" s="4" t="s">
        <v>60</v>
      </c>
      <c r="C10">
        <f>SUM(C4:C8)</f>
        <v>16384</v>
      </c>
    </row>
  </sheetData>
  <mergeCells count="1">
    <mergeCell ref="A3:B3"/>
  </mergeCells>
  <pageMargins left="0.7" right="0.7" top="0.75" bottom="0.75" header="0.3" footer="0.3"/>
  <pageSetup paperSize="256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E8795-B0D8-4BFA-BD93-DE9627104852}">
  <dimension ref="A1:D9"/>
  <sheetViews>
    <sheetView workbookViewId="0">
      <selection activeCell="B9" sqref="B9"/>
    </sheetView>
  </sheetViews>
  <sheetFormatPr baseColWidth="10" defaultColWidth="8.83203125" defaultRowHeight="15" x14ac:dyDescent="0.2"/>
  <cols>
    <col min="1" max="1" width="25.6640625" customWidth="1"/>
  </cols>
  <sheetData>
    <row r="1" spans="1:4" x14ac:dyDescent="0.2">
      <c r="A1" t="s">
        <v>0</v>
      </c>
      <c r="B1" t="s">
        <v>1</v>
      </c>
      <c r="C1" t="s">
        <v>69</v>
      </c>
      <c r="D1" t="s">
        <v>3</v>
      </c>
    </row>
    <row r="2" spans="1:4" x14ac:dyDescent="0.2">
      <c r="A2" t="s">
        <v>70</v>
      </c>
      <c r="B2">
        <v>-95</v>
      </c>
      <c r="C2" t="s">
        <v>71</v>
      </c>
    </row>
    <row r="3" spans="1:4" x14ac:dyDescent="0.2">
      <c r="A3" t="s">
        <v>72</v>
      </c>
      <c r="B3">
        <v>-45</v>
      </c>
      <c r="C3" t="s">
        <v>71</v>
      </c>
    </row>
    <row r="5" spans="1:4" x14ac:dyDescent="0.2">
      <c r="A5" t="s">
        <v>73</v>
      </c>
      <c r="B5">
        <f>255*10^((B2+45)/10)</f>
        <v>2.5500000000000002E-3</v>
      </c>
    </row>
    <row r="6" spans="1:4" x14ac:dyDescent="0.2">
      <c r="A6" t="s">
        <v>74</v>
      </c>
      <c r="B6">
        <f>255*10^((B3+45)/10)</f>
        <v>255</v>
      </c>
    </row>
    <row r="8" spans="1:4" x14ac:dyDescent="0.2">
      <c r="A8" t="s">
        <v>75</v>
      </c>
      <c r="B8">
        <v>-70</v>
      </c>
    </row>
    <row r="9" spans="1:4" x14ac:dyDescent="0.2">
      <c r="A9" t="s">
        <v>76</v>
      </c>
      <c r="B9">
        <f>255*10^((B8+45)/10)</f>
        <v>0.80638080334293594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TLV3542 Noise Figure</vt:lpstr>
      <vt:lpstr>AD8314 Input Match</vt:lpstr>
      <vt:lpstr>RP2040 PIO Delay Conversion</vt:lpstr>
      <vt:lpstr>Si4362 Configuration</vt:lpstr>
      <vt:lpstr>RP2040 Memory Map</vt:lpstr>
      <vt:lpstr>Mode S Beast RSSI Byte</vt:lpstr>
      <vt:lpstr>C_bp_lf</vt:lpstr>
      <vt:lpstr>C_bp_lf_bot</vt:lpstr>
      <vt:lpstr>C_bp_lf_top</vt:lpstr>
      <vt:lpstr>f_r_bp_center</vt:lpstr>
      <vt:lpstr>f_r_bp_lf</vt:lpstr>
      <vt:lpstr>L_bp_hf</vt:lpstr>
      <vt:lpstr>L_bp_lf</vt:lpstr>
      <vt:lpstr>R_bp_L</vt:lpstr>
      <vt:lpstr>R_s</vt:lpstr>
      <vt:lpstr>w_r_bp_center</vt:lpstr>
      <vt:lpstr>w_r_bp_lf</vt:lpstr>
      <vt:lpstr>X_bp_L</vt:lpstr>
      <vt:lpstr>Z_bp_L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McNelly</dc:creator>
  <cp:lastModifiedBy>John McNelly</cp:lastModifiedBy>
  <dcterms:created xsi:type="dcterms:W3CDTF">2023-02-15T00:00:22Z</dcterms:created>
  <dcterms:modified xsi:type="dcterms:W3CDTF">2025-04-20T23:45:06Z</dcterms:modified>
</cp:coreProperties>
</file>