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checkouts\high-side-switch\excel\"/>
    </mc:Choice>
  </mc:AlternateContent>
  <xr:revisionPtr revIDLastSave="0" documentId="13_ncr:1_{316ACD93-64BF-413E-802D-6672BEAA6D9D}" xr6:coauthVersionLast="47" xr6:coauthVersionMax="47" xr10:uidLastSave="{00000000-0000-0000-0000-000000000000}"/>
  <bookViews>
    <workbookView xWindow="888" yWindow="0" windowWidth="19800" windowHeight="13758" xr2:uid="{95A4271B-2C38-4CB5-A28C-BF573940900E}"/>
  </bookViews>
  <sheets>
    <sheet name="Design Calculations" sheetId="1" r:id="rId1"/>
    <sheet name="Hysteresis Comparator" sheetId="2" r:id="rId2"/>
    <sheet name="Temperature Ratings" sheetId="3" r:id="rId3"/>
  </sheets>
  <definedNames>
    <definedName name="A_csense">'Design Calculations'!$B$19</definedName>
    <definedName name="A_vsense">'Design Calculations'!$B$80</definedName>
    <definedName name="C_oc_fast">'Design Calculations'!$B$47</definedName>
    <definedName name="C_oc_slow">'Design Calculations'!$B$60</definedName>
    <definedName name="C_vsense">'Design Calculations'!$B$78</definedName>
    <definedName name="CR_oc_fast">'Design Calculations'!$B$49</definedName>
    <definedName name="CR_oc_slow">'Design Calculations'!$B$62</definedName>
    <definedName name="f_vsense_c">'Design Calculations'!$B$79</definedName>
    <definedName name="I_drive_zener">'Design Calculations'!$B$27</definedName>
    <definedName name="I_load_max">'Design Calculations'!$B$5</definedName>
    <definedName name="I_oc_fast">'Design Calculations'!$B$50</definedName>
    <definedName name="I_oc_slow">'Design Calculations'!$B$63</definedName>
    <definedName name="I_rin_max">'Design Calculations'!$B$13</definedName>
    <definedName name="L_load_max">'Design Calculations'!$B$6</definedName>
    <definedName name="N_bits_adc">'Design Calculations'!$B$16</definedName>
    <definedName name="P_drive_zener">'Design Calculations'!$B$26</definedName>
    <definedName name="R_csense">'Design Calculations'!$B$9</definedName>
    <definedName name="R_fault_latch">'Design Calculations'!$B$103</definedName>
    <definedName name="R_in">'Design Calculations'!$B$12</definedName>
    <definedName name="R_oc_ref_top">'Design Calculations'!$B$44</definedName>
    <definedName name="R_oc_slow_f">'Design Calculations'!$B$69</definedName>
    <definedName name="R_oc_slow_in">'Design Calculations'!$B$65</definedName>
    <definedName name="R_out">'Design Calculations'!$B$14</definedName>
    <definedName name="R_uvlo_f">'Design Calculations'!$B$94</definedName>
    <definedName name="R_uvlo_in">'Design Calculations'!$B$92</definedName>
    <definedName name="R_uvlo_ref_top">'Design Calculations'!$B$98</definedName>
    <definedName name="R_vsense_bot">'Design Calculations'!$B$77</definedName>
    <definedName name="R_vsense_top">'Design Calculations'!$B$76</definedName>
    <definedName name="T_fault_latch">'Design Calculations'!$B$102</definedName>
    <definedName name="t_rise_oc_fast">'Design Calculations'!$B$46</definedName>
    <definedName name="t_rise_oc_slow">'Design Calculations'!$B$59</definedName>
    <definedName name="V_csense_max">'Design Calculations'!$B$10</definedName>
    <definedName name="V_drive_be">'Design Calculations'!$B$28</definedName>
    <definedName name="V_drive_zener">'Design Calculations'!$B$25</definedName>
    <definedName name="V_in_adc">'Design Calculations'!$B$15</definedName>
    <definedName name="V_logic_high">'Design Calculations'!$B$22</definedName>
    <definedName name="V_max_adc">'Design Calculations'!$B$17</definedName>
    <definedName name="V_oc_fast">'Design Calculations'!$B$51</definedName>
    <definedName name="V_oc_fast_ref">'Design Calculations'!$B$55</definedName>
    <definedName name="V_oc_hysteresis">'Design Calculations'!$B$42</definedName>
    <definedName name="V_oc_slow">'Design Calculations'!$B$64</definedName>
    <definedName name="V_oc_slow_ref">'Design Calculations'!$B$68</definedName>
    <definedName name="V_oc_slow_thl">'Design Calculations'!$B$67</definedName>
    <definedName name="V_oc_slow_tlh">'Design Calculations'!$B$66</definedName>
    <definedName name="V_oc_top">'Design Calculations'!$B$40</definedName>
    <definedName name="V_supply_max">'Design Calculations'!$B$3</definedName>
    <definedName name="V_supply_min">'Design Calculations'!$B$2</definedName>
    <definedName name="V_uvlo">'Design Calculations'!$B$84</definedName>
    <definedName name="V_uvlo_div_thl">'Design Calculations'!$B$91</definedName>
    <definedName name="V_uvlo_div_tlh">'Design Calculations'!$B$90</definedName>
    <definedName name="V_uvlo_hysteresis">'Design Calculations'!$B$86</definedName>
    <definedName name="V_uvlo_oh">'Design Calculations'!$B$93</definedName>
    <definedName name="V_uvlo_ref">'Design Calculations'!$B$95</definedName>
    <definedName name="V_uvlo_top">'Design Calculations'!$B$89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4" i="1" l="1"/>
  <c r="B2" i="2"/>
  <c r="B6" i="2" s="1"/>
  <c r="B94" i="1"/>
  <c r="B95" i="1" s="1"/>
  <c r="B99" i="1" s="1"/>
  <c r="B37" i="1"/>
  <c r="B80" i="1"/>
  <c r="B85" i="1" s="1"/>
  <c r="B79" i="1"/>
  <c r="B48" i="1"/>
  <c r="B19" i="1"/>
  <c r="B42" i="1" s="1"/>
  <c r="B63" i="1"/>
  <c r="B50" i="1"/>
  <c r="B11" i="1"/>
  <c r="B61" i="1" a="1"/>
  <c r="B61" i="1" s="1"/>
  <c r="B27" i="1"/>
  <c r="B34" i="1" s="1"/>
  <c r="B10" i="1"/>
  <c r="B13" i="1" s="1"/>
  <c r="B15" i="1" s="1"/>
  <c r="B18" i="1" s="1"/>
  <c r="B7" i="2" l="1"/>
  <c r="B8" i="2" s="1"/>
  <c r="B90" i="1"/>
  <c r="B91" i="1"/>
  <c r="B96" i="1"/>
  <c r="B97" i="1"/>
  <c r="B64" i="1" a="1"/>
  <c r="B64" i="1" s="1"/>
  <c r="B51" i="1"/>
  <c r="B29" i="1"/>
  <c r="B32" i="1" s="1"/>
  <c r="B33" i="1" s="1"/>
  <c r="B31" i="1"/>
  <c r="B9" i="2" l="1"/>
  <c r="B66" i="1"/>
  <c r="B67" i="1"/>
  <c r="B53" i="1"/>
  <c r="B54" i="1"/>
  <c r="B56" i="1" l="1"/>
  <c r="B55" i="1" s="1"/>
  <c r="B57" i="1" s="1"/>
  <c r="B69" i="1" l="1"/>
  <c r="B68" i="1" s="1"/>
  <c r="B7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<sst xmlns="http://schemas.openxmlformats.org/spreadsheetml/2006/main" count="281" uniqueCount="197">
  <si>
    <t>Symbol</t>
  </si>
  <si>
    <t>Value</t>
  </si>
  <si>
    <t>Units</t>
  </si>
  <si>
    <t>Note</t>
  </si>
  <si>
    <t>V_supply,min</t>
  </si>
  <si>
    <t>V</t>
  </si>
  <si>
    <t>V_supply,max</t>
  </si>
  <si>
    <t>I_load,max</t>
  </si>
  <si>
    <t>A</t>
  </si>
  <si>
    <t>L_load,max</t>
  </si>
  <si>
    <t>mH</t>
  </si>
  <si>
    <t>mOhms</t>
  </si>
  <si>
    <t>R_in</t>
  </si>
  <si>
    <t>mA</t>
  </si>
  <si>
    <t>Ohms</t>
  </si>
  <si>
    <t>R_out</t>
  </si>
  <si>
    <t>kOhms</t>
  </si>
  <si>
    <t>V_out</t>
  </si>
  <si>
    <t>Current Sense Amplifier Parameters</t>
  </si>
  <si>
    <t>N_bits,adc</t>
  </si>
  <si>
    <t>bits</t>
  </si>
  <si>
    <t>V_max,adc</t>
  </si>
  <si>
    <t>I_resolution,adc</t>
  </si>
  <si>
    <t>V_logic,high</t>
  </si>
  <si>
    <t>I_drive,zener</t>
  </si>
  <si>
    <t>V_drive,zener</t>
  </si>
  <si>
    <t>W</t>
  </si>
  <si>
    <t>Emitter resistor to set zener current for gate drive.</t>
  </si>
  <si>
    <t>Power rating for gate drive zener.</t>
  </si>
  <si>
    <t>Power absorbed by dissippation resistor on BJT collector.</t>
  </si>
  <si>
    <t>Collector-emitter voltage across current source BJT.</t>
  </si>
  <si>
    <t>Overcurrent Protection Parameters</t>
  </si>
  <si>
    <t>kHz</t>
  </si>
  <si>
    <t>t_rise,oc,fast</t>
  </si>
  <si>
    <t>t_rise,oc,slow</t>
  </si>
  <si>
    <t>s</t>
  </si>
  <si>
    <t>uF</t>
  </si>
  <si>
    <t>R_oc,fast</t>
  </si>
  <si>
    <t>R_oc,slow</t>
  </si>
  <si>
    <t>Trip time for slow overcurrent protection (1.5x overcurrent).</t>
  </si>
  <si>
    <t>Trip time for fast overcurrent protection (3x overcurrent). 0.63*V_s = 1T</t>
  </si>
  <si>
    <t>C_oc,fast</t>
  </si>
  <si>
    <t>Slow overcurrent protection timing cap.</t>
  </si>
  <si>
    <t>C_oc,slow</t>
  </si>
  <si>
    <t>I_oc,fast</t>
  </si>
  <si>
    <t>%</t>
  </si>
  <si>
    <t>I_oc,slow</t>
  </si>
  <si>
    <t>Current Ratio for fast trip threshold.</t>
  </si>
  <si>
    <t>Current Ratio for slow trip ratio.</t>
  </si>
  <si>
    <t>CR_oc,fast</t>
  </si>
  <si>
    <t>CR_oc,slow</t>
  </si>
  <si>
    <t>A_csense</t>
  </si>
  <si>
    <t>V/A</t>
  </si>
  <si>
    <t>R_csense</t>
  </si>
  <si>
    <t>V_csense,max</t>
  </si>
  <si>
    <t>Must be below max LTC6102 input voltage.</t>
  </si>
  <si>
    <t>V_csense,min</t>
  </si>
  <si>
    <t>Must be above LTC6102 input offset voltage (~3uV).</t>
  </si>
  <si>
    <t>I_load,min</t>
  </si>
  <si>
    <t>Minimum current sense resolution.</t>
  </si>
  <si>
    <t>uV</t>
  </si>
  <si>
    <t>I_rin,max</t>
  </si>
  <si>
    <t>R_oc,ref,top</t>
  </si>
  <si>
    <t>R_oc,ref,bot,fast</t>
  </si>
  <si>
    <t>Reference voltage at top of resistive divider for overcurrent threshold.</t>
  </si>
  <si>
    <t>R_oc,ref,bot,slow</t>
  </si>
  <si>
    <t>Fast overcurrent trip threshold.</t>
  </si>
  <si>
    <t>Slow overcurrent trip threshold.</t>
  </si>
  <si>
    <t>V_oc,fast</t>
  </si>
  <si>
    <t>V_oc,slow</t>
  </si>
  <si>
    <t>Current sense voltage to load current gain: V_out / I_load.</t>
  </si>
  <si>
    <t>Voltage Sense Parameters</t>
  </si>
  <si>
    <t>Cap in parallel with bottom resistor in voltage sense divider for low pass filter.</t>
  </si>
  <si>
    <t>Corner frequency of voltage sense low pass filter.</t>
  </si>
  <si>
    <t>From MCP6543 Datasheet</t>
  </si>
  <si>
    <t>V_TLH</t>
  </si>
  <si>
    <t>Trigger voltage from low to high.</t>
  </si>
  <si>
    <t>V_THL</t>
  </si>
  <si>
    <t>Trigger voltage from high to low.</t>
  </si>
  <si>
    <t>R_1</t>
  </si>
  <si>
    <t>Input resistance.</t>
  </si>
  <si>
    <t>V_OH</t>
  </si>
  <si>
    <t>Output voltage in high state.</t>
  </si>
  <si>
    <t>R_F</t>
  </si>
  <si>
    <t>V_REF</t>
  </si>
  <si>
    <t>V_TLH_CHECK</t>
  </si>
  <si>
    <t>V_THL_CHECK</t>
  </si>
  <si>
    <t>Trigger voltage for fast overcurrent protection.</t>
  </si>
  <si>
    <t>Trigger voltage for slow overcurrent protection.</t>
  </si>
  <si>
    <t>V_oc,hysteresis</t>
  </si>
  <si>
    <t>Hysteresis band (one side) for overcurrent protection.</t>
  </si>
  <si>
    <t>I_oc,hysteresis</t>
  </si>
  <si>
    <t>V_oc,oh</t>
  </si>
  <si>
    <t>Overcurrent comparators output high voltage.</t>
  </si>
  <si>
    <t>R_oc,fast,f</t>
  </si>
  <si>
    <t>R_oc,fast,in</t>
  </si>
  <si>
    <t>Input resistor value for fast overcurrent protection comparator.</t>
  </si>
  <si>
    <t>Feedback resistor value for fast overcurrent protection comparator.</t>
  </si>
  <si>
    <t>V_oc,fast,tlh</t>
  </si>
  <si>
    <t>High low transition voltage for fast overcurrent protection.</t>
  </si>
  <si>
    <t>Low high transition voltage for fast overcurrent protection.</t>
  </si>
  <si>
    <t>V_oc,fast,thl</t>
  </si>
  <si>
    <t>V_oc,fast,ref</t>
  </si>
  <si>
    <t>R_oc,slow,in</t>
  </si>
  <si>
    <t>R_oc,slow,f</t>
  </si>
  <si>
    <t>V_oc,slow,tlh</t>
  </si>
  <si>
    <t>V_oc,slow,thl</t>
  </si>
  <si>
    <t>V_oc,slow,ref</t>
  </si>
  <si>
    <t>Voltage sense divider top resistor.</t>
  </si>
  <si>
    <t>Voltage sense divider bottom resistor.</t>
  </si>
  <si>
    <t>Voltage sense divider bottom filter capacitor.</t>
  </si>
  <si>
    <t>Voltage sense divider corner frequency.</t>
  </si>
  <si>
    <t>Sense Divider</t>
  </si>
  <si>
    <t>Undervoltage Protection Comparator</t>
  </si>
  <si>
    <t>Slow Overcurrent Protection Comparator</t>
  </si>
  <si>
    <t>Fast Overcurrent Protection Comparator</t>
  </si>
  <si>
    <t>V/V</t>
  </si>
  <si>
    <t>Voltage sense divider gain.</t>
  </si>
  <si>
    <t>Component</t>
  </si>
  <si>
    <t>Min Temp Rating</t>
  </si>
  <si>
    <t>Max Temp Rating</t>
  </si>
  <si>
    <t>Link</t>
  </si>
  <si>
    <t>Design Requirement</t>
  </si>
  <si>
    <t>STM32F446RCT6</t>
  </si>
  <si>
    <t>https://www.digikey.com/en/products/detail/stmicroelectronics/STM32F446RCT6TR/6621762</t>
  </si>
  <si>
    <t>Available as increased temp range variant with 105C max temp (STM32F446RCT7).</t>
  </si>
  <si>
    <t>Function</t>
  </si>
  <si>
    <t>MCU</t>
  </si>
  <si>
    <t>Comparator</t>
  </si>
  <si>
    <t>MCP6541T-I/LT</t>
  </si>
  <si>
    <t>https://www.digikey.com/en/products/detail/microchip-technology/MCP6541T-I-LT/551750</t>
  </si>
  <si>
    <t>5V Power Supply Module</t>
  </si>
  <si>
    <t>SPBW06F-05</t>
  </si>
  <si>
    <t>Thresold voltage of voltage sense divider protection MOSFET (typical). Used values from 2N7002 datasheet (https://www.onsemi.com/pdf/datasheet/nds7002a-d.pdf). NOTE: make sure the MCU can handle voltages when MOSFET has minimum threshold voltage, and that sense range is not terribly impaced when MOSFET has maximum threshold voltage!</t>
  </si>
  <si>
    <t>V_uvlo</t>
  </si>
  <si>
    <t>Switch PMOS</t>
  </si>
  <si>
    <t>SUD50P10-43L-GE3</t>
  </si>
  <si>
    <t>https://www.digikey.com/en/products/detail/vishay-siliconix/SUD50P10-43L-GE3/4563553</t>
  </si>
  <si>
    <t>Does not include derating due to operating current.</t>
  </si>
  <si>
    <t>BJT collector resistor.</t>
  </si>
  <si>
    <t>Power dissipated in gate drive BJT while turned ON with max supply voltage.</t>
  </si>
  <si>
    <t>MMBT5401-7-F</t>
  </si>
  <si>
    <t>PNP Transistor</t>
  </si>
  <si>
    <t>NPN Transistor</t>
  </si>
  <si>
    <t>https://www.digikey.com/en/products/detail/diodes-incorporated/MMBT5401-7-F/804878</t>
  </si>
  <si>
    <t>MMBT5551-7-F</t>
  </si>
  <si>
    <t>https://www.digikey.com/en/products/detail/diodes-incorporated/MMBT5551-7-F/1154713</t>
  </si>
  <si>
    <t>P_drive,zener</t>
  </si>
  <si>
    <t>V_drive,be</t>
  </si>
  <si>
    <t>R_drive,e</t>
  </si>
  <si>
    <t>R_drive,c</t>
  </si>
  <si>
    <t>P_drive,c</t>
  </si>
  <si>
    <t>V_drive,ce,max</t>
  </si>
  <si>
    <t>P_drive,bjt</t>
  </si>
  <si>
    <t>V_drive,headroom,min</t>
  </si>
  <si>
    <t>Minimum voltage used by drive circuitry (e.g. during low supply voltage operation). MOSFET gate drive voltage will be limited to V_supply,max - V_drive,headroom,min.</t>
  </si>
  <si>
    <t>P_switch,max</t>
  </si>
  <si>
    <t>Max power dissipation allowed in PMOS switch at max rated temperature.</t>
  </si>
  <si>
    <t>Low Supply Voltage Gate Drive Scenario</t>
  </si>
  <si>
    <t>R_switch,ds,on,lv</t>
  </si>
  <si>
    <t>R_ds,on of PMOS switch in low supply voltage scenario. Gate drive zener is not fully saturated so this corresponds to the max R_ds,on of the PMOS switch.</t>
  </si>
  <si>
    <t>P_switch,lv</t>
  </si>
  <si>
    <t>Power dissipation in PMOS switch with max load current in low supply voltage scenario.</t>
  </si>
  <si>
    <t>PMOS Switch Parameters</t>
  </si>
  <si>
    <t>PMOS Gate Drive</t>
  </si>
  <si>
    <t>Undervoltage lockout voltage. Set to satisfy acceptable minimum R_ds,on for PMOS switch in minimum supply voltage scenario, taking into account headroom required for PMOS drive circuit.</t>
  </si>
  <si>
    <t>V_uvlo,div</t>
  </si>
  <si>
    <t>R_vsense,top</t>
  </si>
  <si>
    <t>R_vsense,bot</t>
  </si>
  <si>
    <t>C_vsense</t>
  </si>
  <si>
    <t>f_vsense,c</t>
  </si>
  <si>
    <t>A_vsense</t>
  </si>
  <si>
    <t>V_vsense,protection,th</t>
  </si>
  <si>
    <t>V_uvlo,hysteresis</t>
  </si>
  <si>
    <t>Hysteresis voltage (one side) of supply voltage for undervoltage lockout.</t>
  </si>
  <si>
    <t>V_uvlo,div,tlh</t>
  </si>
  <si>
    <t>V_uvlo,div,thl</t>
  </si>
  <si>
    <t>Voltage sense divided voltage UVLO low to high transition voltage.</t>
  </si>
  <si>
    <t>Voltage sense divided voltage UVLO high to low transition voltage.</t>
  </si>
  <si>
    <t>V_oc,top</t>
  </si>
  <si>
    <t>V_uvlo,top</t>
  </si>
  <si>
    <t>Logic supply voltage for UVLO comparator circuit.</t>
  </si>
  <si>
    <t>R_uvlo,in</t>
  </si>
  <si>
    <t>V_uvlo,oh</t>
  </si>
  <si>
    <t>R_uvlo,f</t>
  </si>
  <si>
    <t>V_uvlo,ref</t>
  </si>
  <si>
    <t>R_uvlo,ref,top</t>
  </si>
  <si>
    <t>R_uvlo,ref,bot</t>
  </si>
  <si>
    <t>Fault Latch</t>
  </si>
  <si>
    <t>T_fault,latch</t>
  </si>
  <si>
    <t>Desired RC latch time constant.</t>
  </si>
  <si>
    <t>R_fault,latch</t>
  </si>
  <si>
    <t>Fault latch circuit timing cap discharge resistor.</t>
  </si>
  <si>
    <t>Fault latch circuit timing cap.</t>
  </si>
  <si>
    <t>C_fault,latch</t>
  </si>
  <si>
    <t>nF</t>
  </si>
  <si>
    <t>Mohms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</si>
</sst>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73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164" fontId="0" fillId="2" borderId="0" xfId="0" applyNumberFormat="1" applyFill="1"/>
    <xf numFmtId="11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" fontId="0" fillId="2" borderId="0" xfId="0" applyNumberFormat="1" applyFill="1"/>
    <xf numFmtId="165" fontId="0" fillId="2" borderId="0" xfId="0" applyNumberFormat="1" applyFill="1"/>
    <xf numFmtId="2" fontId="0" fillId="0" borderId="0" xfId="0" applyNumberFormat="1" applyFill="1"/>
    <xf numFmtId="1" fontId="0" fillId="2" borderId="0" xfId="0" applyNumberFormat="1" applyFill="1"/>
    <xf numFmtId="0" fontId="0" fillId="0" borderId="0" xfId="0" applyFont="1"/>
    <xf numFmtId="0" fontId="3" fillId="0" borderId="0" xfId="0" applyFont="1"/>
    <xf numFmtId="173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/>
    <xf numFmtId="0" fontId="4" fillId="0" borderId="0" xfId="2" applyAlignment="1"/>
    <xf numFmtId="0" fontId="3" fillId="0" borderId="0" xfId="0" applyFont="1" applyAlignment="1">
      <alignment wrapText="1"/>
    </xf>
  </cellXfs>
  <cellStyles count="3">
    <cellStyle name="Hyperlink" xfId="2" builtinId="8"/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9</xdr:col>
      <xdr:colOff>373634</xdr:colOff>
      <xdr:row>32</xdr:row>
      <xdr:rowOff>168130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F1ED60-8149-0BE5-6B03-FED802CE6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65760"/>
          <a:ext cx="2933954" cy="5654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vishay-siliconix/SUD50P10-43L-GE3/4563553" TargetMode="External"/><Relationship Id="rId2" Type="http://schemas.openxmlformats.org/officeDocument/2006/relationships/hyperlink" Target="https://www.digikey.com/en/products/detail/microchip-technology/MCP6541T-I-LT/551750" TargetMode="External"/><Relationship Id="rId1" Type="http://schemas.openxmlformats.org/officeDocument/2006/relationships/hyperlink" Target="https://www.digikey.com/en/products/detail/microchip-technology/MCP6541T-I-LT/551750" TargetMode="External"/><Relationship Id="rId4" Type="http://schemas.openxmlformats.org/officeDocument/2006/relationships/hyperlink" Target="https://www.digikey.com/en/products/detail/diodes-incorporated/MMBT5551-7-F/11547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B801-4B87-43B6-9EBA-E5E667A3881F}">
  <dimension ref="A1:D104"/>
  <sheetViews>
    <sheetView tabSelected="1" topLeftCell="A91" zoomScaleNormal="100" workbookViewId="0">
      <pane xSplit="1" topLeftCell="B1" activePane="topRight" state="frozen"/>
      <selection pane="topRight" activeCell="A111" sqref="A111"/>
    </sheetView>
  </sheetViews>
  <sheetFormatPr defaultColWidth="0" defaultRowHeight="14.4" x14ac:dyDescent="0.55000000000000004"/>
  <cols>
    <col min="1" max="1" width="37.62890625" customWidth="1"/>
    <col min="2" max="3" width="8.83984375" customWidth="1"/>
    <col min="4" max="4" width="47.89453125" style="6" customWidth="1"/>
    <col min="5" max="16384" width="8.83984375" hidden="1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5" t="s">
        <v>3</v>
      </c>
    </row>
    <row r="2" spans="1:4" x14ac:dyDescent="0.55000000000000004">
      <c r="A2" t="s">
        <v>4</v>
      </c>
      <c r="B2">
        <v>12</v>
      </c>
      <c r="C2" t="s">
        <v>5</v>
      </c>
    </row>
    <row r="3" spans="1:4" x14ac:dyDescent="0.55000000000000004">
      <c r="A3" t="s">
        <v>6</v>
      </c>
      <c r="B3">
        <v>60</v>
      </c>
      <c r="C3" t="s">
        <v>5</v>
      </c>
    </row>
    <row r="4" spans="1:4" x14ac:dyDescent="0.55000000000000004">
      <c r="A4" t="s">
        <v>58</v>
      </c>
      <c r="B4">
        <v>0.01</v>
      </c>
      <c r="C4" t="s">
        <v>8</v>
      </c>
      <c r="D4" s="6" t="s">
        <v>59</v>
      </c>
    </row>
    <row r="5" spans="1:4" x14ac:dyDescent="0.55000000000000004">
      <c r="A5" t="s">
        <v>7</v>
      </c>
      <c r="B5">
        <v>10</v>
      </c>
      <c r="C5" t="s">
        <v>8</v>
      </c>
    </row>
    <row r="6" spans="1:4" x14ac:dyDescent="0.55000000000000004">
      <c r="A6" t="s">
        <v>9</v>
      </c>
      <c r="B6">
        <v>5</v>
      </c>
      <c r="C6" t="s">
        <v>10</v>
      </c>
    </row>
    <row r="8" spans="1:4" x14ac:dyDescent="0.55000000000000004">
      <c r="A8" s="2" t="s">
        <v>18</v>
      </c>
    </row>
    <row r="9" spans="1:4" x14ac:dyDescent="0.55000000000000004">
      <c r="A9" t="s">
        <v>53</v>
      </c>
      <c r="B9">
        <v>1</v>
      </c>
      <c r="C9" t="s">
        <v>11</v>
      </c>
    </row>
    <row r="10" spans="1:4" x14ac:dyDescent="0.55000000000000004">
      <c r="A10" t="s">
        <v>54</v>
      </c>
      <c r="B10" s="1">
        <f>R_csense*0.001*I_load_max</f>
        <v>0.01</v>
      </c>
      <c r="C10" t="s">
        <v>5</v>
      </c>
      <c r="D10" s="6" t="s">
        <v>55</v>
      </c>
    </row>
    <row r="11" spans="1:4" x14ac:dyDescent="0.55000000000000004">
      <c r="A11" t="s">
        <v>56</v>
      </c>
      <c r="B11" s="1">
        <f>B4*R_csense*0.001*1000000</f>
        <v>10</v>
      </c>
      <c r="C11" t="s">
        <v>60</v>
      </c>
      <c r="D11" s="6" t="s">
        <v>57</v>
      </c>
    </row>
    <row r="12" spans="1:4" x14ac:dyDescent="0.55000000000000004">
      <c r="A12" t="s">
        <v>12</v>
      </c>
      <c r="B12">
        <v>34</v>
      </c>
      <c r="C12" t="s">
        <v>14</v>
      </c>
    </row>
    <row r="13" spans="1:4" x14ac:dyDescent="0.55000000000000004">
      <c r="A13" t="s">
        <v>61</v>
      </c>
      <c r="B13" s="8">
        <f>V_csense_max/B12*1000</f>
        <v>0.29411764705882354</v>
      </c>
      <c r="C13" t="s">
        <v>13</v>
      </c>
    </row>
    <row r="14" spans="1:4" x14ac:dyDescent="0.55000000000000004">
      <c r="A14" t="s">
        <v>15</v>
      </c>
      <c r="B14">
        <v>4.99</v>
      </c>
      <c r="C14" t="s">
        <v>16</v>
      </c>
    </row>
    <row r="15" spans="1:4" x14ac:dyDescent="0.55000000000000004">
      <c r="A15" t="s">
        <v>17</v>
      </c>
      <c r="B15" s="7">
        <f>I_rin_max*R_out</f>
        <v>1.4676470588235295</v>
      </c>
      <c r="C15" t="s">
        <v>5</v>
      </c>
    </row>
    <row r="16" spans="1:4" x14ac:dyDescent="0.55000000000000004">
      <c r="A16" t="s">
        <v>19</v>
      </c>
      <c r="B16">
        <v>12</v>
      </c>
      <c r="C16" t="s">
        <v>20</v>
      </c>
    </row>
    <row r="17" spans="1:4" x14ac:dyDescent="0.55000000000000004">
      <c r="A17" t="s">
        <v>21</v>
      </c>
      <c r="B17">
        <v>3.3</v>
      </c>
      <c r="C17" t="s">
        <v>5</v>
      </c>
    </row>
    <row r="18" spans="1:4" x14ac:dyDescent="0.55000000000000004">
      <c r="A18" t="s">
        <v>22</v>
      </c>
      <c r="B18" s="3">
        <f>I_load_max/(V_in_adc/V_max_adc*2^N_bits_adc)*1000</f>
        <v>5.4894946142284553</v>
      </c>
      <c r="C18" t="s">
        <v>13</v>
      </c>
    </row>
    <row r="19" spans="1:4" x14ac:dyDescent="0.55000000000000004">
      <c r="A19" t="s">
        <v>51</v>
      </c>
      <c r="B19" s="8">
        <f>R_csense*0.001/R_in*R_out*1000</f>
        <v>0.14676470588235294</v>
      </c>
      <c r="C19" t="s">
        <v>52</v>
      </c>
      <c r="D19" s="6" t="s">
        <v>70</v>
      </c>
    </row>
    <row r="21" spans="1:4" x14ac:dyDescent="0.55000000000000004">
      <c r="A21" s="2" t="s">
        <v>163</v>
      </c>
    </row>
    <row r="22" spans="1:4" x14ac:dyDescent="0.55000000000000004">
      <c r="A22" t="s">
        <v>23</v>
      </c>
      <c r="B22">
        <v>3.3</v>
      </c>
      <c r="C22" t="s">
        <v>5</v>
      </c>
    </row>
    <row r="23" spans="1:4" ht="28.8" x14ac:dyDescent="0.55000000000000004">
      <c r="A23" t="s">
        <v>156</v>
      </c>
      <c r="B23" s="1">
        <v>5.8</v>
      </c>
      <c r="C23" t="s">
        <v>26</v>
      </c>
      <c r="D23" s="6" t="s">
        <v>157</v>
      </c>
    </row>
    <row r="24" spans="1:4" s="12" customFormat="1" x14ac:dyDescent="0.55000000000000004">
      <c r="A24" s="12" t="s">
        <v>164</v>
      </c>
      <c r="D24" s="18"/>
    </row>
    <row r="25" spans="1:4" x14ac:dyDescent="0.55000000000000004">
      <c r="A25" t="s">
        <v>25</v>
      </c>
      <c r="B25">
        <v>10</v>
      </c>
    </row>
    <row r="26" spans="1:4" x14ac:dyDescent="0.55000000000000004">
      <c r="A26" t="s">
        <v>147</v>
      </c>
      <c r="B26">
        <v>0.05</v>
      </c>
      <c r="C26" t="s">
        <v>26</v>
      </c>
      <c r="D26" s="6" t="s">
        <v>28</v>
      </c>
    </row>
    <row r="27" spans="1:4" x14ac:dyDescent="0.55000000000000004">
      <c r="A27" t="s">
        <v>24</v>
      </c>
      <c r="B27" s="1">
        <f>B26/B25*1000</f>
        <v>5</v>
      </c>
      <c r="C27" t="s">
        <v>13</v>
      </c>
    </row>
    <row r="28" spans="1:4" x14ac:dyDescent="0.55000000000000004">
      <c r="A28" t="s">
        <v>148</v>
      </c>
      <c r="B28">
        <v>0.8</v>
      </c>
      <c r="C28" t="s">
        <v>5</v>
      </c>
    </row>
    <row r="29" spans="1:4" x14ac:dyDescent="0.55000000000000004">
      <c r="A29" t="s">
        <v>149</v>
      </c>
      <c r="B29" s="1">
        <f>(V_logic_high-V_drive_be)/I_drive_zener*1000</f>
        <v>500</v>
      </c>
      <c r="C29" t="s">
        <v>14</v>
      </c>
      <c r="D29" s="6" t="s">
        <v>27</v>
      </c>
    </row>
    <row r="30" spans="1:4" x14ac:dyDescent="0.55000000000000004">
      <c r="A30" t="s">
        <v>150</v>
      </c>
      <c r="B30">
        <v>200</v>
      </c>
      <c r="C30" t="s">
        <v>14</v>
      </c>
      <c r="D30" s="6" t="s">
        <v>139</v>
      </c>
    </row>
    <row r="31" spans="1:4" x14ac:dyDescent="0.55000000000000004">
      <c r="A31" t="s">
        <v>151</v>
      </c>
      <c r="B31" s="1">
        <f>B30*(I_drive_zener*0.001)^2</f>
        <v>5.0000000000000001E-3</v>
      </c>
      <c r="C31" t="s">
        <v>26</v>
      </c>
      <c r="D31" s="6" t="s">
        <v>29</v>
      </c>
    </row>
    <row r="32" spans="1:4" x14ac:dyDescent="0.55000000000000004">
      <c r="A32" t="s">
        <v>152</v>
      </c>
      <c r="B32" s="1">
        <f>V_supply_max-I_drive_zener*0.001*(B29+B30)</f>
        <v>56.5</v>
      </c>
      <c r="C32" t="s">
        <v>5</v>
      </c>
      <c r="D32" s="6" t="s">
        <v>30</v>
      </c>
    </row>
    <row r="33" spans="1:4" ht="28.8" x14ac:dyDescent="0.55000000000000004">
      <c r="A33" t="s">
        <v>153</v>
      </c>
      <c r="B33" s="1">
        <f>B32*I_drive_zener*0.001</f>
        <v>0.28250000000000003</v>
      </c>
      <c r="C33" t="s">
        <v>26</v>
      </c>
      <c r="D33" s="6" t="s">
        <v>140</v>
      </c>
    </row>
    <row r="34" spans="1:4" ht="43.2" x14ac:dyDescent="0.55000000000000004">
      <c r="A34" t="s">
        <v>154</v>
      </c>
      <c r="B34" s="1">
        <f>V_logic_high+B30*I_drive_zener*0.001</f>
        <v>4.3</v>
      </c>
      <c r="C34" t="s">
        <v>5</v>
      </c>
      <c r="D34" s="6" t="s">
        <v>155</v>
      </c>
    </row>
    <row r="35" spans="1:4" x14ac:dyDescent="0.55000000000000004">
      <c r="A35" s="12" t="s">
        <v>158</v>
      </c>
      <c r="B35" s="15"/>
    </row>
    <row r="36" spans="1:4" ht="43.2" x14ac:dyDescent="0.55000000000000004">
      <c r="A36" s="11" t="s">
        <v>159</v>
      </c>
      <c r="B36" s="15">
        <v>4.8000000000000001E-2</v>
      </c>
      <c r="C36" t="s">
        <v>14</v>
      </c>
      <c r="D36" s="6" t="s">
        <v>160</v>
      </c>
    </row>
    <row r="37" spans="1:4" ht="28.8" x14ac:dyDescent="0.55000000000000004">
      <c r="A37" s="11" t="s">
        <v>161</v>
      </c>
      <c r="B37" s="15">
        <f>I_load_max^2*B36</f>
        <v>4.8</v>
      </c>
      <c r="C37" t="s">
        <v>26</v>
      </c>
      <c r="D37" s="6" t="s">
        <v>162</v>
      </c>
    </row>
    <row r="39" spans="1:4" x14ac:dyDescent="0.55000000000000004">
      <c r="A39" s="2" t="s">
        <v>31</v>
      </c>
    </row>
    <row r="40" spans="1:4" ht="28.8" x14ac:dyDescent="0.55000000000000004">
      <c r="A40" t="s">
        <v>179</v>
      </c>
      <c r="B40">
        <v>5</v>
      </c>
      <c r="C40" t="s">
        <v>5</v>
      </c>
      <c r="D40" s="6" t="s">
        <v>64</v>
      </c>
    </row>
    <row r="41" spans="1:4" x14ac:dyDescent="0.55000000000000004">
      <c r="A41" t="s">
        <v>91</v>
      </c>
      <c r="B41" s="7">
        <v>0.5</v>
      </c>
      <c r="C41" t="s">
        <v>8</v>
      </c>
      <c r="D41" s="6" t="s">
        <v>90</v>
      </c>
    </row>
    <row r="42" spans="1:4" x14ac:dyDescent="0.55000000000000004">
      <c r="A42" t="s">
        <v>89</v>
      </c>
      <c r="B42" s="7">
        <f>A_csense*B41</f>
        <v>7.3382352941176468E-2</v>
      </c>
      <c r="C42" t="s">
        <v>5</v>
      </c>
      <c r="D42" s="6" t="s">
        <v>90</v>
      </c>
    </row>
    <row r="43" spans="1:4" x14ac:dyDescent="0.55000000000000004">
      <c r="A43" t="s">
        <v>92</v>
      </c>
      <c r="B43">
        <v>5</v>
      </c>
      <c r="C43" t="s">
        <v>5</v>
      </c>
      <c r="D43" s="6" t="s">
        <v>93</v>
      </c>
    </row>
    <row r="44" spans="1:4" x14ac:dyDescent="0.55000000000000004">
      <c r="A44" t="s">
        <v>62</v>
      </c>
      <c r="B44">
        <v>10</v>
      </c>
      <c r="C44" t="s">
        <v>16</v>
      </c>
    </row>
    <row r="45" spans="1:4" x14ac:dyDescent="0.55000000000000004">
      <c r="A45" s="12" t="s">
        <v>115</v>
      </c>
    </row>
    <row r="46" spans="1:4" ht="28.8" x14ac:dyDescent="0.55000000000000004">
      <c r="A46" t="s">
        <v>33</v>
      </c>
      <c r="B46" s="4">
        <v>9.9999999999999995E-7</v>
      </c>
      <c r="C46" t="s">
        <v>35</v>
      </c>
      <c r="D46" s="6" t="s">
        <v>40</v>
      </c>
    </row>
    <row r="47" spans="1:4" x14ac:dyDescent="0.55000000000000004">
      <c r="A47" t="s">
        <v>41</v>
      </c>
      <c r="B47">
        <v>1</v>
      </c>
      <c r="C47" t="s">
        <v>36</v>
      </c>
      <c r="D47" s="6" t="s">
        <v>42</v>
      </c>
    </row>
    <row r="48" spans="1:4" x14ac:dyDescent="0.55000000000000004">
      <c r="A48" t="s">
        <v>37</v>
      </c>
      <c r="B48" s="1">
        <f>t_rise_oc_fast/(C_oc_fast*0.000001)</f>
        <v>1</v>
      </c>
      <c r="C48" t="s">
        <v>14</v>
      </c>
    </row>
    <row r="49" spans="1:4" x14ac:dyDescent="0.55000000000000004">
      <c r="A49" t="s">
        <v>49</v>
      </c>
      <c r="B49">
        <v>300</v>
      </c>
      <c r="C49" t="s">
        <v>45</v>
      </c>
      <c r="D49" s="6" t="s">
        <v>47</v>
      </c>
    </row>
    <row r="50" spans="1:4" x14ac:dyDescent="0.55000000000000004">
      <c r="A50" t="s">
        <v>44</v>
      </c>
      <c r="B50" s="1">
        <f>CR_oc_fast/100*I_load_max</f>
        <v>30</v>
      </c>
      <c r="C50" t="s">
        <v>8</v>
      </c>
      <c r="D50" s="6" t="s">
        <v>66</v>
      </c>
    </row>
    <row r="51" spans="1:4" x14ac:dyDescent="0.55000000000000004">
      <c r="A51" t="s">
        <v>68</v>
      </c>
      <c r="B51" s="7">
        <f>A_csense*I_oc_fast</f>
        <v>4.4029411764705877</v>
      </c>
      <c r="C51" t="s">
        <v>5</v>
      </c>
      <c r="D51" s="6" t="s">
        <v>87</v>
      </c>
    </row>
    <row r="52" spans="1:4" ht="28.8" x14ac:dyDescent="0.55000000000000004">
      <c r="A52" t="s">
        <v>95</v>
      </c>
      <c r="B52">
        <v>1</v>
      </c>
      <c r="C52" t="s">
        <v>16</v>
      </c>
      <c r="D52" s="6" t="s">
        <v>96</v>
      </c>
    </row>
    <row r="53" spans="1:4" x14ac:dyDescent="0.55000000000000004">
      <c r="A53" t="s">
        <v>98</v>
      </c>
      <c r="B53" s="7">
        <f>V_oc_fast+B42</f>
        <v>4.476323529411764</v>
      </c>
      <c r="C53" t="s">
        <v>5</v>
      </c>
      <c r="D53" s="6" t="s">
        <v>100</v>
      </c>
    </row>
    <row r="54" spans="1:4" x14ac:dyDescent="0.55000000000000004">
      <c r="A54" t="s">
        <v>101</v>
      </c>
      <c r="B54" s="7">
        <f>V_oc_fast-B42</f>
        <v>4.3295588235294113</v>
      </c>
      <c r="C54" t="s">
        <v>5</v>
      </c>
      <c r="D54" s="6" t="s">
        <v>99</v>
      </c>
    </row>
    <row r="55" spans="1:4" x14ac:dyDescent="0.55000000000000004">
      <c r="A55" t="s">
        <v>102</v>
      </c>
      <c r="B55" s="7">
        <f>B53/(1+B52/B56)</f>
        <v>4.3486770672609856</v>
      </c>
      <c r="C55" t="s">
        <v>5</v>
      </c>
    </row>
    <row r="56" spans="1:4" ht="28.8" x14ac:dyDescent="0.55000000000000004">
      <c r="A56" t="s">
        <v>94</v>
      </c>
      <c r="B56" s="10">
        <f>B43/(B53-B54)*B52</f>
        <v>34.068136272545146</v>
      </c>
      <c r="C56" t="s">
        <v>16</v>
      </c>
      <c r="D56" s="6" t="s">
        <v>97</v>
      </c>
    </row>
    <row r="57" spans="1:4" ht="28.8" x14ac:dyDescent="0.55000000000000004">
      <c r="A57" t="s">
        <v>63</v>
      </c>
      <c r="B57" s="3">
        <f>V_oc_fast_ref*R_oc_ref_top/(V_oc_top-V_oc_fast_ref)</f>
        <v>66.766834832199962</v>
      </c>
      <c r="C57" t="s">
        <v>16</v>
      </c>
      <c r="D57" s="6" t="s">
        <v>72</v>
      </c>
    </row>
    <row r="58" spans="1:4" x14ac:dyDescent="0.55000000000000004">
      <c r="A58" s="12" t="s">
        <v>114</v>
      </c>
      <c r="B58" s="9"/>
    </row>
    <row r="59" spans="1:4" ht="28.8" x14ac:dyDescent="0.55000000000000004">
      <c r="A59" t="s">
        <v>34</v>
      </c>
      <c r="B59">
        <v>20</v>
      </c>
      <c r="C59" t="s">
        <v>35</v>
      </c>
      <c r="D59" s="6" t="s">
        <v>39</v>
      </c>
    </row>
    <row r="60" spans="1:4" x14ac:dyDescent="0.55000000000000004">
      <c r="A60" t="s">
        <v>43</v>
      </c>
      <c r="B60">
        <v>100</v>
      </c>
      <c r="C60" t="s">
        <v>36</v>
      </c>
    </row>
    <row r="61" spans="1:4" x14ac:dyDescent="0.55000000000000004">
      <c r="A61" t="s">
        <v>38</v>
      </c>
      <c r="B61" s="1" cm="1">
        <f t="array" ref="B61">t_rise_oc_slow/(C_oc_slow*0.000001)/1000</f>
        <v>200.00000000000003</v>
      </c>
      <c r="C61" t="s">
        <v>16</v>
      </c>
    </row>
    <row r="62" spans="1:4" x14ac:dyDescent="0.55000000000000004">
      <c r="A62" t="s">
        <v>50</v>
      </c>
      <c r="B62">
        <v>150</v>
      </c>
      <c r="C62" t="s">
        <v>45</v>
      </c>
      <c r="D62" s="6" t="s">
        <v>48</v>
      </c>
    </row>
    <row r="63" spans="1:4" x14ac:dyDescent="0.55000000000000004">
      <c r="A63" t="s">
        <v>46</v>
      </c>
      <c r="B63" s="1">
        <f>CR_oc_slow/100*I_load_max</f>
        <v>15</v>
      </c>
      <c r="C63" t="s">
        <v>8</v>
      </c>
      <c r="D63" s="6" t="s">
        <v>67</v>
      </c>
    </row>
    <row r="64" spans="1:4" x14ac:dyDescent="0.55000000000000004">
      <c r="A64" t="s">
        <v>69</v>
      </c>
      <c r="B64" s="7" cm="1">
        <f t="array" ref="B64">A_csense*I_oc_slow</f>
        <v>2.2014705882352938</v>
      </c>
      <c r="C64" t="s">
        <v>5</v>
      </c>
      <c r="D64" s="6" t="s">
        <v>88</v>
      </c>
    </row>
    <row r="65" spans="1:4" ht="28.8" x14ac:dyDescent="0.55000000000000004">
      <c r="A65" t="s">
        <v>103</v>
      </c>
      <c r="B65">
        <v>1</v>
      </c>
      <c r="C65" t="s">
        <v>16</v>
      </c>
      <c r="D65" s="6" t="s">
        <v>96</v>
      </c>
    </row>
    <row r="66" spans="1:4" x14ac:dyDescent="0.55000000000000004">
      <c r="A66" t="s">
        <v>105</v>
      </c>
      <c r="B66" s="7">
        <f>V_oc_slow+B42</f>
        <v>2.2748529411764702</v>
      </c>
      <c r="C66" t="s">
        <v>5</v>
      </c>
      <c r="D66" s="6" t="s">
        <v>100</v>
      </c>
    </row>
    <row r="67" spans="1:4" x14ac:dyDescent="0.55000000000000004">
      <c r="A67" t="s">
        <v>106</v>
      </c>
      <c r="B67" s="7">
        <f>V_oc_slow-V_oc_hysteresis</f>
        <v>2.1280882352941175</v>
      </c>
      <c r="C67" t="s">
        <v>5</v>
      </c>
      <c r="D67" s="6" t="s">
        <v>99</v>
      </c>
    </row>
    <row r="68" spans="1:4" x14ac:dyDescent="0.55000000000000004">
      <c r="A68" t="s">
        <v>107</v>
      </c>
      <c r="B68" s="7">
        <f>V_oc_slow_tlh/(1+B65/B69)</f>
        <v>2.2005847958671563</v>
      </c>
      <c r="C68" t="s">
        <v>5</v>
      </c>
    </row>
    <row r="69" spans="1:4" ht="28.8" x14ac:dyDescent="0.55000000000000004">
      <c r="A69" t="s">
        <v>104</v>
      </c>
      <c r="B69" s="10">
        <f>B55/(B66-B67)*B65</f>
        <v>29.630264586547849</v>
      </c>
      <c r="C69" t="s">
        <v>16</v>
      </c>
      <c r="D69" s="6" t="s">
        <v>97</v>
      </c>
    </row>
    <row r="70" spans="1:4" x14ac:dyDescent="0.55000000000000004">
      <c r="A70" t="s">
        <v>65</v>
      </c>
      <c r="B70" s="3">
        <f>V_oc_slow_ref*R_oc_ref_top/(V_oc_top-V_oc_slow_ref)</f>
        <v>7.8608732017257754</v>
      </c>
      <c r="C70" t="s">
        <v>16</v>
      </c>
      <c r="D70" s="6" t="s">
        <v>73</v>
      </c>
    </row>
    <row r="74" spans="1:4" x14ac:dyDescent="0.55000000000000004">
      <c r="A74" s="2" t="s">
        <v>71</v>
      </c>
    </row>
    <row r="75" spans="1:4" x14ac:dyDescent="0.55000000000000004">
      <c r="A75" s="12" t="s">
        <v>112</v>
      </c>
    </row>
    <row r="76" spans="1:4" x14ac:dyDescent="0.55000000000000004">
      <c r="A76" t="s">
        <v>167</v>
      </c>
      <c r="B76">
        <v>19</v>
      </c>
      <c r="C76" t="s">
        <v>16</v>
      </c>
      <c r="D76" s="6" t="s">
        <v>108</v>
      </c>
    </row>
    <row r="77" spans="1:4" x14ac:dyDescent="0.55000000000000004">
      <c r="A77" t="s">
        <v>168</v>
      </c>
      <c r="B77" s="13">
        <v>1</v>
      </c>
      <c r="C77" t="s">
        <v>16</v>
      </c>
      <c r="D77" s="6" t="s">
        <v>109</v>
      </c>
    </row>
    <row r="78" spans="1:4" x14ac:dyDescent="0.55000000000000004">
      <c r="A78" t="s">
        <v>169</v>
      </c>
      <c r="B78">
        <v>0.1</v>
      </c>
      <c r="C78" t="s">
        <v>36</v>
      </c>
      <c r="D78" s="6" t="s">
        <v>110</v>
      </c>
    </row>
    <row r="79" spans="1:4" x14ac:dyDescent="0.55000000000000004">
      <c r="A79" t="s">
        <v>170</v>
      </c>
      <c r="B79" s="7">
        <f>(R_vsense_top-R_vsense_bot)*1000/(2*PI()*R_vsense_top*C_vsense*R_vsense_bot)/1000</f>
        <v>1.5077836713969033</v>
      </c>
      <c r="C79" t="s">
        <v>32</v>
      </c>
      <c r="D79" s="6" t="s">
        <v>111</v>
      </c>
    </row>
    <row r="80" spans="1:4" x14ac:dyDescent="0.55000000000000004">
      <c r="A80" t="s">
        <v>171</v>
      </c>
      <c r="B80" s="7">
        <f>R_vsense_bot/(R_vsense_bot+R_vsense_top)</f>
        <v>0.05</v>
      </c>
      <c r="C80" t="s">
        <v>116</v>
      </c>
      <c r="D80" s="6" t="s">
        <v>117</v>
      </c>
    </row>
    <row r="81" spans="1:4" ht="100.8" x14ac:dyDescent="0.55000000000000004">
      <c r="A81" t="s">
        <v>172</v>
      </c>
      <c r="B81" s="9">
        <v>2.1</v>
      </c>
      <c r="C81" t="s">
        <v>5</v>
      </c>
      <c r="D81" s="6" t="s">
        <v>133</v>
      </c>
    </row>
    <row r="82" spans="1:4" x14ac:dyDescent="0.55000000000000004">
      <c r="B82" s="9"/>
    </row>
    <row r="83" spans="1:4" x14ac:dyDescent="0.55000000000000004">
      <c r="A83" s="12" t="s">
        <v>113</v>
      </c>
    </row>
    <row r="84" spans="1:4" ht="57.6" x14ac:dyDescent="0.55000000000000004">
      <c r="A84" t="s">
        <v>134</v>
      </c>
      <c r="B84">
        <v>11</v>
      </c>
      <c r="C84" t="s">
        <v>5</v>
      </c>
      <c r="D84" s="6" t="s">
        <v>165</v>
      </c>
    </row>
    <row r="85" spans="1:4" x14ac:dyDescent="0.55000000000000004">
      <c r="A85" t="s">
        <v>166</v>
      </c>
      <c r="B85" s="1">
        <f>V_uvlo*A_vsense</f>
        <v>0.55000000000000004</v>
      </c>
      <c r="C85" t="s">
        <v>5</v>
      </c>
    </row>
    <row r="86" spans="1:4" ht="28.8" x14ac:dyDescent="0.55000000000000004">
      <c r="A86" t="s">
        <v>173</v>
      </c>
      <c r="B86">
        <v>1</v>
      </c>
      <c r="C86" t="s">
        <v>5</v>
      </c>
      <c r="D86" s="6" t="s">
        <v>174</v>
      </c>
    </row>
    <row r="89" spans="1:4" x14ac:dyDescent="0.55000000000000004">
      <c r="A89" t="s">
        <v>180</v>
      </c>
      <c r="B89">
        <v>5</v>
      </c>
      <c r="C89" t="s">
        <v>5</v>
      </c>
      <c r="D89" s="6" t="s">
        <v>181</v>
      </c>
    </row>
    <row r="90" spans="1:4" ht="28.8" x14ac:dyDescent="0.55000000000000004">
      <c r="A90" t="s">
        <v>175</v>
      </c>
      <c r="B90">
        <f>B85+A_vsense*B86</f>
        <v>0.60000000000000009</v>
      </c>
      <c r="C90" t="s">
        <v>5</v>
      </c>
      <c r="D90" s="6" t="s">
        <v>177</v>
      </c>
    </row>
    <row r="91" spans="1:4" ht="28.8" x14ac:dyDescent="0.55000000000000004">
      <c r="A91" t="s">
        <v>176</v>
      </c>
      <c r="B91">
        <f>B85-A_vsense*B86</f>
        <v>0.5</v>
      </c>
      <c r="C91" t="s">
        <v>5</v>
      </c>
      <c r="D91" s="6" t="s">
        <v>178</v>
      </c>
    </row>
    <row r="92" spans="1:4" x14ac:dyDescent="0.55000000000000004">
      <c r="A92" t="s">
        <v>182</v>
      </c>
      <c r="B92">
        <v>1</v>
      </c>
      <c r="C92" t="s">
        <v>16</v>
      </c>
    </row>
    <row r="93" spans="1:4" x14ac:dyDescent="0.55000000000000004">
      <c r="A93" t="s">
        <v>183</v>
      </c>
      <c r="B93">
        <v>5</v>
      </c>
      <c r="C93" t="s">
        <v>5</v>
      </c>
    </row>
    <row r="94" spans="1:4" x14ac:dyDescent="0.55000000000000004">
      <c r="A94" t="s">
        <v>184</v>
      </c>
      <c r="B94" s="1">
        <f>V_uvlo_oh/(V_uvlo_div_tlh-V_uvlo_div_thl)*B92</f>
        <v>49.999999999999957</v>
      </c>
      <c r="C94" t="s">
        <v>16</v>
      </c>
    </row>
    <row r="95" spans="1:4" x14ac:dyDescent="0.55000000000000004">
      <c r="A95" t="s">
        <v>185</v>
      </c>
      <c r="B95" s="7">
        <f>V_uvlo_div_tlh/(1+R_uvlo_in/R_uvlo_f)</f>
        <v>0.58823529411764719</v>
      </c>
      <c r="C95" t="s">
        <v>5</v>
      </c>
    </row>
    <row r="96" spans="1:4" x14ac:dyDescent="0.55000000000000004">
      <c r="A96" t="s">
        <v>85</v>
      </c>
      <c r="B96" s="7">
        <f>B95*(1+B92/B94)</f>
        <v>0.60000000000000009</v>
      </c>
      <c r="C96" t="s">
        <v>5</v>
      </c>
    </row>
    <row r="97" spans="1:4" x14ac:dyDescent="0.55000000000000004">
      <c r="A97" t="s">
        <v>86</v>
      </c>
      <c r="B97" s="1">
        <f>B95*(1+B92/B94)-B93*B92/B94</f>
        <v>0.5</v>
      </c>
      <c r="C97" t="s">
        <v>5</v>
      </c>
    </row>
    <row r="98" spans="1:4" x14ac:dyDescent="0.55000000000000004">
      <c r="A98" t="s">
        <v>186</v>
      </c>
      <c r="B98">
        <v>10</v>
      </c>
      <c r="C98" t="s">
        <v>16</v>
      </c>
    </row>
    <row r="99" spans="1:4" x14ac:dyDescent="0.55000000000000004">
      <c r="A99" t="s">
        <v>187</v>
      </c>
      <c r="B99" s="3">
        <f>V_uvlo_ref*R_uvlo_ref_top/(V_uvlo_top-V_uvlo_ref)</f>
        <v>1.3333333333333335</v>
      </c>
      <c r="C99" t="s">
        <v>16</v>
      </c>
    </row>
    <row r="101" spans="1:4" x14ac:dyDescent="0.55000000000000004">
      <c r="A101" s="2" t="s">
        <v>188</v>
      </c>
    </row>
    <row r="102" spans="1:4" x14ac:dyDescent="0.55000000000000004">
      <c r="A102" t="s">
        <v>189</v>
      </c>
      <c r="B102">
        <v>1</v>
      </c>
      <c r="C102" t="s">
        <v>35</v>
      </c>
      <c r="D102" s="6" t="s">
        <v>190</v>
      </c>
    </row>
    <row r="103" spans="1:4" x14ac:dyDescent="0.55000000000000004">
      <c r="A103" t="s">
        <v>191</v>
      </c>
      <c r="B103">
        <v>10</v>
      </c>
      <c r="C103" t="s">
        <v>196</v>
      </c>
      <c r="D103" s="6" t="s">
        <v>192</v>
      </c>
    </row>
    <row r="104" spans="1:4" x14ac:dyDescent="0.55000000000000004">
      <c r="A104" t="s">
        <v>194</v>
      </c>
      <c r="B104">
        <f>T_fault_latch/(R_fault_latch*1000000)/0.000000001</f>
        <v>99.999999999999986</v>
      </c>
      <c r="C104" t="s">
        <v>195</v>
      </c>
      <c r="D104" s="6" t="s">
        <v>193</v>
      </c>
    </row>
  </sheetData>
  <conditionalFormatting sqref="B37">
    <cfRule type="cellIs" dxfId="3" priority="3" operator="greaterThan">
      <formula>$B$23</formula>
    </cfRule>
    <cfRule type="cellIs" dxfId="2" priority="4" operator="lessThan">
      <formula>$B$23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25F0-73E3-4C1C-846F-915A7EB69028}">
  <dimension ref="A1:F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defaultRowHeight="14.4" x14ac:dyDescent="0.55000000000000004"/>
  <cols>
    <col min="1" max="1" width="24.05078125" customWidth="1"/>
    <col min="4" max="4" width="39.26171875" customWidth="1"/>
    <col min="6" max="6" width="8.83984375" customWidth="1"/>
  </cols>
  <sheetData>
    <row r="1" spans="1:6" x14ac:dyDescent="0.55000000000000004">
      <c r="A1" s="2" t="s">
        <v>0</v>
      </c>
      <c r="B1" s="2" t="s">
        <v>1</v>
      </c>
      <c r="C1" s="2" t="s">
        <v>2</v>
      </c>
      <c r="D1" s="5" t="s">
        <v>3</v>
      </c>
    </row>
    <row r="2" spans="1:6" x14ac:dyDescent="0.55000000000000004">
      <c r="A2" t="s">
        <v>75</v>
      </c>
      <c r="B2">
        <f>0.6*5</f>
        <v>3</v>
      </c>
      <c r="C2" t="s">
        <v>5</v>
      </c>
      <c r="D2" t="s">
        <v>76</v>
      </c>
      <c r="F2" t="s">
        <v>74</v>
      </c>
    </row>
    <row r="3" spans="1:6" x14ac:dyDescent="0.55000000000000004">
      <c r="A3" t="s">
        <v>77</v>
      </c>
      <c r="B3">
        <v>2</v>
      </c>
      <c r="C3" t="s">
        <v>5</v>
      </c>
      <c r="D3" t="s">
        <v>78</v>
      </c>
    </row>
    <row r="4" spans="1:6" x14ac:dyDescent="0.55000000000000004">
      <c r="A4" t="s">
        <v>79</v>
      </c>
      <c r="B4">
        <v>10</v>
      </c>
      <c r="C4" t="s">
        <v>16</v>
      </c>
      <c r="D4" t="s">
        <v>80</v>
      </c>
    </row>
    <row r="5" spans="1:6" x14ac:dyDescent="0.55000000000000004">
      <c r="A5" t="s">
        <v>81</v>
      </c>
      <c r="B5">
        <v>5</v>
      </c>
      <c r="C5" t="s">
        <v>5</v>
      </c>
      <c r="D5" t="s">
        <v>82</v>
      </c>
    </row>
    <row r="6" spans="1:6" x14ac:dyDescent="0.55000000000000004">
      <c r="A6" t="s">
        <v>83</v>
      </c>
      <c r="B6" s="1">
        <f>B5/(B2-B3)*B4</f>
        <v>50</v>
      </c>
      <c r="C6" t="s">
        <v>16</v>
      </c>
    </row>
    <row r="7" spans="1:6" x14ac:dyDescent="0.55000000000000004">
      <c r="A7" t="s">
        <v>84</v>
      </c>
      <c r="B7" s="7">
        <f>B2/(1+B4/B6)</f>
        <v>2.5</v>
      </c>
      <c r="C7" t="s">
        <v>5</v>
      </c>
    </row>
    <row r="8" spans="1:6" x14ac:dyDescent="0.55000000000000004">
      <c r="A8" t="s">
        <v>85</v>
      </c>
      <c r="B8" s="1">
        <f>B7*(1+B4/B6)</f>
        <v>3</v>
      </c>
      <c r="C8" t="s">
        <v>5</v>
      </c>
    </row>
    <row r="9" spans="1:6" x14ac:dyDescent="0.55000000000000004">
      <c r="A9" t="s">
        <v>86</v>
      </c>
      <c r="B9" s="1">
        <f>B7*(1+B4/B6)-B5*B4/B6</f>
        <v>2</v>
      </c>
      <c r="C9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7E17-D3F4-4812-80A2-B91D4A4794D4}">
  <dimension ref="A1:F8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RowHeight="14.4" x14ac:dyDescent="0.55000000000000004"/>
  <cols>
    <col min="1" max="1" width="21" customWidth="1"/>
    <col min="2" max="2" width="25.3125" customWidth="1"/>
    <col min="3" max="3" width="18.3125" customWidth="1"/>
    <col min="4" max="4" width="18.41796875" customWidth="1"/>
    <col min="5" max="5" width="8.83984375" style="16"/>
  </cols>
  <sheetData>
    <row r="1" spans="1:6" x14ac:dyDescent="0.55000000000000004">
      <c r="A1" t="s">
        <v>126</v>
      </c>
      <c r="B1" t="s">
        <v>118</v>
      </c>
      <c r="C1" t="s">
        <v>119</v>
      </c>
      <c r="D1" t="s">
        <v>120</v>
      </c>
      <c r="E1" s="16" t="s">
        <v>121</v>
      </c>
      <c r="F1" t="s">
        <v>3</v>
      </c>
    </row>
    <row r="2" spans="1:6" x14ac:dyDescent="0.55000000000000004">
      <c r="A2" s="14" t="s">
        <v>122</v>
      </c>
      <c r="B2" s="14"/>
      <c r="C2">
        <v>-40</v>
      </c>
      <c r="D2">
        <v>70</v>
      </c>
    </row>
    <row r="3" spans="1:6" x14ac:dyDescent="0.55000000000000004">
      <c r="A3" t="s">
        <v>127</v>
      </c>
      <c r="B3" t="s">
        <v>123</v>
      </c>
      <c r="C3">
        <v>-40</v>
      </c>
      <c r="D3">
        <v>85</v>
      </c>
      <c r="E3" s="17" t="s">
        <v>124</v>
      </c>
      <c r="F3" t="s">
        <v>125</v>
      </c>
    </row>
    <row r="4" spans="1:6" x14ac:dyDescent="0.55000000000000004">
      <c r="A4" t="s">
        <v>128</v>
      </c>
      <c r="B4" t="s">
        <v>129</v>
      </c>
      <c r="C4">
        <v>-40</v>
      </c>
      <c r="D4">
        <v>85</v>
      </c>
      <c r="E4" s="17" t="s">
        <v>130</v>
      </c>
    </row>
    <row r="5" spans="1:6" x14ac:dyDescent="0.55000000000000004">
      <c r="A5" t="s">
        <v>131</v>
      </c>
      <c r="B5" t="s">
        <v>132</v>
      </c>
      <c r="C5">
        <v>-40</v>
      </c>
      <c r="D5">
        <v>85</v>
      </c>
      <c r="E5" s="17" t="s">
        <v>130</v>
      </c>
    </row>
    <row r="6" spans="1:6" x14ac:dyDescent="0.55000000000000004">
      <c r="A6" t="s">
        <v>135</v>
      </c>
      <c r="B6" t="s">
        <v>136</v>
      </c>
      <c r="C6">
        <v>-55</v>
      </c>
      <c r="D6">
        <v>175</v>
      </c>
      <c r="E6" s="17" t="s">
        <v>137</v>
      </c>
      <c r="F6" t="s">
        <v>138</v>
      </c>
    </row>
    <row r="7" spans="1:6" x14ac:dyDescent="0.55000000000000004">
      <c r="A7" t="s">
        <v>143</v>
      </c>
      <c r="B7" t="s">
        <v>145</v>
      </c>
      <c r="C7">
        <v>-55</v>
      </c>
      <c r="D7">
        <v>150</v>
      </c>
      <c r="E7" s="17" t="s">
        <v>146</v>
      </c>
      <c r="F7" s="15"/>
    </row>
    <row r="8" spans="1:6" x14ac:dyDescent="0.55000000000000004">
      <c r="A8" t="s">
        <v>142</v>
      </c>
      <c r="B8" t="s">
        <v>141</v>
      </c>
      <c r="C8">
        <v>-55</v>
      </c>
      <c r="D8">
        <v>150</v>
      </c>
      <c r="E8" s="17" t="s">
        <v>144</v>
      </c>
    </row>
  </sheetData>
  <mergeCells count="1">
    <mergeCell ref="A2:B2"/>
  </mergeCells>
  <conditionalFormatting sqref="C3:C1048576">
    <cfRule type="cellIs" dxfId="1" priority="2" operator="greaterThan">
      <formula>$C$2</formula>
    </cfRule>
  </conditionalFormatting>
  <conditionalFormatting sqref="F6 D3:D6 D8:D1048576">
    <cfRule type="cellIs" dxfId="0" priority="1" operator="lessThan">
      <formula>$D$2</formula>
    </cfRule>
  </conditionalFormatting>
  <hyperlinks>
    <hyperlink ref="E4" r:id="rId1" xr:uid="{81F4D5F1-1542-4096-A77C-2FF1D9A6D0F4}"/>
    <hyperlink ref="E5" r:id="rId2" xr:uid="{E68E9C99-54DA-4CA4-A24D-6AF2E144C87F}"/>
    <hyperlink ref="E6" r:id="rId3" xr:uid="{FC46DADA-7C4B-4E81-8C15-ACF9CC1F7CF3}"/>
    <hyperlink ref="E7" r:id="rId4" xr:uid="{76D1A70D-49D4-40A6-8BB1-AAF7DE8ABE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54</vt:i4>
      </vt:variant>
    </vt:vector>
  </HeadingPairs>
  <TitlesOfParts>
    <vt:vector size="57" baseType="lpstr">
      <vt:lpstr>Design Calculations</vt:lpstr>
      <vt:lpstr>Hysteresis Comparator</vt:lpstr>
      <vt:lpstr>Temperature Ratings</vt:lpstr>
      <vt:lpstr>A_csense</vt:lpstr>
      <vt:lpstr>A_vsense</vt:lpstr>
      <vt:lpstr>C_oc_fast</vt:lpstr>
      <vt:lpstr>C_oc_slow</vt:lpstr>
      <vt:lpstr>C_vsense</vt:lpstr>
      <vt:lpstr>CR_oc_fast</vt:lpstr>
      <vt:lpstr>CR_oc_slow</vt:lpstr>
      <vt:lpstr>f_vsense_c</vt:lpstr>
      <vt:lpstr>I_drive_zener</vt:lpstr>
      <vt:lpstr>I_load_max</vt:lpstr>
      <vt:lpstr>I_oc_fast</vt:lpstr>
      <vt:lpstr>I_oc_slow</vt:lpstr>
      <vt:lpstr>I_rin_max</vt:lpstr>
      <vt:lpstr>L_load_max</vt:lpstr>
      <vt:lpstr>N_bits_adc</vt:lpstr>
      <vt:lpstr>P_drive_zener</vt:lpstr>
      <vt:lpstr>R_csense</vt:lpstr>
      <vt:lpstr>R_fault_latch</vt:lpstr>
      <vt:lpstr>R_in</vt:lpstr>
      <vt:lpstr>R_oc_ref_top</vt:lpstr>
      <vt:lpstr>R_oc_slow_f</vt:lpstr>
      <vt:lpstr>R_oc_slow_in</vt:lpstr>
      <vt:lpstr>R_out</vt:lpstr>
      <vt:lpstr>R_uvlo_f</vt:lpstr>
      <vt:lpstr>R_uvlo_in</vt:lpstr>
      <vt:lpstr>R_uvlo_ref_top</vt:lpstr>
      <vt:lpstr>R_vsense_bot</vt:lpstr>
      <vt:lpstr>R_vsense_top</vt:lpstr>
      <vt:lpstr>T_fault_latch</vt:lpstr>
      <vt:lpstr>t_rise_oc_fast</vt:lpstr>
      <vt:lpstr>t_rise_oc_slow</vt:lpstr>
      <vt:lpstr>V_csense_max</vt:lpstr>
      <vt:lpstr>V_drive_be</vt:lpstr>
      <vt:lpstr>V_drive_zener</vt:lpstr>
      <vt:lpstr>V_in_adc</vt:lpstr>
      <vt:lpstr>V_logic_high</vt:lpstr>
      <vt:lpstr>V_max_adc</vt:lpstr>
      <vt:lpstr>V_oc_fast</vt:lpstr>
      <vt:lpstr>V_oc_fast_ref</vt:lpstr>
      <vt:lpstr>V_oc_hysteresis</vt:lpstr>
      <vt:lpstr>V_oc_slow</vt:lpstr>
      <vt:lpstr>V_oc_slow_ref</vt:lpstr>
      <vt:lpstr>V_oc_slow_thl</vt:lpstr>
      <vt:lpstr>V_oc_slow_tlh</vt:lpstr>
      <vt:lpstr>V_oc_top</vt:lpstr>
      <vt:lpstr>V_supply_max</vt:lpstr>
      <vt:lpstr>V_supply_min</vt:lpstr>
      <vt:lpstr>V_uvlo</vt:lpstr>
      <vt:lpstr>V_uvlo_div_thl</vt:lpstr>
      <vt:lpstr>V_uvlo_div_tlh</vt:lpstr>
      <vt:lpstr>V_uvlo_hysteresis</vt:lpstr>
      <vt:lpstr>V_uvlo_oh</vt:lpstr>
      <vt:lpstr>V_uvlo_ref</vt:lpstr>
      <vt:lpstr>V_uvlo_top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McNelly</dc:creator>
  <cp:lastModifiedBy>John McNelly</cp:lastModifiedBy>
  <dcterms:created xsi:type="dcterms:W3CDTF">2023-01-12T08:24:56Z</dcterms:created>
  <dcterms:modified xsi:type="dcterms:W3CDTF">2023-01-16T04:26:47Z</dcterms:modified>
</cp:coreProperties>
</file>