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hamlin\Documents\Finance\MCD 10Ks\"/>
    </mc:Choice>
  </mc:AlternateContent>
  <xr:revisionPtr revIDLastSave="0" documentId="8_{7CE0ADA3-997D-486B-8141-24588D86396C}" xr6:coauthVersionLast="36" xr6:coauthVersionMax="36" xr10:uidLastSave="{00000000-0000-0000-0000-000000000000}"/>
  <bookViews>
    <workbookView xWindow="0" yWindow="0" windowWidth="19200" windowHeight="8070" firstSheet="4" activeTab="10" xr2:uid="{A5C03F7E-3CE2-400F-B991-7627CE3F567B}"/>
    <workbookView xWindow="-110" yWindow="-110" windowWidth="23260" windowHeight="12460" firstSheet="2" activeTab="2" xr2:uid="{9E7925F7-AEBB-4385-8C37-F70D92485403}"/>
  </bookViews>
  <sheets>
    <sheet name="Cover" sheetId="1" r:id="rId1"/>
    <sheet name="Assumptions" sheetId="4" r:id="rId2"/>
    <sheet name="Balance Sheet Historical" sheetId="17" r:id="rId3"/>
    <sheet name="Debt" sheetId="7" r:id="rId4"/>
    <sheet name="Calcs" sheetId="5" r:id="rId5"/>
    <sheet name="Income Statement" sheetId="3" r:id="rId6"/>
    <sheet name="WACC" sheetId="9" r:id="rId7"/>
    <sheet name="Balance Sheet PROJECTED" sheetId="6" r:id="rId8"/>
    <sheet name="Cash Flow Statement" sheetId="18" r:id="rId9"/>
    <sheet name="Operating Leases" sheetId="11" state="hidden" r:id="rId10"/>
    <sheet name="Trading Comps" sheetId="12" r:id="rId11"/>
    <sheet name="Summary" sheetId="15" r:id="rId12"/>
  </sheets>
  <definedNames>
    <definedName name="__FDS_HYPERLINK_TOGGLE_STATE__" hidden="1">"ON"</definedName>
    <definedName name="_AMO_UniqueIdentifier" hidden="1">"'2720638d-ac9a-46cd-bd84-1eedcce947d0'"</definedName>
    <definedName name="a" localSheetId="6">WACC!a</definedName>
    <definedName name="a">[0]!a</definedName>
    <definedName name="AboutCompGraph" localSheetId="6">WACC!AboutCompGraph</definedName>
    <definedName name="AboutCompGraph">[0]!AboutCompGraph</definedName>
    <definedName name="acq_pv">#REF!</definedName>
    <definedName name="Acq15Day">#REF!</definedName>
    <definedName name="Acq30Day">#REF!</definedName>
    <definedName name="Acq60Day">#REF!</definedName>
    <definedName name="Acq90Day">#REF!</definedName>
    <definedName name="AcqDate">#REF!</definedName>
    <definedName name="AcqPrice">#REF!</definedName>
    <definedName name="AcqQ">#REF!</definedName>
    <definedName name="AcqResearch">#REF!</definedName>
    <definedName name="AcqYest">#REF!</definedName>
    <definedName name="Annotate_Area">#REF!</definedName>
    <definedName name="AnnotateClearSet">#REF!</definedName>
    <definedName name="AnnotateNoteClear">#REF!</definedName>
    <definedName name="AnnotateNoteReturn">#REF!</definedName>
    <definedName name="AnnotateNoteSet">#REF!</definedName>
    <definedName name="AnnotateStart">#REF!</definedName>
    <definedName name="avgBlock">#REF!</definedName>
    <definedName name="AvgPrice">#REF!</definedName>
    <definedName name="AxesFormat" localSheetId="6">WACC!AxesFormat</definedName>
    <definedName name="AxesFormat">[0]!AxesFormat</definedName>
    <definedName name="BackFromCompanySelector" localSheetId="6">WACC!BackFromCompanySelector</definedName>
    <definedName name="BackFromCompanySelector">[0]!BackFromCompanySelector</definedName>
    <definedName name="BackFromItemSelect" localSheetId="6">WACC!BackFromItemSelect</definedName>
    <definedName name="BackFromItemSelect">[0]!BackFromItemSelect</definedName>
    <definedName name="BalanceSheet">#REF!</definedName>
    <definedName name="bDown" localSheetId="6">WACC!bDown</definedName>
    <definedName name="bDown">[0]!bDown</definedName>
    <definedName name="BeginDate" localSheetId="6">#REF!</definedName>
    <definedName name="BeginDate">#REF!</definedName>
    <definedName name="BeginDateSet">#REF!</definedName>
    <definedName name="BeginReturn">#REF!</definedName>
    <definedName name="BlackWhiteNote">#REF!</definedName>
    <definedName name="BlackWhiteSet">#REF!</definedName>
    <definedName name="bLeft" localSheetId="6">WACC!bLeft</definedName>
    <definedName name="bLeft">[0]!bLeft</definedName>
    <definedName name="bRight" localSheetId="6">WACC!bRight</definedName>
    <definedName name="bRight">[0]!bRight</definedName>
    <definedName name="bUp" localSheetId="6">WACC!bUp</definedName>
    <definedName name="bUp">[0]!bUp</definedName>
    <definedName name="Cellsdown" localSheetId="6">#REF!</definedName>
    <definedName name="Cellsdown">#REF!</definedName>
    <definedName name="ChangeSize" localSheetId="6">WACC!ChangeSize</definedName>
    <definedName name="ChangeSize">[0]!ChangeSize</definedName>
    <definedName name="ChartOptions" localSheetId="6">WACC!ChartOptions</definedName>
    <definedName name="ChartOptions">[0]!ChartOptions</definedName>
    <definedName name="ChartType" localSheetId="6">#REF!</definedName>
    <definedName name="ChartType">#REF!</definedName>
    <definedName name="ChartTypeChange" localSheetId="6">WACC!ChartTypeChange</definedName>
    <definedName name="ChartTypeChange">[0]!ChartTypeChange</definedName>
    <definedName name="CIQWBGuid" hidden="1">"c5b29fff-7884-43ef-b063-a9aa449dd386"</definedName>
    <definedName name="CIQWBInfo" hidden="1">"{ ""CIQVersion"":""9.45.614.5792"" }"</definedName>
    <definedName name="cleanup" localSheetId="6">#REF!</definedName>
    <definedName name="cleanup">#REF!</definedName>
    <definedName name="ClearCompList" localSheetId="6">WACC!ClearCompList</definedName>
    <definedName name="ClearCompList">[0]!ClearCompList</definedName>
    <definedName name="ClipBoardRange" localSheetId="6">#REF!</definedName>
    <definedName name="ClipBoardRange">#REF!</definedName>
    <definedName name="ColorNoteReturn" localSheetId="6">#REF!</definedName>
    <definedName name="ColorNoteReturn">#REF!</definedName>
    <definedName name="ColorNoteSet">#REF!</definedName>
    <definedName name="Company1">#REF!</definedName>
    <definedName name="Company2">#REF!</definedName>
    <definedName name="CompanyChangeSize" localSheetId="6">WACC!CompanyChangeSize</definedName>
    <definedName name="CompanyChangeSize">[0]!CompanyChangeSize</definedName>
    <definedName name="CompanyLookup" localSheetId="6">WACC!CompanyLookup</definedName>
    <definedName name="CompanyLookup">[0]!CompanyLookup</definedName>
    <definedName name="CompanyName1" localSheetId="6">#REF!</definedName>
    <definedName name="CompanyName1">#REF!</definedName>
    <definedName name="CompgraphHelp" localSheetId="6">WACC!CompgraphHelp</definedName>
    <definedName name="CompgraphHelp">[0]!CompgraphHelp</definedName>
    <definedName name="complookup" localSheetId="6">WACC!complookup</definedName>
    <definedName name="complookup">[0]!complookup</definedName>
    <definedName name="CompositeBuilder" localSheetId="6">WACC!CompositeBuilder</definedName>
    <definedName name="CompositeBuilder">[0]!CompositeBuilder</definedName>
    <definedName name="consideration">#REF!</definedName>
    <definedName name="contrib_graph">#REF!</definedName>
    <definedName name="ContribIS">#REF!</definedName>
    <definedName name="CoSelectorOutputs" localSheetId="6">WACC!CoSelectorOutputs</definedName>
    <definedName name="CoSelectorOutputs">[0]!CoSelectorOutputs</definedName>
    <definedName name="CurrencyCell" localSheetId="6">#REF!</definedName>
    <definedName name="CurrencyCell">#REF!</definedName>
    <definedName name="CurrencySymbol" localSheetId="6">#REF!</definedName>
    <definedName name="CurrencySymbol">#REF!</definedName>
    <definedName name="CurrentStub">#REF!</definedName>
    <definedName name="curRev_Range">#REF!</definedName>
    <definedName name="CursorSet">#REF!</definedName>
    <definedName name="CustomChart" localSheetId="6">WACC!CustomChart</definedName>
    <definedName name="CustomChart">[0]!CustomChart</definedName>
    <definedName name="Data">#REF!</definedName>
    <definedName name="DataAdjust">#REF!</definedName>
    <definedName name="DataOptions">#REF!</definedName>
    <definedName name="DataRange">#REF!</definedName>
    <definedName name="date">#REF!</definedName>
    <definedName name="DateChange">#REF!</definedName>
    <definedName name="DateColumn">#REF!</definedName>
    <definedName name="DateReturn">#REF!</definedName>
    <definedName name="DateSet">#REF!</definedName>
    <definedName name="dDownEnd">#REF!</definedName>
    <definedName name="ddownNames">#REF!</definedName>
    <definedName name="DDownStart">#REF!</definedName>
    <definedName name="dfsalk" localSheetId="6">WACC!dfsalk</definedName>
    <definedName name="dfsalk">[0]!dfsalk</definedName>
    <definedName name="DismissItemDlog" localSheetId="6">WACC!DismissItemDlog</definedName>
    <definedName name="DismissItemDlog">[0]!DismissItemDlog</definedName>
    <definedName name="editgraph" localSheetId="6">WACC!editgraph</definedName>
    <definedName name="editgraph">[0]!editgraph</definedName>
    <definedName name="EditReturn" localSheetId="6">#REF!</definedName>
    <definedName name="EditReturn">#REF!</definedName>
    <definedName name="enable" localSheetId="6">WACC!enable</definedName>
    <definedName name="enable">[0]!enable</definedName>
    <definedName name="endcell" localSheetId="6">#REF!</definedName>
    <definedName name="endcell">#REF!</definedName>
    <definedName name="EndDate" localSheetId="6">#REF!</definedName>
    <definedName name="EndDate">#REF!</definedName>
    <definedName name="EndDateCell">#REF!</definedName>
    <definedName name="EndDateSet">#REF!</definedName>
    <definedName name="EndReturn">#REF!</definedName>
    <definedName name="EntPur_Range">#REF!</definedName>
    <definedName name="EqPur_Range">#REF!</definedName>
    <definedName name="Exch15Day">#REF!</definedName>
    <definedName name="Exch30Day">#REF!</definedName>
    <definedName name="Exch60Day">#REF!</definedName>
    <definedName name="Exch90Day">#REF!</definedName>
    <definedName name="Exchange">#REF!</definedName>
    <definedName name="ExchYest">#REF!</definedName>
    <definedName name="ExitCompanySelector" localSheetId="6">WACC!ExitCompanySelector</definedName>
    <definedName name="ExitCompanySelector">[0]!ExitCompanySelector</definedName>
    <definedName name="ExitFormat" localSheetId="6">WACC!ExitFormat</definedName>
    <definedName name="ExitFormat">[0]!ExitFormat</definedName>
    <definedName name="ExitItemBuilder" localSheetId="6">WACC!ExitItemBuilder</definedName>
    <definedName name="ExitItemBuilder">[0]!ExitItemBuilder</definedName>
    <definedName name="exitMainMenu" localSheetId="6">WACC!exitMainMenu</definedName>
    <definedName name="exitMainMenu">[0]!exitMainMenu</definedName>
    <definedName name="exitmsg" localSheetId="6">WACC!exitmsg</definedName>
    <definedName name="exitmsg">[0]!exitmsg</definedName>
    <definedName name="ExitReturn" localSheetId="6">#REF!</definedName>
    <definedName name="ExitReturn">#REF!</definedName>
    <definedName name="ExportSpot" localSheetId="6">#REF!</definedName>
    <definedName name="ExportSpot">#REF!</definedName>
    <definedName name="fadskj" localSheetId="6">WACC!fadskj</definedName>
    <definedName name="fadskj">[0]!fadskj</definedName>
    <definedName name="FirstDate" localSheetId="6">#REF!</definedName>
    <definedName name="FirstDate">#REF!</definedName>
    <definedName name="firstFoot" localSheetId="6">#REF!</definedName>
    <definedName name="firstFoot">#REF!</definedName>
    <definedName name="foot1">#REF!</definedName>
    <definedName name="Footnote1">#REF!</definedName>
    <definedName name="Footnote2">#REF!</definedName>
    <definedName name="Footnote3">#REF!</definedName>
    <definedName name="FormatMod.FormatMaster" localSheetId="6">WACC!FormatMod.FormatMaster</definedName>
    <definedName name="FormatMod.FormatMaster">[0]!FormatMod.FormatMaster</definedName>
    <definedName name="franc" localSheetId="6">#REF!</definedName>
    <definedName name="franc">#REF!</definedName>
    <definedName name="FreezeCell" localSheetId="6">#REF!</definedName>
    <definedName name="FreezeCell">#REF!</definedName>
    <definedName name="FreqCell" localSheetId="6">#REF!</definedName>
    <definedName name="FreqCell">#REF!</definedName>
    <definedName name="FreqName">#REF!</definedName>
    <definedName name="FreqReturn">#REF!</definedName>
    <definedName name="FreqSet">#REF!</definedName>
    <definedName name="Frequency">#REF!</definedName>
    <definedName name="FwdEPS">#REF!</definedName>
    <definedName name="FwdRev">#REF!</definedName>
    <definedName name="fwdRev_Range">#REF!</definedName>
    <definedName name="FY_Q">#REF!</definedName>
    <definedName name="GraphbuildingMod.ChangeTicker" localSheetId="6">WACC!GraphbuildingMod.ChangeTicker</definedName>
    <definedName name="GraphbuildingMod.ChangeTicker">[0]!GraphbuildingMod.ChangeTicker</definedName>
    <definedName name="GraphbuildingMod.editgraph" localSheetId="6">WACC!GraphbuildingMod.editgraph</definedName>
    <definedName name="GraphbuildingMod.editgraph">[0]!GraphbuildingMod.editgraph</definedName>
    <definedName name="GraphbuildingMod.ExportData" localSheetId="6">WACC!GraphbuildingMod.ExportData</definedName>
    <definedName name="GraphbuildingMod.ExportData">[0]!GraphbuildingMod.ExportData</definedName>
    <definedName name="GraphbuildingMod.LayoutSet" localSheetId="6">WACC!GraphbuildingMod.LayoutSet</definedName>
    <definedName name="GraphbuildingMod.LayoutSet">[0]!GraphbuildingMod.LayoutSet</definedName>
    <definedName name="GraphbuildingMod.PasteGraph" localSheetId="6">WACC!GraphbuildingMod.PasteGraph</definedName>
    <definedName name="GraphbuildingMod.PasteGraph">[0]!GraphbuildingMod.PasteGraph</definedName>
    <definedName name="GraphbuildingMod.PrintPreview" localSheetId="6">WACC!GraphbuildingMod.PrintPreview</definedName>
    <definedName name="GraphbuildingMod.PrintPreview">[0]!GraphbuildingMod.PrintPreview</definedName>
    <definedName name="GraphbuildingMod.ShowData" localSheetId="6">WACC!GraphbuildingMod.ShowData</definedName>
    <definedName name="GraphbuildingMod.ShowData">[0]!GraphbuildingMod.ShowData</definedName>
    <definedName name="GraphbuildingMod.ShowGraph" localSheetId="6">WACC!GraphbuildingMod.ShowGraph</definedName>
    <definedName name="GraphbuildingMod.ShowGraph">[0]!GraphbuildingMod.ShowGraph</definedName>
    <definedName name="GraphCompBuild" localSheetId="6">WACC!GraphCompBuild</definedName>
    <definedName name="GraphCompBuild">[0]!GraphCompBuild</definedName>
    <definedName name="Graphexitmsg" localSheetId="6">WACC!Graphexitmsg</definedName>
    <definedName name="Graphexitmsg">[0]!Graphexitmsg</definedName>
    <definedName name="GraphIntroMod.exitmsg" localSheetId="6">WACC!GraphIntroMod.exitmsg</definedName>
    <definedName name="GraphIntroMod.exitmsg">[0]!GraphIntroMod.exitmsg</definedName>
    <definedName name="GraphIntroMod.Graphexitmsg" localSheetId="6">WACC!GraphIntroMod.Graphexitmsg</definedName>
    <definedName name="GraphIntroMod.Graphexitmsg">[0]!GraphIntroMod.Graphexitmsg</definedName>
    <definedName name="Graphprint" localSheetId="6">#REF!</definedName>
    <definedName name="Graphprint">#REF!</definedName>
    <definedName name="GraphStart" localSheetId="6">#REF!</definedName>
    <definedName name="GraphStart">#REF!</definedName>
    <definedName name="headcount_Range">#REF!</definedName>
    <definedName name="Header_Left">#REF!</definedName>
    <definedName name="HeaderFormat" localSheetId="6">WACC!HeaderFormat</definedName>
    <definedName name="HeaderFormat">[0]!HeaderFormat</definedName>
    <definedName name="HeaderSpot" localSheetId="6">#REF!</definedName>
    <definedName name="HeaderSpot">#REF!</definedName>
    <definedName name="HelpTest" localSheetId="6">WACC!HelpTest</definedName>
    <definedName name="HelpTest">[0]!HelpTest</definedName>
    <definedName name="HighPrice" localSheetId="6">#REF!</definedName>
    <definedName name="HighPrice">#REF!</definedName>
    <definedName name="HistoCell" localSheetId="6">#REF!</definedName>
    <definedName name="HistoCell">#REF!</definedName>
    <definedName name="HistoDecimalSet">#REF!</definedName>
    <definedName name="Home">#REF!</definedName>
    <definedName name="IncrementCustomNote">#REF!</definedName>
    <definedName name="IncrementCustomSet">#REF!</definedName>
    <definedName name="IncrementNote">#REF!</definedName>
    <definedName name="IncrementSet">#REF!</definedName>
    <definedName name="inputsArea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E_BR" hidden="1">"c10"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P_BR" hidden="1">"c34"</definedName>
    <definedName name="IQ_AR_BR" hidden="1">"c41"</definedName>
    <definedName name="IQ_ASSET_BACKED_FDIC" hidden="1">"c6301"</definedName>
    <definedName name="IQ_ASSET_WRITEDOWN_BR" hidden="1">"c50"</definedName>
    <definedName name="IQ_ASSET_WRITEDOWN_CF_BR" hidden="1">"c53"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ROKER_REC_NO_REUT" hidden="1">"c5315"</definedName>
    <definedName name="IQ_AVG_BROKER_REC_REUT" hidden="1">"c3630"</definedName>
    <definedName name="IQ_AVG_PRICE_TARGET" hidden="1">"c82"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CAPEX_BR" hidden="1">"c111"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">110000</definedName>
    <definedName name="IQ_CHANGE_AP_BR" hidden="1">"c135"</definedName>
    <definedName name="IQ_CHANGE_AR_BR" hidden="1">"c142"</definedName>
    <definedName name="IQ_CHANGE_OTHER_NET_OPER_ASSETS_BR" hidden="1">"c3595"</definedName>
    <definedName name="IQ_CHANGE_OTHER_WORK_CAP_BR" hidden="1">"c154"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APIC_BR" hidden="1">"c185"</definedName>
    <definedName name="IQ_COMMON_FDIC" hidden="1">"c6350"</definedName>
    <definedName name="IQ_COMMON_ISSUED_BR" hidden="1">"c199"</definedName>
    <definedName name="IQ_COMMON_REP_BR" hidden="1">"c208"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ST_OF_FUNDING_ASSETS_FDIC" hidden="1">"c6725"</definedName>
    <definedName name="IQ_CQ">5000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ENCY_COIN_DOMESTIC_FDIC" hidden="1">"c6388"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EARNING_ASSETS_FDIC" hidden="1">"c6360"</definedName>
    <definedName name="IQ_EARNING_ASSETS_YIELD_FDIC" hidden="1">"c6724"</definedName>
    <definedName name="IQ_EARNINGS_ANNOUNCE_DATE_REUT" hidden="1">"c5314"</definedName>
    <definedName name="IQ_EARNINGS_COVERAGE_NET_CHARGE_OFFS_FDIC" hidden="1">"c6735"</definedName>
    <definedName name="IQ_EBITDA_EST_REUT" hidden="1">"c3640"</definedName>
    <definedName name="IQ_EBITDA_HIGH_EST_REUT" hidden="1">"c3642"</definedName>
    <definedName name="IQ_EBITDA_LOW_EST_REUT" hidden="1">"c3643"</definedName>
    <definedName name="IQ_EBITDA_MEDIAN_EST_REUT" hidden="1">"c3641"</definedName>
    <definedName name="IQ_EBITDA_NUM_EST_REUT" hidden="1">"c3644"</definedName>
    <definedName name="IQ_EBITDA_STDDEV_EST_REUT" hidden="1">"c3645"</definedName>
    <definedName name="IQ_EBT_BR" hidden="1">"c378"</definedName>
    <definedName name="IQ_EBT_EXCL_BR" hidden="1">"c381"</definedName>
    <definedName name="IQ_EFFICIENCY_RATIO_FDIC" hidden="1">"c6736"</definedName>
    <definedName name="IQ_EPS_EST_REUT" hidden="1">"c5453"</definedName>
    <definedName name="IQ_EPS_HIGH_EST_REUT" hidden="1">"c5454"</definedName>
    <definedName name="IQ_EPS_LOW_EST_REUT" hidden="1">"c5455"</definedName>
    <definedName name="IQ_EPS_MEDIAN_EST_REUT" hidden="1">"c5456"</definedName>
    <definedName name="IQ_EPS_NUM_EST_REUT" hidden="1">"c5451"</definedName>
    <definedName name="IQ_EPS_STDDEV_EST_REUT" hidden="1">"c5452"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_CURRENCY_REUT" hidden="1">"c5437"</definedName>
    <definedName name="IQ_EST_DATE_REUT" hidden="1">"c5438"</definedName>
    <definedName name="IQ_EST_EPS_GROWTH_1YR_REUT" hidden="1">"c3646"</definedName>
    <definedName name="IQ_EST_EPS_GROWTH_5YR_REUT" hidden="1">"c3633"</definedName>
    <definedName name="IQ_EST_EPS_GROWTH_Q_1YR_REUT" hidden="1">"c5410"</definedName>
    <definedName name="IQ_EST_EPS_SURPRISE" hidden="1">"c1635"</definedName>
    <definedName name="IQ_ESTIMATED_ASSESSABLE_DEPOSITS_FDIC" hidden="1">"c6490"</definedName>
    <definedName name="IQ_ESTIMATED_INSURED_DEPOSITS_FDIC" hidden="1">"c6491"</definedName>
    <definedName name="IQ_EXTRA_ACC_ITEMS_BR" hidden="1">"c412"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">100000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YEAR_FIXED_AND_FLOATING_RATE_FDIC" hidden="1">"c6422"</definedName>
    <definedName name="IQ_FIVE_YEAR_MORTGAGE_PASS_THROUGHS_FDIC" hidden="1">"c6414"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Q">500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_CONTRACTS_FDIC" hidden="1">"c6517"</definedName>
    <definedName name="IQ_FX_CONTRACTS_SPOT_FDIC" hidden="1">"c6356"</definedName>
    <definedName name="IQ_FY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W_AMORT_BR" hidden="1">"c532"</definedName>
    <definedName name="IQ_GW_INTAN_AMORT_BR" hidden="1">"c1470"</definedName>
    <definedName name="IQ_GW_INTAN_AMORT_CF_BR" hidden="1">"c1473"</definedName>
    <definedName name="IQ_HELD_MATURITY_FDIC" hidden="1">"c6408"</definedName>
    <definedName name="IQ_HIGH_TARGET_PRICE_REUT" hidden="1">"c5317"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INC_EQUITY_BR" hidden="1">"c550"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SETTLE_BR" hidden="1">"c572"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BR" hidden="1">"c586"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_LOANS_CF_BR" hidden="1">"c630"</definedName>
    <definedName name="IQ_INVEST_SECURITY_CF_BR" hidden="1">"c639"</definedName>
    <definedName name="IQ_INVESTMENT_BANKING_OTHER_FEES_FDIC" hidden="1">"c6666"</definedName>
    <definedName name="IQ_IRA_KEOGH_ACCOUNTS_FDIC" hidden="1">"c6496"</definedName>
    <definedName name="IQ_ISSUED_GUARANTEED_US_FDIC" hidden="1">"c6404"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_BR" hidden="1">"c649"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CF_BR" hidden="1">"c661"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OW_TARGET_PRICE_REUT" hidden="1">"c5318"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MONTH" hidden="1">120000</definedName>
    <definedName name="IQ_MATURITY_ONE_YEAR_LESS_FDIC" hidden="1">"c6425"</definedName>
    <definedName name="IQ_MEDIAN_TARGET_PRICE_REUT" hidden="1">"c5316"</definedName>
    <definedName name="IQ_MERGER_BR" hidden="1">"c715"</definedName>
    <definedName name="IQ_MERGER_RESTRUCTURE_BR" hidden="1">"c721"</definedName>
    <definedName name="IQ_MINORITY_INTEREST_BR" hidden="1">"c729"</definedName>
    <definedName name="IQ_MKTCAP_TOTAL_REV_FWD_REUT" hidden="1">"c4048"</definedName>
    <definedName name="IQ_MONEY_MARKET_DEPOSIT_ACCOUNTS_FDIC" hidden="1">"c6553"</definedName>
    <definedName name="IQ_MONTH">15000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44771.8493865741</definedName>
    <definedName name="IQ_NAV_ACT_OR_EST" hidden="1">"c2225"</definedName>
    <definedName name="IQ_NET_CHARGE_OFFS_FDIC" hidden="1">"c6641"</definedName>
    <definedName name="IQ_NET_CHARGE_OFFS_LOANS_FDIC" hidden="1">"c6751"</definedName>
    <definedName name="IQ_NET_DEBT_ISSUED_BR" hidden="1">"c753"</definedName>
    <definedName name="IQ_NET_INCOME_FDIC" hidden="1">"c6587"</definedName>
    <definedName name="IQ_NET_INT_INC_BNK_FDIC" hidden="1">"c6570"</definedName>
    <definedName name="IQ_NET_INT_INC_BR" hidden="1">"c765"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TM">6000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G_TOTAL_OIL_PRODUCTON" hidden="1">"c2059"</definedName>
    <definedName name="IQ_OPER_INC_BR" hidden="1">"c850"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MORT_BR" hidden="1">"c5566"</definedName>
    <definedName name="IQ_OTHER_ASSETS_BR" hidden="1">"c862"</definedName>
    <definedName name="IQ_OTHER_ASSETS_FDIC" hidden="1">"c6338"</definedName>
    <definedName name="IQ_OTHER_BORROWED_FUNDS_FDIC" hidden="1">"c6345"</definedName>
    <definedName name="IQ_OTHER_CA_SUPPL_BR" hidden="1">"c871"</definedName>
    <definedName name="IQ_OTHER_CL_SUPPL_BR" hidden="1">"c880"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SURANCE_FEES_FDIC" hidden="1">"c6672"</definedName>
    <definedName name="IQ_OTHER_INTAN_BR" hidden="1">"c909"</definedName>
    <definedName name="IQ_OTHER_INTANGIBLE_FDIC" hidden="1">"c6337"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T_ASSETS_BR" hidden="1">"c948"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NON_OPER_EXP_BR" hidden="1">"c957"</definedName>
    <definedName name="IQ_OTHER_NON_OPER_EXP_SUPPL_BR" hidden="1">"c962"</definedName>
    <definedName name="IQ_OTHER_OFF_BS_LIAB_FDIC" hidden="1">"c6533"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_OWNED_FDIC" hidden="1">"c6330"</definedName>
    <definedName name="IQ_OTHER_REV_BR" hidden="1">"c1011"</definedName>
    <definedName name="IQ_OTHER_REV_SUPPL_BR" hidden="1">"c1016"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_BR" hidden="1">"c1561"</definedName>
    <definedName name="IQ_OTHER_UNUSUAL_SUPPL_BR" hidden="1">"c1496"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C_WRITTEN" hidden="1">"c1027"</definedName>
    <definedName name="IQ_PE_EXCL_FWD_REUT" hidden="1">"c4049"</definedName>
    <definedName name="IQ_PEG_FWD_REUT" hidden="1">"c4052"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_ISSUED_BR" hidden="1">"c1047"</definedName>
    <definedName name="IQ_PREF_OTHER_BR" hidden="1">"c1055"</definedName>
    <definedName name="IQ_PREF_REP_BR" hidden="1">"c1062"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CE_TARGET_REUT" hidden="1">"c3631"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IDENTIAL_LOANS" hidden="1">"c1102"</definedName>
    <definedName name="IQ_RESTATEMENTS_NET_FDIC" hidden="1">"c6500"</definedName>
    <definedName name="IQ_RESTRUCTURE_BR" hidden="1">"c1106"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BROK" hidden="1">"c1115"</definedName>
    <definedName name="IQ_RETURN_ASSETS_FDIC" hidden="1">"c6730"</definedName>
    <definedName name="IQ_RETURN_EQUITY_BROK" hidden="1">"c1120"</definedName>
    <definedName name="IQ_RETURN_EQUITY_FDIC" hidden="1">"c6732"</definedName>
    <definedName name="IQ_REV_STDDEV_EST_REUT" hidden="1">"c3639"</definedName>
    <definedName name="IQ_REVALUATION_GAINS_FDIC" hidden="1">"c6428"</definedName>
    <definedName name="IQ_REVALUATION_LOSSES_FDIC" hidden="1">"c6429"</definedName>
    <definedName name="IQ_REVENUE_EST_REUT" hidden="1">"c3634"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ALE_INTAN_CF_BR" hidden="1">"c1133"</definedName>
    <definedName name="IQ_SALE_PPE_CF_BR" hidden="1">"c1139"</definedName>
    <definedName name="IQ_SALE_REAL_ESTATE_CF_BR" hidden="1">"c1145"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"c83"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ARGET_PRICE_NUM_REUT" hidden="1">"c5319"</definedName>
    <definedName name="IQ_TARGET_PRICE_STDDEV_REUT" hidden="1">"c5320"</definedName>
    <definedName name="IQ_TEV_EBITDA_FWD_REUT" hidden="1">"c4050"</definedName>
    <definedName name="IQ_TEV_TOTAL_REV_FWD_REUT" hidden="1">"c4051"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R_BR" hidden="1">"c1231"</definedName>
    <definedName name="IQ_TOTAL_ASSETS_FDIC" hidden="1">"c6339"</definedName>
    <definedName name="IQ_TOTAL_CHARGE_OFFS_FDIC" hidden="1">"c6603"</definedName>
    <definedName name="IQ_TOTAL_DEBT_ISSUED_BR" hidden="1">"c1253"</definedName>
    <definedName name="IQ_TOTAL_DEBT_REPAID_BR" hidden="1">"c1260"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BR" hidden="1">"c1278"</definedName>
    <definedName name="IQ_TOTAL_LIAB_EQUITY_FDIC" hidden="1">"c6354"</definedName>
    <definedName name="IQ_TOTAL_LIABILITIES_FDIC" hidden="1">"c6348"</definedName>
    <definedName name="IQ_TOTAL_OPER_EXP_BR" hidden="1">"c1284"</definedName>
    <definedName name="IQ_TOTAL_PENSION_OBLIGATION" hidden="1">"c1292"</definedName>
    <definedName name="IQ_TOTAL_RECOVERIES_FDIC" hidden="1">"c6622"</definedName>
    <definedName name="IQ_TOTAL_REV_BNK_FDIC" hidden="1">"c6786"</definedName>
    <definedName name="IQ_TOTAL_REV_BR" hidden="1">"c1303"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_BR" hidden="1">"c5517"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OTHER_EQUITY_BR" hidden="1">"c1314"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REV_CURRENT_BR" hidden="1">"c1324"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EEK">50000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">3000</definedName>
    <definedName name="IQ_YTDMONTH" hidden="1">130000</definedName>
    <definedName name="LastDate">#REF!</definedName>
    <definedName name="LastYear">#REF!</definedName>
    <definedName name="LaunchFormulaLookup" localSheetId="6">WACC!LaunchFormulaLookup</definedName>
    <definedName name="LaunchFormulaLookup">[0]!LaunchFormulaLookup</definedName>
    <definedName name="LIMIT_EBIT_EBITDA" localSheetId="6">#REF!</definedName>
    <definedName name="LIMIT_EBIT_EBITDA">#REF!</definedName>
    <definedName name="Limit_Growth">#REF!</definedName>
    <definedName name="LIMIT_PE">#REF!</definedName>
    <definedName name="loc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wPrice" localSheetId="6">#REF!</definedName>
    <definedName name="LowPrice">#REF!</definedName>
    <definedName name="matrix" localSheetId="6">#REF!</definedName>
    <definedName name="matrix">#REF!</definedName>
    <definedName name="MaxCell" localSheetId="6">#REF!</definedName>
    <definedName name="MaxCell">#REF!</definedName>
    <definedName name="MaxRange">#REF!</definedName>
    <definedName name="MinCell">#REF!</definedName>
    <definedName name="MinRange">#REF!</definedName>
    <definedName name="Months">#REF!</definedName>
    <definedName name="Name_Tick">#REF!</definedName>
    <definedName name="NudgeReturn">#REF!</definedName>
    <definedName name="NudgeSet">#REF!</definedName>
    <definedName name="numbers">#REF!</definedName>
    <definedName name="numbersRange">#REF!</definedName>
    <definedName name="numComps">#REF!</definedName>
    <definedName name="oneDay_Range">#REF!</definedName>
    <definedName name="OnShow" localSheetId="6">WACC!OnShow</definedName>
    <definedName name="OnShow">[0]!OnShow</definedName>
    <definedName name="ovEBIT_Range" localSheetId="6">#REF!</definedName>
    <definedName name="ovEBIT_Range">#REF!</definedName>
    <definedName name="ovNI_RANGE" localSheetId="6">#REF!</definedName>
    <definedName name="ovNI_RANGE">#REF!</definedName>
    <definedName name="ovRev_RANGE">#REF!</definedName>
    <definedName name="PasteCell">#REF!</definedName>
    <definedName name="PasteGraph" localSheetId="6">WACC!PasteGraph</definedName>
    <definedName name="PasteGraph">[0]!PasteGraph</definedName>
    <definedName name="PeerNames" localSheetId="6">#REF!</definedName>
    <definedName name="PeerNames">#REF!</definedName>
    <definedName name="PeerTickers" localSheetId="6">#REF!</definedName>
    <definedName name="PeerTickers">#REF!</definedName>
    <definedName name="Pooling">#REF!</definedName>
    <definedName name="PriceMaxCell">#REF!</definedName>
    <definedName name="printFoots">#REF!</definedName>
    <definedName name="PrintGraph">#REF!</definedName>
    <definedName name="PrintPreview" localSheetId="6">WACC!PrintPreview</definedName>
    <definedName name="PrintPreview">[0]!PrintPreview</definedName>
    <definedName name="printRange" localSheetId="6">#REF!</definedName>
    <definedName name="printRange">#REF!</definedName>
    <definedName name="PrintTitle1" localSheetId="6">#REF!</definedName>
    <definedName name="PrintTitle1">#REF!</definedName>
    <definedName name="PriorStub">#REF!</definedName>
    <definedName name="Progress">#REF!</definedName>
    <definedName name="ProjectName">#REF!</definedName>
    <definedName name="purchase">#REF!</definedName>
    <definedName name="QtrDate">#REF!</definedName>
    <definedName name="QtrShares">#REF!</definedName>
    <definedName name="rDataColumns">#REF!</definedName>
    <definedName name="RefreshNote">#REF!</definedName>
    <definedName name="RefreshSet">#REF!</definedName>
    <definedName name="ResetItemView" localSheetId="6">WACC!ResetItemView</definedName>
    <definedName name="ResetItemView">[0]!ResetItemView</definedName>
    <definedName name="revGrowth_Range" localSheetId="6">#REF!</definedName>
    <definedName name="revGrowth_Range">#REF!</definedName>
    <definedName name="rGraphInfo" localSheetId="6">#REF!</definedName>
    <definedName name="rGraphInfo">#REF!</definedName>
    <definedName name="rHistoTitle">#REF!</definedName>
    <definedName name="rIndexTitle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PriceTitle">#REF!</definedName>
    <definedName name="rPVolTitle">#REF!</definedName>
    <definedName name="SaveReturn">#REF!</definedName>
    <definedName name="scratchClear">#REF!</definedName>
    <definedName name="sector">#REF!</definedName>
    <definedName name="SeriesFormat" localSheetId="6">WACC!SeriesFormat</definedName>
    <definedName name="SeriesFormat">[0]!SeriesFormat</definedName>
    <definedName name="Shares">#REF!</definedName>
    <definedName name="ShowData" localSheetId="6">WACC!ShowData</definedName>
    <definedName name="ShowData">[0]!ShowData</definedName>
    <definedName name="ShowDottedLine" localSheetId="6">WACC!ShowDottedLine</definedName>
    <definedName name="ShowDottedLine">[0]!ShowDottedLine</definedName>
    <definedName name="ShowGraph" localSheetId="6">WACC!ShowGraph</definedName>
    <definedName name="ShowGraph">[0]!ShowGraph</definedName>
    <definedName name="sortKey" localSheetId="6">#REF!</definedName>
    <definedName name="sortKey">#REF!</definedName>
    <definedName name="startcell" localSheetId="6">#REF!</definedName>
    <definedName name="startcell">#REF!</definedName>
    <definedName name="StartDateCell">#REF!</definedName>
    <definedName name="StatusSection">#REF!</definedName>
    <definedName name="StepCustom">#REF!</definedName>
    <definedName name="Summary">#REF!</definedName>
    <definedName name="Summary_firstrow">#REF!</definedName>
    <definedName name="SummaryClear">#REF!</definedName>
    <definedName name="SummaryTickClear">#REF!</definedName>
    <definedName name="swiss">#REF!</definedName>
    <definedName name="targ_pv">#REF!</definedName>
    <definedName name="Targ15Day">#REF!</definedName>
    <definedName name="Targ30Day">#REF!</definedName>
    <definedName name="Targ60Day">#REF!</definedName>
    <definedName name="Targ90Day">#REF!</definedName>
    <definedName name="targdate">#REF!</definedName>
    <definedName name="target">#REF!</definedName>
    <definedName name="targPart">#REF!</definedName>
    <definedName name="TargPrice">#REF!</definedName>
    <definedName name="targQ">#REF!</definedName>
    <definedName name="TargResearch">#REF!</definedName>
    <definedName name="targShares">#REF!</definedName>
    <definedName name="TargYest">#REF!</definedName>
    <definedName name="TextFormat" localSheetId="6">WACC!TextFormat</definedName>
    <definedName name="TextFormat">[0]!TextFormat</definedName>
    <definedName name="thirtyDay_Range" localSheetId="6">#REF!</definedName>
    <definedName name="thirtyDay_Range">#REF!</definedName>
    <definedName name="TickerCell" localSheetId="6">#REF!</definedName>
    <definedName name="TickerCell">#REF!</definedName>
    <definedName name="tickers">#REF!</definedName>
    <definedName name="TickerToNameOnEnter" localSheetId="6">WACC!TickerToNameOnEnter</definedName>
    <definedName name="TickerToNameOnEnter">[0]!TickerToNameOnEnter</definedName>
    <definedName name="title" localSheetId="6">#REF!</definedName>
    <definedName name="title">#REF!</definedName>
    <definedName name="Title1" localSheetId="6">#REF!</definedName>
    <definedName name="Title1">#REF!</definedName>
    <definedName name="Title2">#REF!</definedName>
    <definedName name="Title2Spot">#REF!</definedName>
    <definedName name="topScratchTick">#REF!</definedName>
    <definedName name="topSummaryTick">#REF!</definedName>
    <definedName name="topTick">#REF!</definedName>
    <definedName name="topVolume">#REF!</definedName>
    <definedName name="TotalVol">#REF!</definedName>
    <definedName name="tradStats1">#REF!</definedName>
    <definedName name="tradStats2">#REF!</definedName>
    <definedName name="VolumeCell">#REF!</definedName>
    <definedName name="VolumeComplement">#REF!</definedName>
    <definedName name="X" localSheetId="6">WACC!X</definedName>
    <definedName name="X">[0]!X</definedName>
    <definedName name="year1">#REF!</definedName>
    <definedName name="year1a">#REF!</definedName>
    <definedName name="year2">#REF!</definedName>
    <definedName name="year2a">#REF!</definedName>
    <definedName name="Yestdate">#REF!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" i="18" l="1"/>
  <c r="O17" i="3" l="1"/>
  <c r="P17" i="3"/>
  <c r="Q17" i="3"/>
  <c r="R17" i="3"/>
  <c r="N17" i="3"/>
  <c r="T25" i="6"/>
  <c r="W16" i="6"/>
  <c r="U16" i="6"/>
  <c r="N58" i="6"/>
  <c r="O58" i="6" s="1"/>
  <c r="P58" i="6" s="1"/>
  <c r="Q58" i="6" s="1"/>
  <c r="R58" i="6" s="1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F9" i="7"/>
  <c r="G9" i="7"/>
  <c r="H9" i="7"/>
  <c r="I9" i="7"/>
  <c r="C99" i="18"/>
  <c r="T58" i="6" l="1"/>
  <c r="B38" i="9"/>
  <c r="B37" i="9"/>
  <c r="F25" i="12" l="1"/>
  <c r="L25" i="12"/>
  <c r="K43" i="12"/>
  <c r="L43" i="12" s="1"/>
  <c r="K42" i="12"/>
  <c r="L42" i="12" s="1"/>
  <c r="K34" i="12"/>
  <c r="L34" i="12" s="1"/>
  <c r="K33" i="12"/>
  <c r="L33" i="12" s="1"/>
  <c r="K30" i="12"/>
  <c r="L30" i="12" s="1"/>
  <c r="K29" i="12"/>
  <c r="L29" i="12" s="1"/>
  <c r="K26" i="12"/>
  <c r="L26" i="12" s="1"/>
  <c r="Q83" i="12"/>
  <c r="Q79" i="12"/>
  <c r="Q80" i="12" s="1"/>
  <c r="K22" i="12"/>
  <c r="K13" i="12"/>
  <c r="K10" i="12"/>
  <c r="K17" i="12"/>
  <c r="R83" i="12"/>
  <c r="P83" i="12"/>
  <c r="R80" i="12"/>
  <c r="R79" i="12"/>
  <c r="P79" i="12"/>
  <c r="P80" i="12" s="1"/>
  <c r="K7" i="12"/>
  <c r="R27" i="12"/>
  <c r="S27" i="12" s="1"/>
  <c r="S83" i="12"/>
  <c r="S82" i="12"/>
  <c r="S81" i="12"/>
  <c r="S79" i="12"/>
  <c r="S78" i="12"/>
  <c r="S77" i="12"/>
  <c r="S76" i="12"/>
  <c r="S75" i="12"/>
  <c r="K25" i="12" s="1"/>
  <c r="E43" i="12"/>
  <c r="E34" i="12"/>
  <c r="E30" i="12"/>
  <c r="E26" i="12"/>
  <c r="E25" i="12"/>
  <c r="S69" i="12"/>
  <c r="S68" i="12"/>
  <c r="E33" i="12" s="1"/>
  <c r="S66" i="12"/>
  <c r="S65" i="12"/>
  <c r="S64" i="12"/>
  <c r="S63" i="12"/>
  <c r="S62" i="12"/>
  <c r="H25" i="12" s="1"/>
  <c r="Q70" i="12"/>
  <c r="Q67" i="12"/>
  <c r="S67" i="12" s="1"/>
  <c r="E29" i="12" s="1"/>
  <c r="R67" i="12"/>
  <c r="P67" i="12"/>
  <c r="R70" i="12"/>
  <c r="P70" i="12"/>
  <c r="H34" i="12"/>
  <c r="H26" i="12"/>
  <c r="H15" i="12"/>
  <c r="H17" i="12" s="1"/>
  <c r="H22" i="12" s="1"/>
  <c r="S80" i="12" l="1"/>
  <c r="S70" i="12"/>
  <c r="E42" i="12" s="1"/>
  <c r="S48" i="12" l="1"/>
  <c r="E17" i="12"/>
  <c r="S49" i="12"/>
  <c r="S50" i="12"/>
  <c r="S51" i="12"/>
  <c r="S52" i="12"/>
  <c r="S54" i="12"/>
  <c r="S55" i="12"/>
  <c r="P56" i="12"/>
  <c r="Q53" i="12"/>
  <c r="Q56" i="12" s="1"/>
  <c r="R53" i="12"/>
  <c r="P33" i="12"/>
  <c r="S33" i="12" s="1"/>
  <c r="B33" i="12" s="1"/>
  <c r="P34" i="12"/>
  <c r="S34" i="12" s="1"/>
  <c r="S32" i="12"/>
  <c r="B25" i="12" s="1"/>
  <c r="B17" i="12"/>
  <c r="H33" i="12" l="1"/>
  <c r="R56" i="12"/>
  <c r="H30" i="12"/>
  <c r="I30" i="12" s="1"/>
  <c r="S53" i="12"/>
  <c r="S56" i="12"/>
  <c r="H42" i="12" l="1"/>
  <c r="H43" i="12"/>
  <c r="H29" i="12"/>
  <c r="I29" i="12" s="1"/>
  <c r="H86" i="18" l="1"/>
  <c r="H78" i="18"/>
  <c r="H71" i="18"/>
  <c r="J71" i="18" s="1"/>
  <c r="F73" i="18" s="1"/>
  <c r="G73" i="18" s="1"/>
  <c r="H73" i="18" s="1"/>
  <c r="I73" i="18" s="1"/>
  <c r="J73" i="18" s="1"/>
  <c r="M59" i="6"/>
  <c r="L59" i="6"/>
  <c r="D97" i="7"/>
  <c r="C15" i="15"/>
  <c r="B15" i="15"/>
  <c r="C95" i="18"/>
  <c r="G89" i="18" s="1"/>
  <c r="C93" i="18"/>
  <c r="C111" i="18"/>
  <c r="C108" i="18"/>
  <c r="C104" i="18"/>
  <c r="C102" i="18"/>
  <c r="C85" i="18"/>
  <c r="C87" i="18" s="1"/>
  <c r="M20" i="9"/>
  <c r="L20" i="9"/>
  <c r="L22" i="9" l="1"/>
  <c r="C9" i="9"/>
  <c r="C82" i="18" s="1"/>
  <c r="C83" i="18" s="1"/>
  <c r="G25" i="18"/>
  <c r="H25" i="18"/>
  <c r="I25" i="18"/>
  <c r="J25" i="18"/>
  <c r="Q45" i="4" l="1"/>
  <c r="T45" i="4" s="1"/>
  <c r="O45" i="4"/>
  <c r="N45" i="4"/>
  <c r="M45" i="4"/>
  <c r="C45" i="4"/>
  <c r="D45" i="4"/>
  <c r="E45" i="4"/>
  <c r="F45" i="4"/>
  <c r="G45" i="4"/>
  <c r="H45" i="4"/>
  <c r="I45" i="4"/>
  <c r="J45" i="4"/>
  <c r="K45" i="4"/>
  <c r="B45" i="4"/>
  <c r="F25" i="18"/>
  <c r="E46" i="18"/>
  <c r="F44" i="18" s="1"/>
  <c r="G78" i="18"/>
  <c r="F78" i="18" s="1"/>
  <c r="I78" i="18"/>
  <c r="J78" i="18" s="1"/>
  <c r="G86" i="18"/>
  <c r="F86" i="18" s="1"/>
  <c r="I86" i="18"/>
  <c r="J86" i="18" s="1"/>
  <c r="F89" i="18"/>
  <c r="C100" i="18"/>
  <c r="C109" i="18"/>
  <c r="C110" i="18" s="1"/>
  <c r="C112" i="18" s="1"/>
  <c r="O62" i="5"/>
  <c r="P62" i="5"/>
  <c r="Q62" i="5"/>
  <c r="R62" i="5"/>
  <c r="N62" i="5"/>
  <c r="C47" i="4"/>
  <c r="D47" i="4"/>
  <c r="E47" i="4"/>
  <c r="F47" i="4"/>
  <c r="G47" i="4"/>
  <c r="H47" i="4"/>
  <c r="I47" i="4"/>
  <c r="J47" i="4"/>
  <c r="K47" i="4"/>
  <c r="B47" i="4"/>
  <c r="X67" i="4"/>
  <c r="I111" i="7" s="1"/>
  <c r="W67" i="4"/>
  <c r="H111" i="7" s="1"/>
  <c r="V67" i="4"/>
  <c r="G111" i="7" s="1"/>
  <c r="U67" i="4"/>
  <c r="F111" i="7" s="1"/>
  <c r="T67" i="4"/>
  <c r="E111" i="7" s="1"/>
  <c r="C50" i="4"/>
  <c r="D50" i="4"/>
  <c r="E50" i="4"/>
  <c r="F50" i="4"/>
  <c r="G50" i="4"/>
  <c r="H50" i="4"/>
  <c r="I50" i="4"/>
  <c r="J50" i="4"/>
  <c r="K50" i="4"/>
  <c r="C51" i="4"/>
  <c r="D51" i="4"/>
  <c r="E51" i="4"/>
  <c r="F51" i="4"/>
  <c r="G51" i="4"/>
  <c r="H51" i="4"/>
  <c r="I51" i="4"/>
  <c r="J51" i="4"/>
  <c r="K51" i="4"/>
  <c r="C52" i="4"/>
  <c r="D52" i="4"/>
  <c r="E52" i="4"/>
  <c r="F52" i="4"/>
  <c r="G52" i="4"/>
  <c r="H52" i="4"/>
  <c r="I52" i="4"/>
  <c r="J52" i="4"/>
  <c r="K52" i="4"/>
  <c r="B50" i="4"/>
  <c r="B51" i="4"/>
  <c r="B52" i="4"/>
  <c r="M30" i="6"/>
  <c r="L30" i="6"/>
  <c r="K30" i="6"/>
  <c r="J30" i="6"/>
  <c r="I30" i="6"/>
  <c r="I51" i="6" s="1"/>
  <c r="H30" i="6"/>
  <c r="G30" i="6"/>
  <c r="F30" i="6"/>
  <c r="E30" i="6"/>
  <c r="C30" i="6"/>
  <c r="D103" i="7"/>
  <c r="D98" i="7"/>
  <c r="E73" i="7"/>
  <c r="E49" i="7"/>
  <c r="X66" i="4"/>
  <c r="I89" i="7" s="1"/>
  <c r="W66" i="4"/>
  <c r="H89" i="7" s="1"/>
  <c r="V66" i="4"/>
  <c r="G89" i="7" s="1"/>
  <c r="U66" i="4"/>
  <c r="F89" i="7" s="1"/>
  <c r="T66" i="4"/>
  <c r="E89" i="7" s="1"/>
  <c r="X65" i="4"/>
  <c r="I81" i="7" s="1"/>
  <c r="W65" i="4"/>
  <c r="H81" i="7" s="1"/>
  <c r="V65" i="4"/>
  <c r="G81" i="7" s="1"/>
  <c r="U65" i="4"/>
  <c r="F81" i="7" s="1"/>
  <c r="T65" i="4"/>
  <c r="E81" i="7" s="1"/>
  <c r="X64" i="4"/>
  <c r="I73" i="7" s="1"/>
  <c r="W64" i="4"/>
  <c r="H73" i="7" s="1"/>
  <c r="V64" i="4"/>
  <c r="G73" i="7" s="1"/>
  <c r="U64" i="4"/>
  <c r="F73" i="7" s="1"/>
  <c r="T64" i="4"/>
  <c r="X63" i="4"/>
  <c r="I65" i="7" s="1"/>
  <c r="W63" i="4"/>
  <c r="H65" i="7" s="1"/>
  <c r="V63" i="4"/>
  <c r="G65" i="7" s="1"/>
  <c r="U63" i="4"/>
  <c r="F65" i="7" s="1"/>
  <c r="T63" i="4"/>
  <c r="E65" i="7" s="1"/>
  <c r="X62" i="4"/>
  <c r="I57" i="7" s="1"/>
  <c r="W62" i="4"/>
  <c r="H57" i="7" s="1"/>
  <c r="V62" i="4"/>
  <c r="G57" i="7" s="1"/>
  <c r="U62" i="4"/>
  <c r="F57" i="7" s="1"/>
  <c r="T62" i="4"/>
  <c r="E57" i="7" s="1"/>
  <c r="X61" i="4"/>
  <c r="I49" i="7" s="1"/>
  <c r="W61" i="4"/>
  <c r="H49" i="7" s="1"/>
  <c r="V61" i="4"/>
  <c r="G49" i="7" s="1"/>
  <c r="U61" i="4"/>
  <c r="F49" i="7" s="1"/>
  <c r="T61" i="4"/>
  <c r="X60" i="4"/>
  <c r="I41" i="7" s="1"/>
  <c r="W60" i="4"/>
  <c r="H41" i="7" s="1"/>
  <c r="V60" i="4"/>
  <c r="G41" i="7" s="1"/>
  <c r="U60" i="4"/>
  <c r="F41" i="7" s="1"/>
  <c r="T60" i="4"/>
  <c r="E41" i="7" s="1"/>
  <c r="X59" i="4"/>
  <c r="I33" i="7" s="1"/>
  <c r="W59" i="4"/>
  <c r="H33" i="7" s="1"/>
  <c r="V59" i="4"/>
  <c r="G33" i="7" s="1"/>
  <c r="U59" i="4"/>
  <c r="F33" i="7" s="1"/>
  <c r="T59" i="4"/>
  <c r="E33" i="7" s="1"/>
  <c r="X58" i="4"/>
  <c r="I25" i="7" s="1"/>
  <c r="W58" i="4"/>
  <c r="H25" i="7" s="1"/>
  <c r="V58" i="4"/>
  <c r="G25" i="7" s="1"/>
  <c r="U58" i="4"/>
  <c r="F25" i="7" s="1"/>
  <c r="T58" i="4"/>
  <c r="E25" i="7" s="1"/>
  <c r="X57" i="4"/>
  <c r="I17" i="7" s="1"/>
  <c r="W57" i="4"/>
  <c r="H17" i="7" s="1"/>
  <c r="V57" i="4"/>
  <c r="G17" i="7" s="1"/>
  <c r="U57" i="4"/>
  <c r="F17" i="7" s="1"/>
  <c r="T57" i="4"/>
  <c r="E17" i="7" s="1"/>
  <c r="E85" i="7"/>
  <c r="E77" i="7"/>
  <c r="E69" i="7"/>
  <c r="E61" i="7"/>
  <c r="E53" i="7"/>
  <c r="E45" i="7"/>
  <c r="E37" i="7"/>
  <c r="E29" i="7"/>
  <c r="E21" i="7"/>
  <c r="E13" i="7"/>
  <c r="Q56" i="4"/>
  <c r="X56" i="4" s="1"/>
  <c r="M42" i="6"/>
  <c r="E22" i="15" s="1"/>
  <c r="M45" i="6"/>
  <c r="Q68" i="4" s="1"/>
  <c r="L42" i="6"/>
  <c r="D22" i="15" s="1"/>
  <c r="L45" i="6"/>
  <c r="K45" i="6"/>
  <c r="J45" i="6"/>
  <c r="K42" i="6"/>
  <c r="C22" i="15" s="1"/>
  <c r="J42" i="6"/>
  <c r="B22" i="15" s="1"/>
  <c r="W68" i="4" l="1"/>
  <c r="Q45" i="6" s="1"/>
  <c r="U68" i="4"/>
  <c r="O45" i="6" s="1"/>
  <c r="T68" i="4"/>
  <c r="N45" i="6" s="1"/>
  <c r="V68" i="4"/>
  <c r="P45" i="6" s="1"/>
  <c r="X68" i="4"/>
  <c r="R45" i="6" s="1"/>
  <c r="N48" i="6"/>
  <c r="X45" i="4"/>
  <c r="R48" i="6" s="1"/>
  <c r="W45" i="4"/>
  <c r="Q48" i="6" s="1"/>
  <c r="V45" i="4"/>
  <c r="P48" i="6" s="1"/>
  <c r="U45" i="4"/>
  <c r="O48" i="6" s="1"/>
  <c r="E38" i="7"/>
  <c r="G38" i="7"/>
  <c r="F38" i="7"/>
  <c r="H38" i="7"/>
  <c r="I38" i="7"/>
  <c r="E30" i="7"/>
  <c r="E31" i="7" s="1"/>
  <c r="F29" i="7" s="1"/>
  <c r="I30" i="7"/>
  <c r="H30" i="7"/>
  <c r="F30" i="7"/>
  <c r="G30" i="7"/>
  <c r="F46" i="7"/>
  <c r="I46" i="7"/>
  <c r="G46" i="7"/>
  <c r="H46" i="7"/>
  <c r="E86" i="7"/>
  <c r="E87" i="7" s="1"/>
  <c r="G86" i="7"/>
  <c r="H86" i="7"/>
  <c r="I86" i="7"/>
  <c r="F86" i="7"/>
  <c r="E62" i="7"/>
  <c r="E63" i="7" s="1"/>
  <c r="F61" i="7" s="1"/>
  <c r="F62" i="7"/>
  <c r="G62" i="7"/>
  <c r="H62" i="7"/>
  <c r="I62" i="7"/>
  <c r="G14" i="7"/>
  <c r="H14" i="7"/>
  <c r="I14" i="7"/>
  <c r="F14" i="7"/>
  <c r="E78" i="7"/>
  <c r="G78" i="7"/>
  <c r="F78" i="7"/>
  <c r="H78" i="7"/>
  <c r="I78" i="7"/>
  <c r="E22" i="7"/>
  <c r="E23" i="7" s="1"/>
  <c r="F21" i="7" s="1"/>
  <c r="F22" i="7"/>
  <c r="G22" i="7"/>
  <c r="I22" i="7"/>
  <c r="H22" i="7"/>
  <c r="J51" i="6"/>
  <c r="M51" i="6"/>
  <c r="M61" i="6" s="1"/>
  <c r="J90" i="18"/>
  <c r="I90" i="18"/>
  <c r="H90" i="18"/>
  <c r="J88" i="18"/>
  <c r="I88" i="18"/>
  <c r="H88" i="18"/>
  <c r="G88" i="18"/>
  <c r="G90" i="18"/>
  <c r="F88" i="18"/>
  <c r="F90" i="18"/>
  <c r="J87" i="18"/>
  <c r="J91" i="18"/>
  <c r="J89" i="18"/>
  <c r="I87" i="18"/>
  <c r="I91" i="18"/>
  <c r="H89" i="18"/>
  <c r="H87" i="18"/>
  <c r="G91" i="18"/>
  <c r="F87" i="18"/>
  <c r="I89" i="18"/>
  <c r="H91" i="18"/>
  <c r="G87" i="18"/>
  <c r="F91" i="18"/>
  <c r="K51" i="6"/>
  <c r="L51" i="6"/>
  <c r="E47" i="7"/>
  <c r="T56" i="4"/>
  <c r="E9" i="7" s="1"/>
  <c r="U56" i="4"/>
  <c r="V56" i="4"/>
  <c r="W56" i="4"/>
  <c r="E71" i="7"/>
  <c r="F69" i="7" s="1"/>
  <c r="E39" i="7"/>
  <c r="F37" i="7" s="1"/>
  <c r="F39" i="7" s="1"/>
  <c r="E79" i="7"/>
  <c r="F77" i="7" s="1"/>
  <c r="E14" i="7"/>
  <c r="E15" i="7" s="1"/>
  <c r="F13" i="7" s="1"/>
  <c r="E55" i="7"/>
  <c r="F53" i="7" s="1"/>
  <c r="F85" i="7" l="1"/>
  <c r="E97" i="7"/>
  <c r="E98" i="7" s="1"/>
  <c r="F31" i="7"/>
  <c r="F34" i="7"/>
  <c r="F35" i="7" s="1"/>
  <c r="F63" i="7"/>
  <c r="F66" i="7"/>
  <c r="F67" i="7" s="1"/>
  <c r="F71" i="7"/>
  <c r="F74" i="7"/>
  <c r="F75" i="7" s="1"/>
  <c r="F42" i="7"/>
  <c r="F43" i="7" s="1"/>
  <c r="G37" i="7"/>
  <c r="O34" i="6"/>
  <c r="F23" i="7"/>
  <c r="F26" i="7" s="1"/>
  <c r="F27" i="7" s="1"/>
  <c r="F79" i="7"/>
  <c r="F82" i="7" s="1"/>
  <c r="F83" i="7" s="1"/>
  <c r="F55" i="7"/>
  <c r="N35" i="6"/>
  <c r="F45" i="7"/>
  <c r="F87" i="7"/>
  <c r="F90" i="7"/>
  <c r="F91" i="7" s="1"/>
  <c r="F15" i="7"/>
  <c r="F18" i="7"/>
  <c r="F19" i="7" s="1"/>
  <c r="E42" i="7"/>
  <c r="E43" i="7" s="1"/>
  <c r="N34" i="6"/>
  <c r="E26" i="7"/>
  <c r="E27" i="7" s="1"/>
  <c r="N32" i="6"/>
  <c r="E90" i="7"/>
  <c r="E91" i="7" s="1"/>
  <c r="N41" i="6"/>
  <c r="E82" i="7"/>
  <c r="E83" i="7" s="1"/>
  <c r="N40" i="6"/>
  <c r="E74" i="7"/>
  <c r="E75" i="7" s="1"/>
  <c r="N39" i="6"/>
  <c r="E66" i="7"/>
  <c r="E67" i="7" s="1"/>
  <c r="N38" i="6"/>
  <c r="E34" i="7"/>
  <c r="E35" i="7" s="1"/>
  <c r="N33" i="6"/>
  <c r="E58" i="7"/>
  <c r="E59" i="7" s="1"/>
  <c r="N37" i="6"/>
  <c r="E18" i="7"/>
  <c r="E19" i="7" s="1"/>
  <c r="N31" i="6"/>
  <c r="E50" i="7"/>
  <c r="E51" i="7" s="1"/>
  <c r="N42" i="6" l="1"/>
  <c r="F24" i="18"/>
  <c r="G53" i="7"/>
  <c r="O37" i="6"/>
  <c r="G26" i="18" s="1"/>
  <c r="G77" i="7"/>
  <c r="O40" i="6"/>
  <c r="G29" i="18" s="1"/>
  <c r="G21" i="7"/>
  <c r="O32" i="6"/>
  <c r="G21" i="18" s="1"/>
  <c r="G39" i="7"/>
  <c r="G42" i="7" s="1"/>
  <c r="G43" i="7" s="1"/>
  <c r="G61" i="7"/>
  <c r="O38" i="6"/>
  <c r="G27" i="18" s="1"/>
  <c r="G13" i="7"/>
  <c r="O31" i="6"/>
  <c r="G85" i="7"/>
  <c r="O41" i="6"/>
  <c r="G30" i="18" s="1"/>
  <c r="G69" i="7"/>
  <c r="O39" i="6"/>
  <c r="G28" i="18" s="1"/>
  <c r="F47" i="7"/>
  <c r="F50" i="7" s="1"/>
  <c r="F51" i="7" s="1"/>
  <c r="F58" i="7"/>
  <c r="F59" i="7" s="1"/>
  <c r="G29" i="7"/>
  <c r="O33" i="6"/>
  <c r="G22" i="18" s="1"/>
  <c r="F30" i="18"/>
  <c r="F23" i="18"/>
  <c r="G23" i="18"/>
  <c r="F29" i="18"/>
  <c r="F21" i="18"/>
  <c r="F26" i="18"/>
  <c r="F28" i="18"/>
  <c r="F20" i="18"/>
  <c r="F22" i="18"/>
  <c r="F27" i="18"/>
  <c r="E102" i="7"/>
  <c r="F102" i="7" l="1"/>
  <c r="F97" i="7"/>
  <c r="F98" i="7" s="1"/>
  <c r="F22" i="15"/>
  <c r="G20" i="18"/>
  <c r="G63" i="7"/>
  <c r="G87" i="7"/>
  <c r="G23" i="7"/>
  <c r="G26" i="7" s="1"/>
  <c r="G27" i="7" s="1"/>
  <c r="G15" i="7"/>
  <c r="G18" i="7" s="1"/>
  <c r="G19" i="7" s="1"/>
  <c r="F31" i="18"/>
  <c r="G79" i="7"/>
  <c r="G82" i="7" s="1"/>
  <c r="G83" i="7" s="1"/>
  <c r="G31" i="7"/>
  <c r="G45" i="7"/>
  <c r="O35" i="6"/>
  <c r="G24" i="18" s="1"/>
  <c r="G71" i="7"/>
  <c r="G74" i="7" s="1"/>
  <c r="G75" i="7" s="1"/>
  <c r="H37" i="7"/>
  <c r="P34" i="6"/>
  <c r="H23" i="18" s="1"/>
  <c r="G55" i="7"/>
  <c r="G58" i="7" s="1"/>
  <c r="G59" i="7" s="1"/>
  <c r="C18" i="15"/>
  <c r="D18" i="15"/>
  <c r="E18" i="15"/>
  <c r="C19" i="15"/>
  <c r="D19" i="15"/>
  <c r="E19" i="15"/>
  <c r="C20" i="15"/>
  <c r="D20" i="15"/>
  <c r="E20" i="15"/>
  <c r="B20" i="15"/>
  <c r="B19" i="15"/>
  <c r="B18" i="15"/>
  <c r="C12" i="15"/>
  <c r="D12" i="15"/>
  <c r="E12" i="15"/>
  <c r="B12" i="15"/>
  <c r="C13" i="15"/>
  <c r="D13" i="15"/>
  <c r="E13" i="15"/>
  <c r="B13" i="15"/>
  <c r="C53" i="4"/>
  <c r="D53" i="4"/>
  <c r="E53" i="4"/>
  <c r="F53" i="4"/>
  <c r="G53" i="4"/>
  <c r="H53" i="4"/>
  <c r="I53" i="4"/>
  <c r="J53" i="4"/>
  <c r="K53" i="4"/>
  <c r="Q53" i="4" s="1"/>
  <c r="B53" i="4"/>
  <c r="C17" i="15"/>
  <c r="D17" i="15"/>
  <c r="E17" i="15"/>
  <c r="B17" i="15"/>
  <c r="C16" i="15"/>
  <c r="D16" i="15"/>
  <c r="E16" i="15"/>
  <c r="B16" i="15"/>
  <c r="D15" i="15"/>
  <c r="E15" i="15"/>
  <c r="X31" i="4"/>
  <c r="W31" i="4"/>
  <c r="V31" i="4"/>
  <c r="U31" i="4"/>
  <c r="T31" i="4"/>
  <c r="D23" i="15"/>
  <c r="D24" i="15" s="1"/>
  <c r="D46" i="15" s="1"/>
  <c r="E23" i="15"/>
  <c r="E24" i="15" s="1"/>
  <c r="E46" i="15" s="1"/>
  <c r="X40" i="4"/>
  <c r="W40" i="4"/>
  <c r="V40" i="4"/>
  <c r="U40" i="4"/>
  <c r="T40" i="4"/>
  <c r="X39" i="4"/>
  <c r="W39" i="4"/>
  <c r="V39" i="4"/>
  <c r="U39" i="4"/>
  <c r="T39" i="4"/>
  <c r="X38" i="4"/>
  <c r="W38" i="4"/>
  <c r="V38" i="4"/>
  <c r="U38" i="4"/>
  <c r="T38" i="4"/>
  <c r="X37" i="4"/>
  <c r="W37" i="4"/>
  <c r="V37" i="4"/>
  <c r="U37" i="4"/>
  <c r="T37" i="4"/>
  <c r="X36" i="4"/>
  <c r="W36" i="4"/>
  <c r="V36" i="4"/>
  <c r="U36" i="4"/>
  <c r="T36" i="4"/>
  <c r="C30" i="4"/>
  <c r="D30" i="4"/>
  <c r="E30" i="4"/>
  <c r="F30" i="4"/>
  <c r="G30" i="4"/>
  <c r="H30" i="4"/>
  <c r="I30" i="4"/>
  <c r="J30" i="4"/>
  <c r="K30" i="4"/>
  <c r="Q30" i="4" s="1"/>
  <c r="B30" i="4"/>
  <c r="N11" i="6"/>
  <c r="X25" i="4"/>
  <c r="W25" i="4"/>
  <c r="V25" i="4"/>
  <c r="U25" i="4"/>
  <c r="T25" i="4"/>
  <c r="X24" i="4"/>
  <c r="W24" i="4"/>
  <c r="V24" i="4"/>
  <c r="U24" i="4"/>
  <c r="T24" i="4"/>
  <c r="X23" i="4"/>
  <c r="W23" i="4"/>
  <c r="V23" i="4"/>
  <c r="U23" i="4"/>
  <c r="T23" i="4"/>
  <c r="X22" i="4"/>
  <c r="W22" i="4"/>
  <c r="V22" i="4"/>
  <c r="U22" i="4"/>
  <c r="T22" i="4"/>
  <c r="C36" i="5"/>
  <c r="D36" i="5"/>
  <c r="E36" i="5"/>
  <c r="F36" i="5"/>
  <c r="N33" i="3"/>
  <c r="O33" i="3" s="1"/>
  <c r="P33" i="3" s="1"/>
  <c r="Q33" i="3" s="1"/>
  <c r="R33" i="3" s="1"/>
  <c r="N32" i="3"/>
  <c r="O32" i="3" s="1"/>
  <c r="P32" i="3" s="1"/>
  <c r="Q32" i="3" s="1"/>
  <c r="R32" i="3" s="1"/>
  <c r="T46" i="4"/>
  <c r="X33" i="4"/>
  <c r="W33" i="4"/>
  <c r="V33" i="4"/>
  <c r="U33" i="4"/>
  <c r="T33" i="4"/>
  <c r="X29" i="4"/>
  <c r="W29" i="4"/>
  <c r="V29" i="4"/>
  <c r="U29" i="4"/>
  <c r="T29" i="4"/>
  <c r="X28" i="4"/>
  <c r="W28" i="4"/>
  <c r="V28" i="4"/>
  <c r="U28" i="4"/>
  <c r="T28" i="4"/>
  <c r="X19" i="4"/>
  <c r="W19" i="4"/>
  <c r="V19" i="4"/>
  <c r="U19" i="4"/>
  <c r="T19" i="4"/>
  <c r="O53" i="4"/>
  <c r="N53" i="4"/>
  <c r="M53" i="4"/>
  <c r="O52" i="4"/>
  <c r="N52" i="4"/>
  <c r="M52" i="4"/>
  <c r="O51" i="4"/>
  <c r="N51" i="4"/>
  <c r="M51" i="4"/>
  <c r="O50" i="4"/>
  <c r="N50" i="4"/>
  <c r="M50" i="4"/>
  <c r="Q50" i="4"/>
  <c r="Q51" i="4"/>
  <c r="Q52" i="4"/>
  <c r="X52" i="4" s="1"/>
  <c r="R57" i="6" s="1"/>
  <c r="O47" i="4"/>
  <c r="N47" i="4"/>
  <c r="M47" i="4"/>
  <c r="O44" i="4"/>
  <c r="N44" i="4"/>
  <c r="M44" i="4"/>
  <c r="O43" i="4"/>
  <c r="N43" i="4"/>
  <c r="M43" i="4"/>
  <c r="C43" i="4"/>
  <c r="D43" i="4"/>
  <c r="E43" i="4"/>
  <c r="F43" i="4"/>
  <c r="G43" i="4"/>
  <c r="H43" i="4"/>
  <c r="I43" i="4"/>
  <c r="J43" i="4"/>
  <c r="K43" i="4"/>
  <c r="Q43" i="4" s="1"/>
  <c r="C44" i="4"/>
  <c r="D44" i="4"/>
  <c r="E44" i="4"/>
  <c r="F44" i="4"/>
  <c r="G44" i="4"/>
  <c r="H44" i="4"/>
  <c r="I44" i="4"/>
  <c r="J44" i="4"/>
  <c r="K44" i="4"/>
  <c r="Q44" i="4" s="1"/>
  <c r="Q47" i="4"/>
  <c r="B44" i="4"/>
  <c r="B43" i="4"/>
  <c r="O32" i="4"/>
  <c r="N32" i="4"/>
  <c r="M32" i="4"/>
  <c r="O30" i="4"/>
  <c r="N30" i="4"/>
  <c r="M30" i="4"/>
  <c r="C32" i="4"/>
  <c r="D32" i="4"/>
  <c r="E32" i="4"/>
  <c r="F32" i="4"/>
  <c r="G32" i="4"/>
  <c r="H32" i="4"/>
  <c r="I32" i="4"/>
  <c r="J32" i="4"/>
  <c r="K32" i="4"/>
  <c r="Q32" i="4" s="1"/>
  <c r="U32" i="4" s="1"/>
  <c r="O16" i="6" s="1"/>
  <c r="D18" i="17"/>
  <c r="D17" i="6" s="1"/>
  <c r="E18" i="17"/>
  <c r="E17" i="6" s="1"/>
  <c r="F18" i="17"/>
  <c r="F17" i="6" s="1"/>
  <c r="G18" i="17"/>
  <c r="G18" i="5" s="1"/>
  <c r="H18" i="17"/>
  <c r="H17" i="6" s="1"/>
  <c r="I18" i="17"/>
  <c r="I18" i="5" s="1"/>
  <c r="J18" i="17"/>
  <c r="J17" i="6" s="1"/>
  <c r="K18" i="17"/>
  <c r="K17" i="6" s="1"/>
  <c r="L18" i="17"/>
  <c r="L17" i="6" s="1"/>
  <c r="M18" i="17"/>
  <c r="M18" i="5" s="1"/>
  <c r="N15" i="5" s="1"/>
  <c r="C18" i="17"/>
  <c r="G31" i="18" l="1"/>
  <c r="O42" i="6"/>
  <c r="H29" i="7"/>
  <c r="P33" i="6"/>
  <c r="H22" i="18" s="1"/>
  <c r="G34" i="7"/>
  <c r="G35" i="7" s="1"/>
  <c r="H77" i="7"/>
  <c r="P40" i="6"/>
  <c r="H29" i="18" s="1"/>
  <c r="I17" i="6"/>
  <c r="G17" i="6"/>
  <c r="H13" i="7"/>
  <c r="P31" i="6"/>
  <c r="H53" i="7"/>
  <c r="P37" i="6"/>
  <c r="H26" i="18" s="1"/>
  <c r="H21" i="7"/>
  <c r="P32" i="6"/>
  <c r="H21" i="18" s="1"/>
  <c r="X46" i="4"/>
  <c r="W46" i="4"/>
  <c r="U46" i="4"/>
  <c r="V46" i="4" s="1"/>
  <c r="G47" i="7"/>
  <c r="G50" i="7" s="1"/>
  <c r="G51" i="7" s="1"/>
  <c r="L18" i="5"/>
  <c r="H85" i="7"/>
  <c r="P41" i="6"/>
  <c r="H30" i="18" s="1"/>
  <c r="G90" i="7"/>
  <c r="G91" i="7" s="1"/>
  <c r="H39" i="7"/>
  <c r="H61" i="7"/>
  <c r="P38" i="6"/>
  <c r="H27" i="18" s="1"/>
  <c r="G66" i="7"/>
  <c r="G67" i="7" s="1"/>
  <c r="K18" i="5"/>
  <c r="H69" i="7"/>
  <c r="P39" i="6"/>
  <c r="H28" i="18" s="1"/>
  <c r="H18" i="5"/>
  <c r="E18" i="5"/>
  <c r="J18" i="5"/>
  <c r="C17" i="6"/>
  <c r="M17" i="6"/>
  <c r="O11" i="6"/>
  <c r="N54" i="5"/>
  <c r="F18" i="5"/>
  <c r="D18" i="5"/>
  <c r="T44" i="4"/>
  <c r="N47" i="6" s="1"/>
  <c r="U44" i="4"/>
  <c r="O47" i="6" s="1"/>
  <c r="V44" i="4"/>
  <c r="P47" i="6" s="1"/>
  <c r="T32" i="4"/>
  <c r="N16" i="6" s="1"/>
  <c r="V50" i="4"/>
  <c r="P54" i="6" s="1"/>
  <c r="U50" i="4"/>
  <c r="O54" i="6" s="1"/>
  <c r="T50" i="4"/>
  <c r="N54" i="6" s="1"/>
  <c r="F34" i="18" s="1"/>
  <c r="X50" i="4"/>
  <c r="R54" i="6" s="1"/>
  <c r="W50" i="4"/>
  <c r="Q54" i="6" s="1"/>
  <c r="X51" i="4"/>
  <c r="R55" i="6" s="1"/>
  <c r="W51" i="4"/>
  <c r="Q55" i="6" s="1"/>
  <c r="V51" i="4"/>
  <c r="P55" i="6" s="1"/>
  <c r="U51" i="4"/>
  <c r="O55" i="6" s="1"/>
  <c r="T51" i="4"/>
  <c r="N55" i="6" s="1"/>
  <c r="F35" i="18" s="1"/>
  <c r="X47" i="4"/>
  <c r="R50" i="6" s="1"/>
  <c r="W47" i="4"/>
  <c r="Q50" i="6" s="1"/>
  <c r="V47" i="4"/>
  <c r="P50" i="6" s="1"/>
  <c r="U47" i="4"/>
  <c r="O50" i="6" s="1"/>
  <c r="T47" i="4"/>
  <c r="N50" i="6" s="1"/>
  <c r="X43" i="4"/>
  <c r="R46" i="6" s="1"/>
  <c r="W43" i="4"/>
  <c r="Q46" i="6" s="1"/>
  <c r="V43" i="4"/>
  <c r="P46" i="6" s="1"/>
  <c r="U43" i="4"/>
  <c r="O46" i="6" s="1"/>
  <c r="T43" i="4"/>
  <c r="N46" i="6" s="1"/>
  <c r="V32" i="4"/>
  <c r="P16" i="6" s="1"/>
  <c r="X44" i="4"/>
  <c r="R47" i="6" s="1"/>
  <c r="W32" i="4"/>
  <c r="Q16" i="6" s="1"/>
  <c r="X32" i="4"/>
  <c r="R16" i="6" s="1"/>
  <c r="W44" i="4"/>
  <c r="Q47" i="6" s="1"/>
  <c r="T52" i="4"/>
  <c r="N57" i="6" s="1"/>
  <c r="F36" i="18" s="1"/>
  <c r="U52" i="4"/>
  <c r="O57" i="6" s="1"/>
  <c r="G36" i="18" s="1"/>
  <c r="V52" i="4"/>
  <c r="P57" i="6" s="1"/>
  <c r="W52" i="4"/>
  <c r="Q57" i="6" s="1"/>
  <c r="C58" i="15"/>
  <c r="C53" i="15"/>
  <c r="E58" i="15"/>
  <c r="D58" i="15"/>
  <c r="E53" i="15"/>
  <c r="E56" i="15"/>
  <c r="C56" i="15"/>
  <c r="D56" i="15"/>
  <c r="D53" i="15"/>
  <c r="E39" i="15"/>
  <c r="E35" i="15"/>
  <c r="V30" i="4"/>
  <c r="P14" i="6" s="1"/>
  <c r="X30" i="4"/>
  <c r="R14" i="6" s="1"/>
  <c r="W30" i="4"/>
  <c r="Q14" i="6" s="1"/>
  <c r="U30" i="4"/>
  <c r="O14" i="6" s="1"/>
  <c r="T30" i="4"/>
  <c r="N14" i="6" s="1"/>
  <c r="G22" i="15" l="1"/>
  <c r="T42" i="6"/>
  <c r="H36" i="18"/>
  <c r="G97" i="7"/>
  <c r="G98" i="7" s="1"/>
  <c r="G102" i="7"/>
  <c r="H23" i="7"/>
  <c r="H26" i="7"/>
  <c r="H27" i="7" s="1"/>
  <c r="H63" i="7"/>
  <c r="H66" i="7" s="1"/>
  <c r="H67" i="7" s="1"/>
  <c r="H55" i="7"/>
  <c r="H58" i="7" s="1"/>
  <c r="H59" i="7" s="1"/>
  <c r="I37" i="7"/>
  <c r="Q34" i="6"/>
  <c r="I23" i="18" s="1"/>
  <c r="H20" i="18"/>
  <c r="H42" i="7"/>
  <c r="H43" i="7" s="1"/>
  <c r="H15" i="7"/>
  <c r="H18" i="7" s="1"/>
  <c r="H19" i="7" s="1"/>
  <c r="H87" i="7"/>
  <c r="H90" i="7" s="1"/>
  <c r="H91" i="7" s="1"/>
  <c r="J34" i="18"/>
  <c r="H79" i="7"/>
  <c r="H82" i="7" s="1"/>
  <c r="H83" i="7" s="1"/>
  <c r="H45" i="7"/>
  <c r="P35" i="6"/>
  <c r="H24" i="18" s="1"/>
  <c r="H34" i="18"/>
  <c r="H37" i="18"/>
  <c r="H71" i="7"/>
  <c r="H74" i="7" s="1"/>
  <c r="H75" i="7" s="1"/>
  <c r="H31" i="7"/>
  <c r="H34" i="7" s="1"/>
  <c r="H35" i="7" s="1"/>
  <c r="G34" i="18"/>
  <c r="J37" i="18"/>
  <c r="I36" i="18"/>
  <c r="G35" i="18"/>
  <c r="H35" i="18"/>
  <c r="I35" i="18"/>
  <c r="J35" i="18"/>
  <c r="I34" i="18"/>
  <c r="J36" i="18"/>
  <c r="G37" i="18"/>
  <c r="I37" i="18"/>
  <c r="P11" i="6"/>
  <c r="O54" i="5"/>
  <c r="P42" i="6" l="1"/>
  <c r="H22" i="15" s="1"/>
  <c r="H31" i="18"/>
  <c r="I85" i="7"/>
  <c r="Q41" i="6"/>
  <c r="I30" i="18" s="1"/>
  <c r="I13" i="7"/>
  <c r="Q31" i="6"/>
  <c r="I29" i="7"/>
  <c r="I31" i="7" s="1"/>
  <c r="Q33" i="6"/>
  <c r="I22" i="18" s="1"/>
  <c r="I69" i="7"/>
  <c r="I71" i="7" s="1"/>
  <c r="Q39" i="6"/>
  <c r="I28" i="18" s="1"/>
  <c r="I39" i="7"/>
  <c r="R34" i="6" s="1"/>
  <c r="J23" i="18" s="1"/>
  <c r="I42" i="7"/>
  <c r="I43" i="7" s="1"/>
  <c r="I53" i="7"/>
  <c r="I55" i="7" s="1"/>
  <c r="Q37" i="6"/>
  <c r="I26" i="18" s="1"/>
  <c r="I61" i="7"/>
  <c r="Q38" i="6"/>
  <c r="I27" i="18" s="1"/>
  <c r="H47" i="7"/>
  <c r="H97" i="7" s="1"/>
  <c r="H98" i="7" s="1"/>
  <c r="I77" i="7"/>
  <c r="I79" i="7" s="1"/>
  <c r="Q40" i="6"/>
  <c r="I29" i="18" s="1"/>
  <c r="I21" i="7"/>
  <c r="Q32" i="6"/>
  <c r="I21" i="18" s="1"/>
  <c r="Q11" i="6"/>
  <c r="P54" i="5"/>
  <c r="H50" i="7" l="1"/>
  <c r="H51" i="7" s="1"/>
  <c r="H102" i="7" s="1"/>
  <c r="I23" i="7"/>
  <c r="R32" i="6" s="1"/>
  <c r="J21" i="18" s="1"/>
  <c r="I26" i="7"/>
  <c r="I27" i="7" s="1"/>
  <c r="I15" i="7"/>
  <c r="R31" i="6" s="1"/>
  <c r="I82" i="7"/>
  <c r="I83" i="7" s="1"/>
  <c r="R40" i="6"/>
  <c r="J29" i="18" s="1"/>
  <c r="I63" i="7"/>
  <c r="R38" i="6" s="1"/>
  <c r="J27" i="18" s="1"/>
  <c r="I58" i="7"/>
  <c r="I59" i="7" s="1"/>
  <c r="R37" i="6"/>
  <c r="J26" i="18" s="1"/>
  <c r="I74" i="7"/>
  <c r="I75" i="7" s="1"/>
  <c r="R39" i="6"/>
  <c r="J28" i="18" s="1"/>
  <c r="I34" i="7"/>
  <c r="I35" i="7" s="1"/>
  <c r="R33" i="6"/>
  <c r="J22" i="18" s="1"/>
  <c r="I20" i="18"/>
  <c r="I45" i="7"/>
  <c r="Q35" i="6"/>
  <c r="I24" i="18" s="1"/>
  <c r="I87" i="7"/>
  <c r="R11" i="6"/>
  <c r="R54" i="5" s="1"/>
  <c r="Q54" i="5"/>
  <c r="Q42" i="6" l="1"/>
  <c r="I22" i="15" s="1"/>
  <c r="I31" i="18"/>
  <c r="I18" i="7"/>
  <c r="I19" i="7" s="1"/>
  <c r="I90" i="7"/>
  <c r="I91" i="7" s="1"/>
  <c r="I66" i="7"/>
  <c r="I67" i="7" s="1"/>
  <c r="R41" i="6"/>
  <c r="J30" i="18" s="1"/>
  <c r="J20" i="18"/>
  <c r="I47" i="7"/>
  <c r="R35" i="6" s="1"/>
  <c r="J24" i="18" s="1"/>
  <c r="B32" i="4"/>
  <c r="I97" i="7" l="1"/>
  <c r="J31" i="18"/>
  <c r="I50" i="7"/>
  <c r="I51" i="7" s="1"/>
  <c r="I102" i="7" s="1"/>
  <c r="R42" i="6"/>
  <c r="J22" i="15" s="1"/>
  <c r="I98" i="7"/>
  <c r="T6" i="4"/>
  <c r="U6" i="4"/>
  <c r="V6" i="4"/>
  <c r="W6" i="4"/>
  <c r="X6" i="4"/>
  <c r="T7" i="4"/>
  <c r="U7" i="4"/>
  <c r="V7" i="4"/>
  <c r="W7" i="4"/>
  <c r="X7" i="4"/>
  <c r="T8" i="4"/>
  <c r="U8" i="4"/>
  <c r="V8" i="4"/>
  <c r="W8" i="4"/>
  <c r="X8" i="4"/>
  <c r="T9" i="4"/>
  <c r="U9" i="4"/>
  <c r="V9" i="4"/>
  <c r="W9" i="4"/>
  <c r="X9" i="4"/>
  <c r="T10" i="4"/>
  <c r="N21" i="3" s="1"/>
  <c r="U10" i="4"/>
  <c r="O21" i="3" s="1"/>
  <c r="V10" i="4"/>
  <c r="P21" i="3" s="1"/>
  <c r="W10" i="4"/>
  <c r="Q21" i="3" s="1"/>
  <c r="X10" i="4"/>
  <c r="R21" i="3" s="1"/>
  <c r="T11" i="4"/>
  <c r="U11" i="4"/>
  <c r="V11" i="4"/>
  <c r="W11" i="4"/>
  <c r="X11" i="4"/>
  <c r="X5" i="4"/>
  <c r="W5" i="4"/>
  <c r="V5" i="4"/>
  <c r="U5" i="4"/>
  <c r="T5" i="4"/>
  <c r="D56" i="5"/>
  <c r="E56" i="5"/>
  <c r="F56" i="5"/>
  <c r="G56" i="5"/>
  <c r="H56" i="5"/>
  <c r="I56" i="5"/>
  <c r="J56" i="5"/>
  <c r="K56" i="5"/>
  <c r="L56" i="5"/>
  <c r="M56" i="5"/>
  <c r="D57" i="5"/>
  <c r="E57" i="5"/>
  <c r="F57" i="5"/>
  <c r="G57" i="5"/>
  <c r="H57" i="5"/>
  <c r="I57" i="5"/>
  <c r="J57" i="5"/>
  <c r="K57" i="5"/>
  <c r="L57" i="5"/>
  <c r="M57" i="5"/>
  <c r="D58" i="5"/>
  <c r="E58" i="5"/>
  <c r="F58" i="5"/>
  <c r="G58" i="5"/>
  <c r="H58" i="5"/>
  <c r="I58" i="5"/>
  <c r="J58" i="5"/>
  <c r="K58" i="5"/>
  <c r="L58" i="5"/>
  <c r="M58" i="5"/>
  <c r="D59" i="5"/>
  <c r="E59" i="5"/>
  <c r="F59" i="5"/>
  <c r="G59" i="5"/>
  <c r="H59" i="5"/>
  <c r="I59" i="5"/>
  <c r="J59" i="5"/>
  <c r="K59" i="5"/>
  <c r="L59" i="5"/>
  <c r="M59" i="5"/>
  <c r="D61" i="5"/>
  <c r="E61" i="5"/>
  <c r="F61" i="5"/>
  <c r="G61" i="5"/>
  <c r="H61" i="5"/>
  <c r="I61" i="5"/>
  <c r="J61" i="5"/>
  <c r="K61" i="5"/>
  <c r="L61" i="5"/>
  <c r="M61" i="5"/>
  <c r="D62" i="5"/>
  <c r="E62" i="5"/>
  <c r="F62" i="5"/>
  <c r="G62" i="5"/>
  <c r="H62" i="5"/>
  <c r="I62" i="5"/>
  <c r="J62" i="5"/>
  <c r="K62" i="5"/>
  <c r="L62" i="5"/>
  <c r="M62" i="5"/>
  <c r="C62" i="5"/>
  <c r="C61" i="5"/>
  <c r="C57" i="5"/>
  <c r="C58" i="5"/>
  <c r="C59" i="5"/>
  <c r="C56" i="5"/>
  <c r="D51" i="5"/>
  <c r="E51" i="5"/>
  <c r="F51" i="5"/>
  <c r="G51" i="5"/>
  <c r="H51" i="5"/>
  <c r="I51" i="5"/>
  <c r="J51" i="5"/>
  <c r="K51" i="5"/>
  <c r="L51" i="5"/>
  <c r="M51" i="5"/>
  <c r="D52" i="5"/>
  <c r="E52" i="5"/>
  <c r="F52" i="5"/>
  <c r="G52" i="5"/>
  <c r="H52" i="5"/>
  <c r="I52" i="5"/>
  <c r="J52" i="5"/>
  <c r="K52" i="5"/>
  <c r="L52" i="5"/>
  <c r="M52" i="5"/>
  <c r="D53" i="5"/>
  <c r="E53" i="5"/>
  <c r="F53" i="5"/>
  <c r="G53" i="5"/>
  <c r="H53" i="5"/>
  <c r="I53" i="5"/>
  <c r="J53" i="5"/>
  <c r="K53" i="5"/>
  <c r="L53" i="5"/>
  <c r="M53" i="5"/>
  <c r="D54" i="5"/>
  <c r="E54" i="5"/>
  <c r="F54" i="5"/>
  <c r="G54" i="5"/>
  <c r="H54" i="5"/>
  <c r="I54" i="5"/>
  <c r="J54" i="5"/>
  <c r="K54" i="5"/>
  <c r="L54" i="5"/>
  <c r="M54" i="5"/>
  <c r="C52" i="5"/>
  <c r="C53" i="5"/>
  <c r="C54" i="5"/>
  <c r="C51" i="5"/>
  <c r="G15" i="5"/>
  <c r="H15" i="5"/>
  <c r="I15" i="5"/>
  <c r="J15" i="5"/>
  <c r="K15" i="5"/>
  <c r="L15" i="5"/>
  <c r="M15" i="5"/>
  <c r="E17" i="5"/>
  <c r="C33" i="4" s="1"/>
  <c r="F17" i="5"/>
  <c r="D33" i="4" s="1"/>
  <c r="G17" i="5"/>
  <c r="E33" i="4" s="1"/>
  <c r="H17" i="5"/>
  <c r="F33" i="4" s="1"/>
  <c r="I17" i="5"/>
  <c r="J17" i="5"/>
  <c r="K17" i="5"/>
  <c r="L17" i="5"/>
  <c r="M17" i="5"/>
  <c r="D17" i="5"/>
  <c r="B33" i="4" s="1"/>
  <c r="H47" i="5"/>
  <c r="H22" i="5" s="1"/>
  <c r="H23" i="5" s="1"/>
  <c r="H16" i="3" s="1"/>
  <c r="H17" i="3" s="1"/>
  <c r="I47" i="5"/>
  <c r="I22" i="5" s="1"/>
  <c r="I23" i="5" s="1"/>
  <c r="I16" i="3" s="1"/>
  <c r="I17" i="3" s="1"/>
  <c r="J47" i="5"/>
  <c r="J22" i="5" s="1"/>
  <c r="J23" i="5" s="1"/>
  <c r="J16" i="3" s="1"/>
  <c r="J17" i="3" s="1"/>
  <c r="K47" i="5"/>
  <c r="K22" i="5" s="1"/>
  <c r="K23" i="5" s="1"/>
  <c r="K16" i="3" s="1"/>
  <c r="K17" i="3" s="1"/>
  <c r="L47" i="5"/>
  <c r="L22" i="5" s="1"/>
  <c r="L23" i="5" s="1"/>
  <c r="L16" i="3" s="1"/>
  <c r="L17" i="3" s="1"/>
  <c r="M47" i="5"/>
  <c r="M22" i="5" s="1"/>
  <c r="G47" i="5"/>
  <c r="G22" i="5" s="1"/>
  <c r="G23" i="5" s="1"/>
  <c r="G16" i="3" s="1"/>
  <c r="G17" i="3" s="1"/>
  <c r="E9" i="4" s="1"/>
  <c r="D46" i="5"/>
  <c r="E46" i="5"/>
  <c r="F46" i="5"/>
  <c r="G46" i="5"/>
  <c r="H46" i="5"/>
  <c r="I46" i="5"/>
  <c r="J46" i="5"/>
  <c r="K46" i="5"/>
  <c r="L46" i="5"/>
  <c r="M46" i="5"/>
  <c r="C46" i="5"/>
  <c r="D45" i="5"/>
  <c r="D25" i="5" s="1"/>
  <c r="E45" i="5"/>
  <c r="E25" i="5" s="1"/>
  <c r="F45" i="5"/>
  <c r="F25" i="5" s="1"/>
  <c r="G45" i="5"/>
  <c r="H45" i="5"/>
  <c r="I45" i="5"/>
  <c r="J45" i="5"/>
  <c r="K45" i="5"/>
  <c r="L45" i="5"/>
  <c r="M45" i="5"/>
  <c r="C45" i="5"/>
  <c r="C25" i="5" s="1"/>
  <c r="C9" i="3"/>
  <c r="D9" i="3"/>
  <c r="E9" i="3"/>
  <c r="F9" i="3"/>
  <c r="G9" i="3"/>
  <c r="H9" i="3"/>
  <c r="I9" i="3"/>
  <c r="J9" i="3"/>
  <c r="K9" i="3"/>
  <c r="L9" i="3"/>
  <c r="M9" i="3"/>
  <c r="E15" i="5"/>
  <c r="F15" i="5"/>
  <c r="D15" i="5"/>
  <c r="C11" i="5"/>
  <c r="D5" i="5" s="1"/>
  <c r="I11" i="5"/>
  <c r="J5" i="5" s="1"/>
  <c r="J11" i="5"/>
  <c r="K5" i="5" s="1"/>
  <c r="K11" i="5"/>
  <c r="L5" i="5" s="1"/>
  <c r="L11" i="5"/>
  <c r="M5" i="5" s="1"/>
  <c r="M11" i="5"/>
  <c r="N5" i="5" s="1"/>
  <c r="G9" i="5"/>
  <c r="H11" i="5"/>
  <c r="I5" i="5" s="1"/>
  <c r="F11" i="5"/>
  <c r="G5" i="5" s="1"/>
  <c r="G11" i="5"/>
  <c r="H5" i="5" s="1"/>
  <c r="E11" i="5"/>
  <c r="F5" i="5" s="1"/>
  <c r="D11" i="5"/>
  <c r="E5" i="5" s="1"/>
  <c r="C10" i="5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M45" i="17"/>
  <c r="L45" i="17"/>
  <c r="K45" i="17"/>
  <c r="J45" i="17"/>
  <c r="I45" i="17"/>
  <c r="H45" i="17"/>
  <c r="G45" i="17"/>
  <c r="F45" i="17"/>
  <c r="E45" i="17"/>
  <c r="D45" i="17"/>
  <c r="C45" i="17"/>
  <c r="F37" i="17"/>
  <c r="F47" i="17" s="1"/>
  <c r="M30" i="17"/>
  <c r="M37" i="17" s="1"/>
  <c r="L30" i="17"/>
  <c r="L37" i="17" s="1"/>
  <c r="K30" i="17"/>
  <c r="K37" i="17" s="1"/>
  <c r="J30" i="17"/>
  <c r="J37" i="17" s="1"/>
  <c r="J47" i="17" s="1"/>
  <c r="I30" i="17"/>
  <c r="I37" i="17" s="1"/>
  <c r="H30" i="17"/>
  <c r="H37" i="17" s="1"/>
  <c r="H47" i="17" s="1"/>
  <c r="G30" i="17"/>
  <c r="G37" i="17" s="1"/>
  <c r="F30" i="17"/>
  <c r="E30" i="17"/>
  <c r="E37" i="17" s="1"/>
  <c r="D30" i="17"/>
  <c r="D37" i="17" s="1"/>
  <c r="C30" i="17"/>
  <c r="C37" i="17" s="1"/>
  <c r="M11" i="17"/>
  <c r="M19" i="17" s="1"/>
  <c r="L11" i="17"/>
  <c r="L19" i="17" s="1"/>
  <c r="K11" i="17"/>
  <c r="K19" i="17" s="1"/>
  <c r="J11" i="17"/>
  <c r="J19" i="17" s="1"/>
  <c r="I11" i="17"/>
  <c r="I19" i="17" s="1"/>
  <c r="H11" i="17"/>
  <c r="H19" i="17" s="1"/>
  <c r="G11" i="17"/>
  <c r="G19" i="17" s="1"/>
  <c r="F11" i="17"/>
  <c r="F19" i="17" s="1"/>
  <c r="E11" i="17"/>
  <c r="E19" i="17" s="1"/>
  <c r="D11" i="17"/>
  <c r="D19" i="17" s="1"/>
  <c r="C11" i="17"/>
  <c r="E19" i="5" l="1"/>
  <c r="K39" i="4"/>
  <c r="K38" i="4"/>
  <c r="J39" i="4"/>
  <c r="J38" i="4"/>
  <c r="L47" i="17"/>
  <c r="I39" i="4"/>
  <c r="I38" i="4"/>
  <c r="H38" i="4"/>
  <c r="H39" i="4"/>
  <c r="G38" i="4"/>
  <c r="G39" i="4"/>
  <c r="F38" i="4"/>
  <c r="F39" i="4"/>
  <c r="E38" i="4"/>
  <c r="E39" i="4"/>
  <c r="D38" i="4"/>
  <c r="D39" i="4"/>
  <c r="B39" i="4"/>
  <c r="B38" i="4"/>
  <c r="C38" i="4"/>
  <c r="C39" i="4"/>
  <c r="I33" i="4"/>
  <c r="H33" i="4"/>
  <c r="G47" i="17"/>
  <c r="G33" i="4"/>
  <c r="J48" i="17"/>
  <c r="H48" i="17"/>
  <c r="G48" i="17"/>
  <c r="F19" i="5"/>
  <c r="K47" i="17"/>
  <c r="K46" i="4"/>
  <c r="K5" i="4"/>
  <c r="K37" i="4"/>
  <c r="E7" i="15"/>
  <c r="K31" i="4"/>
  <c r="K28" i="4"/>
  <c r="K40" i="4"/>
  <c r="K29" i="4"/>
  <c r="K22" i="4"/>
  <c r="K8" i="4"/>
  <c r="K7" i="4"/>
  <c r="K10" i="4"/>
  <c r="K25" i="4"/>
  <c r="K23" i="4"/>
  <c r="J46" i="4"/>
  <c r="J5" i="4"/>
  <c r="J28" i="4"/>
  <c r="D7" i="15"/>
  <c r="J31" i="4"/>
  <c r="J40" i="4"/>
  <c r="J29" i="4"/>
  <c r="J37" i="4"/>
  <c r="J8" i="4"/>
  <c r="J7" i="4"/>
  <c r="J22" i="4"/>
  <c r="J25" i="4"/>
  <c r="J10" i="4"/>
  <c r="J23" i="4"/>
  <c r="H46" i="4"/>
  <c r="H5" i="4"/>
  <c r="H31" i="4"/>
  <c r="H28" i="4"/>
  <c r="H40" i="4"/>
  <c r="B7" i="15"/>
  <c r="H29" i="4"/>
  <c r="H37" i="4"/>
  <c r="H10" i="4"/>
  <c r="H8" i="4"/>
  <c r="H23" i="4"/>
  <c r="H7" i="4"/>
  <c r="H22" i="4"/>
  <c r="H25" i="4"/>
  <c r="J9" i="4"/>
  <c r="E55" i="5"/>
  <c r="I47" i="17"/>
  <c r="I9" i="4"/>
  <c r="K19" i="5"/>
  <c r="D55" i="5"/>
  <c r="F46" i="4"/>
  <c r="F5" i="4"/>
  <c r="F29" i="4"/>
  <c r="F40" i="4"/>
  <c r="F37" i="4"/>
  <c r="F28" i="4"/>
  <c r="F31" i="4"/>
  <c r="F23" i="4"/>
  <c r="F7" i="4"/>
  <c r="F10" i="4"/>
  <c r="F25" i="4"/>
  <c r="F22" i="4"/>
  <c r="F8" i="4"/>
  <c r="H9" i="4"/>
  <c r="J19" i="5"/>
  <c r="C63" i="5"/>
  <c r="G9" i="4"/>
  <c r="I19" i="5"/>
  <c r="F9" i="4"/>
  <c r="H19" i="5"/>
  <c r="I46" i="4"/>
  <c r="I5" i="4"/>
  <c r="I29" i="4"/>
  <c r="I28" i="4"/>
  <c r="C7" i="15"/>
  <c r="I31" i="4"/>
  <c r="I40" i="4"/>
  <c r="I37" i="4"/>
  <c r="I22" i="4"/>
  <c r="I8" i="4"/>
  <c r="I23" i="4"/>
  <c r="O23" i="4" s="1"/>
  <c r="I7" i="4"/>
  <c r="I10" i="4"/>
  <c r="I25" i="4"/>
  <c r="G46" i="4"/>
  <c r="G5" i="4"/>
  <c r="G31" i="4"/>
  <c r="G28" i="4"/>
  <c r="G40" i="4"/>
  <c r="G29" i="4"/>
  <c r="G37" i="4"/>
  <c r="G10" i="4"/>
  <c r="G23" i="4"/>
  <c r="G7" i="4"/>
  <c r="G8" i="4"/>
  <c r="G22" i="4"/>
  <c r="G25" i="4"/>
  <c r="C46" i="4"/>
  <c r="C5" i="4"/>
  <c r="C40" i="4"/>
  <c r="C37" i="4"/>
  <c r="C29" i="4"/>
  <c r="C31" i="4"/>
  <c r="C28" i="4"/>
  <c r="C10" i="4"/>
  <c r="C22" i="4"/>
  <c r="C25" i="4"/>
  <c r="C8" i="4"/>
  <c r="C23" i="4"/>
  <c r="G19" i="5"/>
  <c r="I48" i="17"/>
  <c r="M47" i="17"/>
  <c r="M48" i="17" s="1"/>
  <c r="D47" i="17"/>
  <c r="D48" i="17" s="1"/>
  <c r="E47" i="17"/>
  <c r="E48" i="17" s="1"/>
  <c r="B10" i="4"/>
  <c r="B46" i="4"/>
  <c r="B5" i="4"/>
  <c r="B40" i="4"/>
  <c r="B37" i="4"/>
  <c r="B31" i="4"/>
  <c r="B23" i="4"/>
  <c r="B22" i="4"/>
  <c r="B25" i="4"/>
  <c r="B29" i="4"/>
  <c r="B28" i="4"/>
  <c r="B8" i="4"/>
  <c r="K33" i="4"/>
  <c r="E46" i="4"/>
  <c r="E5" i="4"/>
  <c r="E31" i="4"/>
  <c r="E28" i="4"/>
  <c r="E40" i="4"/>
  <c r="E37" i="4"/>
  <c r="E29" i="4"/>
  <c r="E10" i="4"/>
  <c r="E25" i="4"/>
  <c r="E7" i="4"/>
  <c r="E22" i="4"/>
  <c r="E8" i="4"/>
  <c r="E23" i="4"/>
  <c r="C47" i="17"/>
  <c r="C48" i="17" s="1"/>
  <c r="D5" i="4"/>
  <c r="D46" i="4"/>
  <c r="D40" i="4"/>
  <c r="D29" i="4"/>
  <c r="D37" i="4"/>
  <c r="D28" i="4"/>
  <c r="D31" i="4"/>
  <c r="D10" i="4"/>
  <c r="D22" i="4"/>
  <c r="D25" i="4"/>
  <c r="D23" i="4"/>
  <c r="D8" i="4"/>
  <c r="C19" i="17"/>
  <c r="J33" i="4"/>
  <c r="N8" i="3"/>
  <c r="O8" i="3" s="1"/>
  <c r="P8" i="3" s="1"/>
  <c r="Q8" i="3" s="1"/>
  <c r="R8" i="3" s="1"/>
  <c r="N7" i="3"/>
  <c r="O7" i="3" s="1"/>
  <c r="P7" i="3" s="1"/>
  <c r="Q7" i="3" s="1"/>
  <c r="R7" i="3" s="1"/>
  <c r="N6" i="3"/>
  <c r="M55" i="5"/>
  <c r="C55" i="5"/>
  <c r="J55" i="5"/>
  <c r="M63" i="5"/>
  <c r="M66" i="5" s="1"/>
  <c r="K55" i="5"/>
  <c r="G55" i="5"/>
  <c r="L55" i="5"/>
  <c r="I63" i="5"/>
  <c r="I55" i="5"/>
  <c r="K63" i="5"/>
  <c r="F63" i="5"/>
  <c r="L63" i="5"/>
  <c r="J63" i="5"/>
  <c r="H63" i="5"/>
  <c r="G63" i="5"/>
  <c r="D27" i="5"/>
  <c r="D30" i="5" s="1"/>
  <c r="D33" i="5" s="1"/>
  <c r="D37" i="5" s="1"/>
  <c r="D38" i="5" s="1"/>
  <c r="D29" i="5"/>
  <c r="D32" i="5" s="1"/>
  <c r="D63" i="5"/>
  <c r="E27" i="5"/>
  <c r="E30" i="5" s="1"/>
  <c r="E33" i="5" s="1"/>
  <c r="E37" i="5" s="1"/>
  <c r="E38" i="5" s="1"/>
  <c r="C27" i="5"/>
  <c r="C30" i="5" s="1"/>
  <c r="C33" i="5" s="1"/>
  <c r="C37" i="5" s="1"/>
  <c r="C38" i="5" s="1"/>
  <c r="F27" i="5"/>
  <c r="F30" i="5" s="1"/>
  <c r="F33" i="5" s="1"/>
  <c r="F37" i="5" s="1"/>
  <c r="F38" i="5" s="1"/>
  <c r="H55" i="5"/>
  <c r="E63" i="5"/>
  <c r="F55" i="5"/>
  <c r="D19" i="5"/>
  <c r="M23" i="5"/>
  <c r="M19" i="5"/>
  <c r="L19" i="5"/>
  <c r="J48" i="5"/>
  <c r="J10" i="3" s="1"/>
  <c r="B8" i="15" s="1"/>
  <c r="M48" i="5"/>
  <c r="M10" i="3" s="1"/>
  <c r="E8" i="15" s="1"/>
  <c r="E55" i="15" s="1"/>
  <c r="K48" i="5"/>
  <c r="K10" i="3" s="1"/>
  <c r="C8" i="15" s="1"/>
  <c r="C55" i="15" s="1"/>
  <c r="I48" i="5"/>
  <c r="I10" i="3" s="1"/>
  <c r="L48" i="5"/>
  <c r="L10" i="3" s="1"/>
  <c r="D8" i="15" s="1"/>
  <c r="D55" i="15" s="1"/>
  <c r="H48" i="5"/>
  <c r="H10" i="3" s="1"/>
  <c r="G48" i="5"/>
  <c r="G10" i="3" s="1"/>
  <c r="F48" i="17"/>
  <c r="K48" i="17"/>
  <c r="L48" i="17"/>
  <c r="F66" i="5" l="1"/>
  <c r="I65" i="5"/>
  <c r="J65" i="5"/>
  <c r="J67" i="5" s="1"/>
  <c r="H65" i="5"/>
  <c r="J66" i="5"/>
  <c r="M65" i="5"/>
  <c r="G66" i="5"/>
  <c r="L66" i="5"/>
  <c r="H66" i="5"/>
  <c r="D65" i="5"/>
  <c r="E65" i="5"/>
  <c r="K65" i="5"/>
  <c r="O10" i="4"/>
  <c r="N33" i="4"/>
  <c r="K66" i="5"/>
  <c r="O46" i="4"/>
  <c r="I66" i="5"/>
  <c r="E66" i="5"/>
  <c r="L65" i="5"/>
  <c r="F65" i="5"/>
  <c r="F67" i="5" s="1"/>
  <c r="G65" i="5"/>
  <c r="N10" i="4"/>
  <c r="N5" i="4"/>
  <c r="O25" i="4"/>
  <c r="M10" i="4"/>
  <c r="M46" i="4"/>
  <c r="M5" i="4"/>
  <c r="O8" i="4"/>
  <c r="N7" i="4"/>
  <c r="N25" i="4"/>
  <c r="O7" i="4"/>
  <c r="N22" i="4"/>
  <c r="D57" i="15"/>
  <c r="D59" i="15"/>
  <c r="O22" i="4"/>
  <c r="E52" i="15"/>
  <c r="E54" i="15" s="1"/>
  <c r="E51" i="15"/>
  <c r="E27" i="15"/>
  <c r="M28" i="4"/>
  <c r="M25" i="4"/>
  <c r="N23" i="4"/>
  <c r="D52" i="15"/>
  <c r="D54" i="15" s="1"/>
  <c r="D27" i="15"/>
  <c r="D51" i="15"/>
  <c r="O37" i="4"/>
  <c r="C57" i="15"/>
  <c r="C59" i="15"/>
  <c r="M29" i="4"/>
  <c r="M23" i="4"/>
  <c r="N37" i="4"/>
  <c r="O40" i="4"/>
  <c r="N46" i="4"/>
  <c r="M31" i="4"/>
  <c r="N29" i="4"/>
  <c r="O31" i="4"/>
  <c r="M37" i="4"/>
  <c r="C52" i="15"/>
  <c r="C54" i="15" s="1"/>
  <c r="C27" i="15"/>
  <c r="C51" i="15"/>
  <c r="O33" i="4"/>
  <c r="M33" i="4"/>
  <c r="N40" i="4"/>
  <c r="O28" i="4"/>
  <c r="E59" i="15"/>
  <c r="E57" i="15"/>
  <c r="M22" i="4"/>
  <c r="M40" i="4"/>
  <c r="N28" i="4"/>
  <c r="O29" i="4"/>
  <c r="D66" i="5"/>
  <c r="N31" i="4"/>
  <c r="O5" i="4"/>
  <c r="O6" i="3"/>
  <c r="N9" i="3"/>
  <c r="F29" i="5"/>
  <c r="F32" i="5" s="1"/>
  <c r="C29" i="5"/>
  <c r="C32" i="5" s="1"/>
  <c r="E29" i="5"/>
  <c r="E32" i="5" s="1"/>
  <c r="E36" i="4"/>
  <c r="E6" i="4"/>
  <c r="E24" i="4"/>
  <c r="G11" i="3"/>
  <c r="I36" i="4"/>
  <c r="I24" i="4"/>
  <c r="I6" i="4"/>
  <c r="K11" i="3"/>
  <c r="C9" i="15" s="1"/>
  <c r="C28" i="15" s="1"/>
  <c r="H36" i="4"/>
  <c r="H24" i="4"/>
  <c r="H6" i="4"/>
  <c r="J11" i="3"/>
  <c r="B9" i="15" s="1"/>
  <c r="J36" i="4"/>
  <c r="J24" i="4"/>
  <c r="J6" i="4"/>
  <c r="L11" i="3"/>
  <c r="D9" i="15" s="1"/>
  <c r="D28" i="15" s="1"/>
  <c r="G36" i="4"/>
  <c r="G6" i="4"/>
  <c r="G24" i="4"/>
  <c r="I11" i="3"/>
  <c r="K36" i="4"/>
  <c r="K24" i="4"/>
  <c r="K6" i="4"/>
  <c r="M11" i="3"/>
  <c r="E9" i="15" s="1"/>
  <c r="E28" i="15" s="1"/>
  <c r="N15" i="3"/>
  <c r="M16" i="3"/>
  <c r="M17" i="3" s="1"/>
  <c r="K9" i="4" s="1"/>
  <c r="F36" i="4"/>
  <c r="F6" i="4"/>
  <c r="F24" i="4"/>
  <c r="H11" i="3"/>
  <c r="M8" i="4"/>
  <c r="N8" i="4"/>
  <c r="C47" i="5"/>
  <c r="C22" i="5" s="1"/>
  <c r="C23" i="5" s="1"/>
  <c r="C16" i="3" s="1"/>
  <c r="C15" i="3"/>
  <c r="F47" i="5"/>
  <c r="F22" i="5" s="1"/>
  <c r="F23" i="5" s="1"/>
  <c r="F16" i="3" s="1"/>
  <c r="F15" i="3"/>
  <c r="E47" i="5"/>
  <c r="E48" i="5" s="1"/>
  <c r="E10" i="3" s="1"/>
  <c r="E15" i="3"/>
  <c r="C13" i="3"/>
  <c r="D47" i="5"/>
  <c r="D22" i="5" s="1"/>
  <c r="D23" i="5" s="1"/>
  <c r="D16" i="3" s="1"/>
  <c r="D15" i="3"/>
  <c r="E67" i="5" l="1"/>
  <c r="L67" i="5"/>
  <c r="D67" i="5"/>
  <c r="F17" i="3"/>
  <c r="D9" i="4" s="1"/>
  <c r="N23" i="6"/>
  <c r="N16" i="5"/>
  <c r="N6" i="6"/>
  <c r="D17" i="3"/>
  <c r="B9" i="4" s="1"/>
  <c r="K67" i="5"/>
  <c r="M67" i="5"/>
  <c r="D60" i="15"/>
  <c r="N21" i="5"/>
  <c r="E60" i="15"/>
  <c r="C60" i="15"/>
  <c r="H67" i="5"/>
  <c r="O36" i="4"/>
  <c r="P6" i="3"/>
  <c r="O9" i="3"/>
  <c r="F7" i="15"/>
  <c r="N15" i="6"/>
  <c r="N49" i="6"/>
  <c r="N24" i="6"/>
  <c r="N22" i="6"/>
  <c r="N13" i="6"/>
  <c r="N8" i="6"/>
  <c r="N26" i="6"/>
  <c r="N10" i="6"/>
  <c r="F13" i="18"/>
  <c r="N12" i="3"/>
  <c r="N13" i="3"/>
  <c r="F53" i="18" s="1"/>
  <c r="N10" i="3"/>
  <c r="O24" i="4"/>
  <c r="N38" i="4"/>
  <c r="N36" i="4"/>
  <c r="O38" i="4"/>
  <c r="I67" i="5"/>
  <c r="G67" i="5"/>
  <c r="C17" i="3"/>
  <c r="O15" i="3"/>
  <c r="O9" i="4"/>
  <c r="N9" i="4"/>
  <c r="I13" i="4"/>
  <c r="K14" i="3"/>
  <c r="C10" i="15" s="1"/>
  <c r="C48" i="15" s="1"/>
  <c r="E13" i="4"/>
  <c r="G14" i="3"/>
  <c r="E14" i="4" s="1"/>
  <c r="J13" i="4"/>
  <c r="L14" i="3"/>
  <c r="D10" i="15" s="1"/>
  <c r="K13" i="4"/>
  <c r="M14" i="3"/>
  <c r="F13" i="4"/>
  <c r="H14" i="3"/>
  <c r="C48" i="5"/>
  <c r="C36" i="4"/>
  <c r="C6" i="4"/>
  <c r="C24" i="4"/>
  <c r="E11" i="3"/>
  <c r="H13" i="4"/>
  <c r="J14" i="3"/>
  <c r="B10" i="15" s="1"/>
  <c r="G13" i="4"/>
  <c r="I14" i="3"/>
  <c r="F48" i="5"/>
  <c r="F10" i="3" s="1"/>
  <c r="N16" i="3"/>
  <c r="F8" i="18" s="1"/>
  <c r="F58" i="18" s="1"/>
  <c r="N24" i="4"/>
  <c r="O6" i="4"/>
  <c r="N6" i="4"/>
  <c r="D48" i="5"/>
  <c r="D10" i="3" s="1"/>
  <c r="B24" i="4" s="1"/>
  <c r="E22" i="5"/>
  <c r="E23" i="5" s="1"/>
  <c r="E16" i="3" s="1"/>
  <c r="E17" i="3" s="1"/>
  <c r="F13" i="3"/>
  <c r="D7" i="4" s="1"/>
  <c r="E13" i="3"/>
  <c r="C7" i="4" s="1"/>
  <c r="D13" i="3"/>
  <c r="B7" i="4" s="1"/>
  <c r="E10" i="15" l="1"/>
  <c r="P39" i="12"/>
  <c r="E48" i="15"/>
  <c r="E47" i="15"/>
  <c r="D48" i="15"/>
  <c r="D47" i="15"/>
  <c r="N61" i="5"/>
  <c r="T61" i="5" s="1"/>
  <c r="F14" i="18"/>
  <c r="F61" i="18" s="1"/>
  <c r="N57" i="5"/>
  <c r="T57" i="5" s="1"/>
  <c r="N53" i="5"/>
  <c r="T53" i="5" s="1"/>
  <c r="F15" i="18"/>
  <c r="F62" i="18" s="1"/>
  <c r="N58" i="5"/>
  <c r="T58" i="5" s="1"/>
  <c r="N59" i="5"/>
  <c r="T59" i="5" s="1"/>
  <c r="E107" i="7"/>
  <c r="O49" i="6"/>
  <c r="F16" i="18"/>
  <c r="F63" i="18" s="1"/>
  <c r="F48" i="18"/>
  <c r="E29" i="15"/>
  <c r="N48" i="5"/>
  <c r="N9" i="6"/>
  <c r="F60" i="18"/>
  <c r="F18" i="15"/>
  <c r="F53" i="15" s="1"/>
  <c r="N51" i="5"/>
  <c r="T51" i="5" s="1"/>
  <c r="D29" i="15"/>
  <c r="C47" i="15"/>
  <c r="C29" i="15"/>
  <c r="N17" i="5"/>
  <c r="O21" i="5"/>
  <c r="N21" i="6"/>
  <c r="F8" i="15"/>
  <c r="F55" i="15" s="1"/>
  <c r="O8" i="6"/>
  <c r="T8" i="6" s="1"/>
  <c r="O13" i="6"/>
  <c r="T13" i="6" s="1"/>
  <c r="G7" i="15"/>
  <c r="O16" i="5"/>
  <c r="G13" i="18" s="1"/>
  <c r="O6" i="6"/>
  <c r="O26" i="6"/>
  <c r="O24" i="6"/>
  <c r="O10" i="6"/>
  <c r="O23" i="6"/>
  <c r="O22" i="6"/>
  <c r="O15" i="6"/>
  <c r="T15" i="6" s="1"/>
  <c r="O12" i="3"/>
  <c r="O10" i="3"/>
  <c r="O13" i="3"/>
  <c r="G53" i="18" s="1"/>
  <c r="N11" i="3"/>
  <c r="Q6" i="3"/>
  <c r="P9" i="3"/>
  <c r="F16" i="15"/>
  <c r="F51" i="15" s="1"/>
  <c r="F52" i="15"/>
  <c r="F27" i="15"/>
  <c r="C10" i="3"/>
  <c r="C11" i="3" s="1"/>
  <c r="C14" i="3" s="1"/>
  <c r="C18" i="3" s="1"/>
  <c r="D36" i="4"/>
  <c r="D6" i="4"/>
  <c r="D24" i="4"/>
  <c r="M24" i="4" s="1"/>
  <c r="F11" i="3"/>
  <c r="G14" i="4"/>
  <c r="I18" i="3"/>
  <c r="F14" i="4"/>
  <c r="H18" i="3"/>
  <c r="N39" i="4"/>
  <c r="H14" i="4"/>
  <c r="J18" i="3"/>
  <c r="B11" i="15" s="1"/>
  <c r="C9" i="4"/>
  <c r="M9" i="4" s="1"/>
  <c r="O39" i="4"/>
  <c r="K14" i="4"/>
  <c r="M18" i="3"/>
  <c r="E11" i="15" s="1"/>
  <c r="J14" i="4"/>
  <c r="L18" i="3"/>
  <c r="D11" i="15" s="1"/>
  <c r="O16" i="3"/>
  <c r="I14" i="4"/>
  <c r="K18" i="3"/>
  <c r="C11" i="15" s="1"/>
  <c r="B36" i="4"/>
  <c r="B6" i="4"/>
  <c r="D11" i="3"/>
  <c r="C13" i="4"/>
  <c r="E14" i="3"/>
  <c r="C14" i="4" s="1"/>
  <c r="P15" i="3"/>
  <c r="G18" i="3"/>
  <c r="M7" i="4"/>
  <c r="O53" i="5" l="1"/>
  <c r="T10" i="6"/>
  <c r="O58" i="5"/>
  <c r="T23" i="6"/>
  <c r="O57" i="5"/>
  <c r="T22" i="6"/>
  <c r="O59" i="5"/>
  <c r="T24" i="6"/>
  <c r="G16" i="18"/>
  <c r="G63" i="18" s="1"/>
  <c r="T49" i="6"/>
  <c r="T63" i="6" s="1"/>
  <c r="O61" i="5"/>
  <c r="T26" i="6"/>
  <c r="S39" i="12"/>
  <c r="B42" i="12" s="1"/>
  <c r="B29" i="12"/>
  <c r="N18" i="5"/>
  <c r="U17" i="6"/>
  <c r="G8" i="18"/>
  <c r="G58" i="18" s="1"/>
  <c r="F17" i="18"/>
  <c r="G14" i="18"/>
  <c r="G61" i="18" s="1"/>
  <c r="G15" i="18"/>
  <c r="G62" i="18" s="1"/>
  <c r="F107" i="7"/>
  <c r="G48" i="18"/>
  <c r="P49" i="6"/>
  <c r="H16" i="18" s="1"/>
  <c r="H63" i="18" s="1"/>
  <c r="G60" i="18"/>
  <c r="G18" i="15"/>
  <c r="G53" i="15" s="1"/>
  <c r="O51" i="5"/>
  <c r="C38" i="15"/>
  <c r="C30" i="15"/>
  <c r="O48" i="5"/>
  <c r="O9" i="6"/>
  <c r="T9" i="6" s="1"/>
  <c r="F20" i="15"/>
  <c r="F58" i="15" s="1"/>
  <c r="F59" i="15" s="1"/>
  <c r="N56" i="5"/>
  <c r="N52" i="5"/>
  <c r="F19" i="15"/>
  <c r="F56" i="15" s="1"/>
  <c r="F57" i="15" s="1"/>
  <c r="P21" i="5"/>
  <c r="O17" i="5"/>
  <c r="E38" i="15"/>
  <c r="E40" i="15" s="1"/>
  <c r="E30" i="15"/>
  <c r="D38" i="15"/>
  <c r="D30" i="15"/>
  <c r="F54" i="15"/>
  <c r="G8" i="15"/>
  <c r="G55" i="15" s="1"/>
  <c r="O21" i="6"/>
  <c r="T21" i="6" s="1"/>
  <c r="O11" i="3"/>
  <c r="N17" i="6"/>
  <c r="O15" i="5"/>
  <c r="P6" i="6"/>
  <c r="P24" i="6"/>
  <c r="P59" i="5" s="1"/>
  <c r="P22" i="6"/>
  <c r="P57" i="5" s="1"/>
  <c r="P16" i="5"/>
  <c r="H13" i="18" s="1"/>
  <c r="P23" i="6"/>
  <c r="P58" i="5" s="1"/>
  <c r="P26" i="6"/>
  <c r="P61" i="5" s="1"/>
  <c r="P10" i="6"/>
  <c r="P53" i="5" s="1"/>
  <c r="P13" i="6"/>
  <c r="P15" i="6"/>
  <c r="P8" i="6"/>
  <c r="H7" i="15"/>
  <c r="P10" i="3"/>
  <c r="P13" i="3"/>
  <c r="H53" i="18" s="1"/>
  <c r="P12" i="3"/>
  <c r="F9" i="15"/>
  <c r="F28" i="15" s="1"/>
  <c r="N14" i="3"/>
  <c r="N18" i="3" s="1"/>
  <c r="F52" i="18" s="1"/>
  <c r="G16" i="15"/>
  <c r="G51" i="15" s="1"/>
  <c r="G27" i="15"/>
  <c r="G52" i="15"/>
  <c r="R6" i="3"/>
  <c r="R9" i="3" s="1"/>
  <c r="Q9" i="3"/>
  <c r="M6" i="4"/>
  <c r="M38" i="4"/>
  <c r="M36" i="4"/>
  <c r="P16" i="3"/>
  <c r="R15" i="3"/>
  <c r="Q15" i="3"/>
  <c r="F15" i="4"/>
  <c r="F11" i="4"/>
  <c r="D13" i="4"/>
  <c r="F14" i="3"/>
  <c r="E18" i="3"/>
  <c r="E22" i="3" s="1"/>
  <c r="E24" i="3" s="1"/>
  <c r="C16" i="4" s="1"/>
  <c r="G15" i="4"/>
  <c r="G11" i="4"/>
  <c r="B13" i="4"/>
  <c r="D14" i="3"/>
  <c r="E15" i="4"/>
  <c r="E11" i="4"/>
  <c r="J11" i="4"/>
  <c r="J15" i="4"/>
  <c r="K15" i="4"/>
  <c r="K11" i="4"/>
  <c r="H11" i="4"/>
  <c r="H15" i="4"/>
  <c r="I11" i="4"/>
  <c r="I15" i="4"/>
  <c r="H51" i="6"/>
  <c r="G51" i="6"/>
  <c r="F51" i="6"/>
  <c r="E51" i="6"/>
  <c r="C51" i="6"/>
  <c r="M12" i="6"/>
  <c r="M18" i="6" s="1"/>
  <c r="E21" i="15" s="1"/>
  <c r="L12" i="6"/>
  <c r="K12" i="6"/>
  <c r="K18" i="6" s="1"/>
  <c r="C21" i="15" s="1"/>
  <c r="J12" i="6"/>
  <c r="J18" i="6" s="1"/>
  <c r="B21" i="15" s="1"/>
  <c r="I12" i="6"/>
  <c r="I18" i="6" s="1"/>
  <c r="H12" i="6"/>
  <c r="H18" i="6" s="1"/>
  <c r="G12" i="6"/>
  <c r="G18" i="6" s="1"/>
  <c r="F12" i="6"/>
  <c r="F18" i="6" s="1"/>
  <c r="E12" i="6"/>
  <c r="E18" i="6" s="1"/>
  <c r="D12" i="6"/>
  <c r="D18" i="6" s="1"/>
  <c r="D30" i="6"/>
  <c r="D51" i="6" s="1"/>
  <c r="K59" i="6"/>
  <c r="C23" i="15" s="1"/>
  <c r="J59" i="6"/>
  <c r="B23" i="15" s="1"/>
  <c r="I59" i="6"/>
  <c r="H59" i="6"/>
  <c r="G59" i="6"/>
  <c r="F59" i="6"/>
  <c r="E59" i="6"/>
  <c r="D59" i="6"/>
  <c r="C59" i="6"/>
  <c r="C12" i="6"/>
  <c r="C18" i="6" s="1"/>
  <c r="H22" i="3"/>
  <c r="H24" i="3" s="1"/>
  <c r="F16" i="4" s="1"/>
  <c r="G22" i="3"/>
  <c r="G24" i="3" s="1"/>
  <c r="E16" i="4" s="1"/>
  <c r="I22" i="3"/>
  <c r="I24" i="3" s="1"/>
  <c r="J22" i="3"/>
  <c r="J24" i="3" s="1"/>
  <c r="B14" i="15" s="1"/>
  <c r="K22" i="3"/>
  <c r="K24" i="3" s="1"/>
  <c r="C14" i="15" s="1"/>
  <c r="L22" i="3"/>
  <c r="L24" i="3" s="1"/>
  <c r="D14" i="15" s="1"/>
  <c r="C22" i="3"/>
  <c r="C24" i="3" s="1"/>
  <c r="C28" i="3" s="1"/>
  <c r="M22" i="3"/>
  <c r="M24" i="3" s="1"/>
  <c r="E14" i="15" s="1"/>
  <c r="G17" i="18" l="1"/>
  <c r="Y63" i="6" s="1"/>
  <c r="W63" i="6" s="1"/>
  <c r="N63" i="5"/>
  <c r="T56" i="5"/>
  <c r="U61" i="5" s="1"/>
  <c r="N55" i="5"/>
  <c r="N65" i="5" s="1"/>
  <c r="T52" i="5"/>
  <c r="U53" i="5" s="1"/>
  <c r="L18" i="6"/>
  <c r="D21" i="15" s="1"/>
  <c r="G54" i="15"/>
  <c r="H8" i="18"/>
  <c r="H58" i="18" s="1"/>
  <c r="H15" i="18"/>
  <c r="H62" i="18" s="1"/>
  <c r="H14" i="18"/>
  <c r="O18" i="5"/>
  <c r="O17" i="6" s="1"/>
  <c r="N66" i="5"/>
  <c r="N67" i="5" s="1"/>
  <c r="F9" i="18" s="1"/>
  <c r="F59" i="18" s="1"/>
  <c r="H48" i="18"/>
  <c r="G107" i="7"/>
  <c r="G113" i="7" s="1"/>
  <c r="G114" i="7" s="1"/>
  <c r="P20" i="3" s="1"/>
  <c r="Q49" i="6"/>
  <c r="I16" i="18" s="1"/>
  <c r="I63" i="18" s="1"/>
  <c r="R49" i="6"/>
  <c r="F113" i="7"/>
  <c r="F114" i="7" s="1"/>
  <c r="O20" i="3" s="1"/>
  <c r="H60" i="18"/>
  <c r="P48" i="5"/>
  <c r="P9" i="6"/>
  <c r="O52" i="5"/>
  <c r="O55" i="5" s="1"/>
  <c r="G19" i="15"/>
  <c r="G56" i="15" s="1"/>
  <c r="G57" i="15" s="1"/>
  <c r="H18" i="15"/>
  <c r="H53" i="15" s="1"/>
  <c r="P51" i="5"/>
  <c r="G20" i="15"/>
  <c r="G58" i="15" s="1"/>
  <c r="G59" i="15" s="1"/>
  <c r="O56" i="5"/>
  <c r="O63" i="5" s="1"/>
  <c r="O66" i="5" s="1"/>
  <c r="Q21" i="5"/>
  <c r="P17" i="5"/>
  <c r="C43" i="15"/>
  <c r="C31" i="15"/>
  <c r="E31" i="15"/>
  <c r="E43" i="15"/>
  <c r="D43" i="15"/>
  <c r="D31" i="15"/>
  <c r="Q16" i="5"/>
  <c r="I13" i="18" s="1"/>
  <c r="I7" i="15"/>
  <c r="Q26" i="6"/>
  <c r="Q61" i="5" s="1"/>
  <c r="Q22" i="6"/>
  <c r="Q57" i="5" s="1"/>
  <c r="Q10" i="6"/>
  <c r="Q53" i="5" s="1"/>
  <c r="Q8" i="6"/>
  <c r="Q24" i="6"/>
  <c r="Q59" i="5" s="1"/>
  <c r="Q6" i="6"/>
  <c r="Q15" i="6"/>
  <c r="Q13" i="6"/>
  <c r="Q23" i="6"/>
  <c r="Q58" i="5" s="1"/>
  <c r="Q12" i="3"/>
  <c r="Q10" i="3"/>
  <c r="Q13" i="3"/>
  <c r="I53" i="18" s="1"/>
  <c r="H16" i="15"/>
  <c r="H51" i="15" s="1"/>
  <c r="F10" i="15"/>
  <c r="F47" i="15" s="1"/>
  <c r="H8" i="15"/>
  <c r="H55" i="15" s="1"/>
  <c r="P21" i="6"/>
  <c r="P56" i="5" s="1"/>
  <c r="P63" i="5" s="1"/>
  <c r="H52" i="15"/>
  <c r="H27" i="15"/>
  <c r="G9" i="15"/>
  <c r="G28" i="15" s="1"/>
  <c r="O14" i="3"/>
  <c r="R15" i="6"/>
  <c r="R23" i="6"/>
  <c r="R58" i="5" s="1"/>
  <c r="R6" i="6"/>
  <c r="R22" i="6"/>
  <c r="R57" i="5" s="1"/>
  <c r="R24" i="6"/>
  <c r="R59" i="5" s="1"/>
  <c r="R26" i="6"/>
  <c r="R61" i="5" s="1"/>
  <c r="J7" i="15"/>
  <c r="R16" i="5"/>
  <c r="R13" i="6"/>
  <c r="R8" i="6"/>
  <c r="R10" i="6"/>
  <c r="R53" i="5" s="1"/>
  <c r="R12" i="3"/>
  <c r="R13" i="3"/>
  <c r="J53" i="18" s="1"/>
  <c r="R10" i="3"/>
  <c r="P11" i="3"/>
  <c r="F60" i="15"/>
  <c r="C32" i="15"/>
  <c r="B24" i="15"/>
  <c r="C35" i="15"/>
  <c r="C24" i="15"/>
  <c r="D35" i="15"/>
  <c r="M39" i="4"/>
  <c r="L6" i="5"/>
  <c r="J16" i="4"/>
  <c r="I6" i="5"/>
  <c r="G19" i="4" s="1"/>
  <c r="G16" i="4"/>
  <c r="K6" i="5"/>
  <c r="I19" i="4" s="1"/>
  <c r="I16" i="4"/>
  <c r="B14" i="4"/>
  <c r="D18" i="3"/>
  <c r="J6" i="5"/>
  <c r="H19" i="4" s="1"/>
  <c r="H16" i="4"/>
  <c r="R16" i="3"/>
  <c r="Q16" i="3"/>
  <c r="O11" i="4"/>
  <c r="N11" i="4"/>
  <c r="C15" i="4"/>
  <c r="C11" i="4"/>
  <c r="D14" i="4"/>
  <c r="F18" i="3"/>
  <c r="M6" i="5"/>
  <c r="K19" i="4" s="1"/>
  <c r="K16" i="4"/>
  <c r="M10" i="5"/>
  <c r="H6" i="5"/>
  <c r="H29" i="3"/>
  <c r="H52" i="17" s="1"/>
  <c r="H54" i="17" s="1"/>
  <c r="H56" i="17" s="1"/>
  <c r="H57" i="17" s="1"/>
  <c r="G29" i="3"/>
  <c r="G52" i="17" s="1"/>
  <c r="G54" i="17" s="1"/>
  <c r="G56" i="17" s="1"/>
  <c r="G57" i="17" s="1"/>
  <c r="G6" i="5"/>
  <c r="E19" i="4" s="1"/>
  <c r="E28" i="3"/>
  <c r="E6" i="5"/>
  <c r="C19" i="4" s="1"/>
  <c r="M62" i="6"/>
  <c r="D61" i="6"/>
  <c r="D62" i="6" s="1"/>
  <c r="C61" i="6"/>
  <c r="C62" i="6" s="1"/>
  <c r="L61" i="6"/>
  <c r="K61" i="6"/>
  <c r="K62" i="6" s="1"/>
  <c r="J61" i="6"/>
  <c r="J62" i="6" s="1"/>
  <c r="H61" i="6"/>
  <c r="H62" i="6" s="1"/>
  <c r="G61" i="6"/>
  <c r="G62" i="6" s="1"/>
  <c r="I61" i="6"/>
  <c r="I62" i="6" s="1"/>
  <c r="E61" i="6"/>
  <c r="E62" i="6" s="1"/>
  <c r="F61" i="6"/>
  <c r="F62" i="6" s="1"/>
  <c r="K29" i="3"/>
  <c r="K52" i="17" s="1"/>
  <c r="K54" i="17" s="1"/>
  <c r="K56" i="17" s="1"/>
  <c r="K57" i="17" s="1"/>
  <c r="K28" i="3"/>
  <c r="J29" i="3"/>
  <c r="J52" i="17" s="1"/>
  <c r="J54" i="17" s="1"/>
  <c r="J56" i="17" s="1"/>
  <c r="J57" i="17" s="1"/>
  <c r="J28" i="3"/>
  <c r="I28" i="3"/>
  <c r="I29" i="3"/>
  <c r="I52" i="17" s="1"/>
  <c r="I54" i="17" s="1"/>
  <c r="I56" i="17" s="1"/>
  <c r="I57" i="17" s="1"/>
  <c r="L29" i="3"/>
  <c r="L52" i="17" s="1"/>
  <c r="L54" i="17" s="1"/>
  <c r="L56" i="17" s="1"/>
  <c r="L57" i="17" s="1"/>
  <c r="L28" i="3"/>
  <c r="G28" i="3"/>
  <c r="H28" i="3"/>
  <c r="E29" i="3"/>
  <c r="E52" i="17" s="1"/>
  <c r="E54" i="17" s="1"/>
  <c r="E56" i="17" s="1"/>
  <c r="E57" i="17" s="1"/>
  <c r="C29" i="3"/>
  <c r="C52" i="17" s="1"/>
  <c r="C54" i="17" s="1"/>
  <c r="C56" i="17" s="1"/>
  <c r="C57" i="17" s="1"/>
  <c r="M29" i="3"/>
  <c r="M52" i="17" s="1"/>
  <c r="M54" i="17" s="1"/>
  <c r="M56" i="17" s="1"/>
  <c r="M57" i="17" s="1"/>
  <c r="M28" i="3"/>
  <c r="J15" i="18" l="1"/>
  <c r="H17" i="18"/>
  <c r="L62" i="6"/>
  <c r="O65" i="5"/>
  <c r="O67" i="5" s="1"/>
  <c r="G9" i="18" s="1"/>
  <c r="G59" i="18" s="1"/>
  <c r="D32" i="15"/>
  <c r="D33" i="15" s="1"/>
  <c r="D34" i="15" s="1"/>
  <c r="E32" i="15"/>
  <c r="E36" i="15" s="1"/>
  <c r="P15" i="5"/>
  <c r="P66" i="5"/>
  <c r="I15" i="18"/>
  <c r="I62" i="18" s="1"/>
  <c r="I14" i="18"/>
  <c r="I61" i="18" s="1"/>
  <c r="J14" i="18"/>
  <c r="J61" i="18" s="1"/>
  <c r="H61" i="18"/>
  <c r="J8" i="18"/>
  <c r="J58" i="18" s="1"/>
  <c r="I8" i="18"/>
  <c r="I58" i="18" s="1"/>
  <c r="G60" i="15"/>
  <c r="J48" i="18"/>
  <c r="I107" i="7"/>
  <c r="H107" i="7"/>
  <c r="I48" i="18"/>
  <c r="J13" i="18"/>
  <c r="J60" i="18" s="1"/>
  <c r="J16" i="18"/>
  <c r="J63" i="18" s="1"/>
  <c r="R21" i="5"/>
  <c r="R17" i="5" s="1"/>
  <c r="Q17" i="5"/>
  <c r="P18" i="5"/>
  <c r="P17" i="6" s="1"/>
  <c r="I60" i="18"/>
  <c r="Q48" i="5"/>
  <c r="Q9" i="6"/>
  <c r="I18" i="15"/>
  <c r="Q51" i="5"/>
  <c r="J62" i="18"/>
  <c r="R11" i="3"/>
  <c r="J9" i="15" s="1"/>
  <c r="J28" i="15" s="1"/>
  <c r="R48" i="5"/>
  <c r="R9" i="6"/>
  <c r="P52" i="5"/>
  <c r="P55" i="5" s="1"/>
  <c r="P65" i="5" s="1"/>
  <c r="H19" i="15"/>
  <c r="J18" i="15"/>
  <c r="R51" i="5"/>
  <c r="H54" i="15"/>
  <c r="C36" i="15"/>
  <c r="C33" i="15"/>
  <c r="C34" i="15" s="1"/>
  <c r="I52" i="15"/>
  <c r="I27" i="15"/>
  <c r="P14" i="3"/>
  <c r="H9" i="15"/>
  <c r="H28" i="15" s="1"/>
  <c r="I8" i="15"/>
  <c r="I55" i="15" s="1"/>
  <c r="Q21" i="6"/>
  <c r="Q56" i="5" s="1"/>
  <c r="Q63" i="5" s="1"/>
  <c r="Q66" i="5" s="1"/>
  <c r="J8" i="15"/>
  <c r="J55" i="15" s="1"/>
  <c r="R21" i="6"/>
  <c r="R56" i="5" s="1"/>
  <c r="R63" i="5" s="1"/>
  <c r="I16" i="15"/>
  <c r="I51" i="15" s="1"/>
  <c r="G10" i="15"/>
  <c r="O18" i="3"/>
  <c r="G52" i="18" s="1"/>
  <c r="J16" i="15"/>
  <c r="J51" i="15" s="1"/>
  <c r="J27" i="15"/>
  <c r="J52" i="15"/>
  <c r="Q11" i="3"/>
  <c r="F11" i="15"/>
  <c r="F30" i="15" s="1"/>
  <c r="H20" i="15"/>
  <c r="F29" i="15"/>
  <c r="C39" i="15"/>
  <c r="C40" i="15" s="1"/>
  <c r="C46" i="15"/>
  <c r="D39" i="15"/>
  <c r="D40" i="15" s="1"/>
  <c r="H10" i="5"/>
  <c r="I10" i="5" s="1"/>
  <c r="J10" i="5" s="1"/>
  <c r="K10" i="5" s="1"/>
  <c r="F19" i="4"/>
  <c r="D11" i="4"/>
  <c r="D15" i="4"/>
  <c r="F22" i="3"/>
  <c r="F24" i="3" s="1"/>
  <c r="B11" i="4"/>
  <c r="M11" i="4" s="1"/>
  <c r="B15" i="4"/>
  <c r="D22" i="3"/>
  <c r="D24" i="3" s="1"/>
  <c r="L10" i="5"/>
  <c r="J19" i="4"/>
  <c r="O19" i="4" s="1"/>
  <c r="E10" i="5"/>
  <c r="M58" i="17"/>
  <c r="M60" i="17"/>
  <c r="M59" i="17"/>
  <c r="B5" i="1"/>
  <c r="B6" i="1" s="1"/>
  <c r="B7" i="1" s="1"/>
  <c r="B8" i="1" s="1"/>
  <c r="B9" i="1" s="1"/>
  <c r="B10" i="1" s="1"/>
  <c r="B11" i="1" s="1"/>
  <c r="B12" i="1" s="1"/>
  <c r="B13" i="1" s="1"/>
  <c r="B14" i="1" s="1"/>
  <c r="E33" i="15" l="1"/>
  <c r="E34" i="15" s="1"/>
  <c r="E37" i="15" s="1"/>
  <c r="D36" i="15"/>
  <c r="I17" i="18"/>
  <c r="G47" i="15"/>
  <c r="I113" i="7"/>
  <c r="I114" i="7" s="1"/>
  <c r="R20" i="3" s="1"/>
  <c r="R66" i="5"/>
  <c r="C37" i="15"/>
  <c r="J17" i="18"/>
  <c r="H113" i="7"/>
  <c r="H114" i="7" s="1"/>
  <c r="Q20" i="3" s="1"/>
  <c r="P67" i="5"/>
  <c r="H9" i="18" s="1"/>
  <c r="H59" i="18" s="1"/>
  <c r="J53" i="15"/>
  <c r="J54" i="15" s="1"/>
  <c r="Q52" i="5"/>
  <c r="Q55" i="5" s="1"/>
  <c r="I19" i="15"/>
  <c r="I56" i="15" s="1"/>
  <c r="I57" i="15" s="1"/>
  <c r="R14" i="3"/>
  <c r="Q15" i="5"/>
  <c r="Q18" i="5" s="1"/>
  <c r="Q17" i="6" s="1"/>
  <c r="H56" i="15"/>
  <c r="H57" i="15" s="1"/>
  <c r="D37" i="15"/>
  <c r="I53" i="15"/>
  <c r="I54" i="15" s="1"/>
  <c r="R52" i="5"/>
  <c r="R55" i="5" s="1"/>
  <c r="J19" i="15"/>
  <c r="I20" i="15"/>
  <c r="I58" i="15" s="1"/>
  <c r="I59" i="15" s="1"/>
  <c r="H58" i="15"/>
  <c r="H59" i="15" s="1"/>
  <c r="H10" i="15"/>
  <c r="P18" i="3"/>
  <c r="G29" i="15"/>
  <c r="G11" i="15"/>
  <c r="G30" i="15" s="1"/>
  <c r="I9" i="15"/>
  <c r="I28" i="15" s="1"/>
  <c r="Q14" i="3"/>
  <c r="J20" i="15"/>
  <c r="N19" i="4"/>
  <c r="D16" i="4"/>
  <c r="F6" i="5"/>
  <c r="D19" i="4" s="1"/>
  <c r="F29" i="3"/>
  <c r="F52" i="17" s="1"/>
  <c r="F54" i="17" s="1"/>
  <c r="F56" i="17" s="1"/>
  <c r="F57" i="17" s="1"/>
  <c r="F28" i="3"/>
  <c r="B16" i="4"/>
  <c r="D6" i="5"/>
  <c r="D28" i="3"/>
  <c r="D29" i="3"/>
  <c r="D52" i="17" s="1"/>
  <c r="D54" i="17" s="1"/>
  <c r="D56" i="17" s="1"/>
  <c r="D57" i="17" s="1"/>
  <c r="Q65" i="5" l="1"/>
  <c r="Q67" i="5" s="1"/>
  <c r="I9" i="18" s="1"/>
  <c r="I59" i="18" s="1"/>
  <c r="R65" i="5"/>
  <c r="R67" i="5" s="1"/>
  <c r="J9" i="18" s="1"/>
  <c r="J59" i="18" s="1"/>
  <c r="H52" i="18"/>
  <c r="R15" i="5"/>
  <c r="R18" i="5" s="1"/>
  <c r="R17" i="6" s="1"/>
  <c r="I60" i="15"/>
  <c r="J10" i="15"/>
  <c r="R18" i="3"/>
  <c r="J56" i="15"/>
  <c r="J57" i="15" s="1"/>
  <c r="H60" i="15"/>
  <c r="I10" i="15"/>
  <c r="Q18" i="3"/>
  <c r="I52" i="18" s="1"/>
  <c r="H11" i="15"/>
  <c r="H30" i="15" s="1"/>
  <c r="H29" i="15"/>
  <c r="H47" i="15"/>
  <c r="J58" i="15"/>
  <c r="J59" i="15" s="1"/>
  <c r="F10" i="5"/>
  <c r="G10" i="5" s="1"/>
  <c r="M61" i="17"/>
  <c r="M62" i="17"/>
  <c r="M63" i="17"/>
  <c r="D10" i="5"/>
  <c r="B19" i="4"/>
  <c r="M19" i="4" s="1"/>
  <c r="J60" i="15" l="1"/>
  <c r="J52" i="18"/>
  <c r="J11" i="15"/>
  <c r="J30" i="15" s="1"/>
  <c r="J47" i="15"/>
  <c r="J29" i="15"/>
  <c r="I11" i="15"/>
  <c r="I29" i="15"/>
  <c r="I47" i="15"/>
  <c r="I30" i="15" l="1"/>
  <c r="Q22" i="12"/>
  <c r="R22" i="12" s="1"/>
  <c r="S22" i="12" s="1"/>
  <c r="H10" i="12" s="1"/>
  <c r="H11" i="12" s="1"/>
  <c r="H13" i="12" s="1"/>
  <c r="I26" i="12" l="1"/>
  <c r="I25" i="12"/>
  <c r="I43" i="12"/>
  <c r="I42" i="12"/>
  <c r="I34" i="12"/>
  <c r="I33" i="12"/>
  <c r="Q16" i="12" l="1"/>
  <c r="R16" i="12" s="1"/>
  <c r="S16" i="12" s="1"/>
  <c r="E10" i="12" s="1"/>
  <c r="E11" i="12" s="1"/>
  <c r="E13" i="12" s="1"/>
  <c r="F26" i="12" l="1"/>
  <c r="F43" i="12"/>
  <c r="F34" i="12"/>
  <c r="F33" i="12"/>
  <c r="E22" i="12"/>
  <c r="F42" i="12"/>
  <c r="P35" i="12"/>
  <c r="P38" i="12" s="1"/>
  <c r="V12" i="12"/>
  <c r="W8" i="12"/>
  <c r="U12" i="12" s="1"/>
  <c r="W12" i="12" s="1"/>
  <c r="V16" i="12" s="1"/>
  <c r="W16" i="12" s="1"/>
  <c r="F30" i="12" l="1"/>
  <c r="F29" i="12"/>
  <c r="S37" i="12"/>
  <c r="Q9" i="12"/>
  <c r="R9" i="12" s="1"/>
  <c r="S9" i="12" s="1"/>
  <c r="B10" i="12" s="1"/>
  <c r="B11" i="12" s="1"/>
  <c r="B13" i="12" s="1"/>
  <c r="B9" i="9"/>
  <c r="L7" i="9"/>
  <c r="D9" i="9" s="1"/>
  <c r="A9" i="9"/>
  <c r="D17" i="11"/>
  <c r="D38" i="11"/>
  <c r="A28" i="11"/>
  <c r="B27" i="11"/>
  <c r="A27" i="11"/>
  <c r="B26" i="11"/>
  <c r="A26" i="11"/>
  <c r="B25" i="11"/>
  <c r="A25" i="11"/>
  <c r="B24" i="11"/>
  <c r="A24" i="11"/>
  <c r="B23" i="11"/>
  <c r="A23" i="11"/>
  <c r="D19" i="11"/>
  <c r="B28" i="11" s="1"/>
  <c r="D66" i="6"/>
  <c r="D68" i="6" s="1"/>
  <c r="E66" i="6"/>
  <c r="E68" i="6" s="1"/>
  <c r="F66" i="6"/>
  <c r="F68" i="6" s="1"/>
  <c r="G66" i="6"/>
  <c r="G68" i="6" s="1"/>
  <c r="H66" i="6"/>
  <c r="H68" i="6" s="1"/>
  <c r="I66" i="6"/>
  <c r="I68" i="6" s="1"/>
  <c r="J66" i="6"/>
  <c r="J68" i="6" s="1"/>
  <c r="K66" i="6"/>
  <c r="K68" i="6" s="1"/>
  <c r="L66" i="6"/>
  <c r="L68" i="6" s="1"/>
  <c r="M66" i="6"/>
  <c r="M68" i="6" s="1"/>
  <c r="C66" i="6"/>
  <c r="C68" i="6" s="1"/>
  <c r="D64" i="6"/>
  <c r="E64" i="6"/>
  <c r="F64" i="6"/>
  <c r="G64" i="6"/>
  <c r="H64" i="6"/>
  <c r="I64" i="6"/>
  <c r="J64" i="6"/>
  <c r="K64" i="6"/>
  <c r="L64" i="6"/>
  <c r="M64" i="6"/>
  <c r="C64" i="6"/>
  <c r="B22" i="12" l="1"/>
  <c r="C29" i="12" s="1"/>
  <c r="C25" i="12"/>
  <c r="C42" i="12"/>
  <c r="C33" i="12"/>
  <c r="M70" i="6"/>
  <c r="M71" i="6" s="1"/>
  <c r="K70" i="6"/>
  <c r="K71" i="6" s="1"/>
  <c r="C70" i="6"/>
  <c r="C71" i="6" s="1"/>
  <c r="F70" i="6"/>
  <c r="F71" i="6" s="1"/>
  <c r="D70" i="6"/>
  <c r="D71" i="6" s="1"/>
  <c r="I70" i="6"/>
  <c r="I71" i="6" s="1"/>
  <c r="L70" i="6"/>
  <c r="L71" i="6" s="1"/>
  <c r="H70" i="6"/>
  <c r="H71" i="6" s="1"/>
  <c r="E70" i="6"/>
  <c r="E71" i="6" s="1"/>
  <c r="J70" i="6"/>
  <c r="J71" i="6" s="1"/>
  <c r="G70" i="6"/>
  <c r="G71" i="6" s="1"/>
  <c r="E9" i="9"/>
  <c r="C12" i="9" s="1"/>
  <c r="M72" i="6" l="1"/>
  <c r="M74" i="6"/>
  <c r="M76" i="6"/>
  <c r="M75" i="6"/>
  <c r="M77" i="6"/>
  <c r="M73" i="6"/>
  <c r="D12" i="9"/>
  <c r="B15" i="9" s="1"/>
  <c r="E81" i="18" l="1"/>
  <c r="E89" i="18"/>
  <c r="F74" i="18"/>
  <c r="I74" i="18"/>
  <c r="H74" i="18"/>
  <c r="J74" i="18"/>
  <c r="G74" i="18"/>
  <c r="E88" i="18" l="1"/>
  <c r="E87" i="18" s="1"/>
  <c r="E90" i="18"/>
  <c r="E91" i="18" s="1"/>
  <c r="E82" i="18"/>
  <c r="E83" i="18" s="1"/>
  <c r="E80" i="18"/>
  <c r="E79" i="18" s="1"/>
  <c r="D15" i="11" l="1"/>
  <c r="S35" i="12"/>
  <c r="S38" i="12" l="1"/>
  <c r="C12" i="11"/>
  <c r="D37" i="11"/>
  <c r="S36" i="12"/>
  <c r="C23" i="11" l="1"/>
  <c r="C26" i="11"/>
  <c r="C28" i="11"/>
  <c r="C27" i="11"/>
  <c r="C25" i="11"/>
  <c r="C24" i="11"/>
  <c r="C29" i="11" l="1"/>
  <c r="F33" i="11" s="1"/>
  <c r="D39" i="11"/>
  <c r="D40" i="11" s="1"/>
  <c r="F32" i="11"/>
  <c r="N64" i="6" l="1"/>
  <c r="O64" i="6" l="1"/>
  <c r="P64" i="6" l="1"/>
  <c r="Q64" i="6" l="1"/>
  <c r="R64" i="6"/>
  <c r="D109" i="7" l="1"/>
  <c r="N7" i="6" l="1"/>
  <c r="O7" i="6"/>
  <c r="P7" i="6"/>
  <c r="Q7" i="6"/>
  <c r="R7" i="6"/>
  <c r="N12" i="6"/>
  <c r="O12" i="6"/>
  <c r="P12" i="6"/>
  <c r="Q12" i="6"/>
  <c r="R12" i="6"/>
  <c r="N18" i="6"/>
  <c r="O18" i="6"/>
  <c r="P18" i="6"/>
  <c r="Q18" i="6"/>
  <c r="R18" i="6"/>
  <c r="N29" i="6"/>
  <c r="O29" i="6"/>
  <c r="P29" i="6"/>
  <c r="Q29" i="6"/>
  <c r="R29" i="6"/>
  <c r="N30" i="6"/>
  <c r="O30" i="6"/>
  <c r="P30" i="6"/>
  <c r="Q30" i="6"/>
  <c r="R30" i="6"/>
  <c r="N51" i="6"/>
  <c r="O51" i="6"/>
  <c r="P51" i="6"/>
  <c r="Q51" i="6"/>
  <c r="R51" i="6"/>
  <c r="N56" i="6"/>
  <c r="O56" i="6"/>
  <c r="P56" i="6"/>
  <c r="Q56" i="6"/>
  <c r="R56" i="6"/>
  <c r="U56" i="6"/>
  <c r="V56" i="6"/>
  <c r="N59" i="6"/>
  <c r="O59" i="6"/>
  <c r="P59" i="6"/>
  <c r="Q59" i="6"/>
  <c r="R59" i="6"/>
  <c r="N61" i="6"/>
  <c r="O61" i="6"/>
  <c r="P61" i="6"/>
  <c r="Q61" i="6"/>
  <c r="R61" i="6"/>
  <c r="N62" i="6"/>
  <c r="O62" i="6"/>
  <c r="P62" i="6"/>
  <c r="Q62" i="6"/>
  <c r="R62" i="6"/>
  <c r="T62" i="6"/>
  <c r="W62" i="6"/>
  <c r="Y62" i="6"/>
  <c r="T78" i="6"/>
  <c r="W78" i="6"/>
  <c r="Y78" i="6"/>
  <c r="T79" i="6"/>
  <c r="O5" i="5"/>
  <c r="P5" i="5"/>
  <c r="Q5" i="5"/>
  <c r="R5" i="5"/>
  <c r="N6" i="5"/>
  <c r="O6" i="5"/>
  <c r="P6" i="5"/>
  <c r="Q6" i="5"/>
  <c r="R6" i="5"/>
  <c r="N7" i="5"/>
  <c r="O7" i="5"/>
  <c r="P7" i="5"/>
  <c r="Q7" i="5"/>
  <c r="R7" i="5"/>
  <c r="N10" i="5"/>
  <c r="O10" i="5"/>
  <c r="P10" i="5"/>
  <c r="Q10" i="5"/>
  <c r="R10" i="5"/>
  <c r="F7" i="18"/>
  <c r="G7" i="18"/>
  <c r="H7" i="18"/>
  <c r="I7" i="18"/>
  <c r="J7" i="18"/>
  <c r="F10" i="18"/>
  <c r="G10" i="18"/>
  <c r="H10" i="18"/>
  <c r="I10" i="18"/>
  <c r="J10" i="18"/>
  <c r="F38" i="18"/>
  <c r="G38" i="18"/>
  <c r="H38" i="18"/>
  <c r="I38" i="18"/>
  <c r="J38" i="18"/>
  <c r="F39" i="18"/>
  <c r="G39" i="18"/>
  <c r="H39" i="18"/>
  <c r="I39" i="18"/>
  <c r="J39" i="18"/>
  <c r="F41" i="18"/>
  <c r="G41" i="18"/>
  <c r="H41" i="18"/>
  <c r="I41" i="18"/>
  <c r="J41" i="18"/>
  <c r="G44" i="18"/>
  <c r="H44" i="18"/>
  <c r="I44" i="18"/>
  <c r="J44" i="18"/>
  <c r="F45" i="18"/>
  <c r="G45" i="18"/>
  <c r="H45" i="18"/>
  <c r="I45" i="18"/>
  <c r="J45" i="18"/>
  <c r="F46" i="18"/>
  <c r="G46" i="18"/>
  <c r="H46" i="18"/>
  <c r="I46" i="18"/>
  <c r="J46" i="18"/>
  <c r="F49" i="18"/>
  <c r="G49" i="18"/>
  <c r="H49" i="18"/>
  <c r="I49" i="18"/>
  <c r="J49" i="18"/>
  <c r="F54" i="18"/>
  <c r="G54" i="18"/>
  <c r="H54" i="18"/>
  <c r="I54" i="18"/>
  <c r="J54" i="18"/>
  <c r="F55" i="18"/>
  <c r="G55" i="18"/>
  <c r="H55" i="18"/>
  <c r="I55" i="18"/>
  <c r="J55" i="18"/>
  <c r="F57" i="18"/>
  <c r="G57" i="18"/>
  <c r="H57" i="18"/>
  <c r="I57" i="18"/>
  <c r="J57" i="18"/>
  <c r="F64" i="18"/>
  <c r="G64" i="18"/>
  <c r="H64" i="18"/>
  <c r="I64" i="18"/>
  <c r="J64" i="18"/>
  <c r="D69" i="18"/>
  <c r="F75" i="18"/>
  <c r="G75" i="18"/>
  <c r="H75" i="18"/>
  <c r="I75" i="18"/>
  <c r="J75" i="18"/>
  <c r="C77" i="18"/>
  <c r="C78" i="18"/>
  <c r="E78" i="18"/>
  <c r="C79" i="18"/>
  <c r="E86" i="18"/>
  <c r="C92" i="18"/>
  <c r="C94" i="18"/>
  <c r="C96" i="18"/>
  <c r="C98" i="18"/>
  <c r="C101" i="18"/>
  <c r="C103" i="18"/>
  <c r="C105" i="18"/>
  <c r="E7" i="7"/>
  <c r="F7" i="7"/>
  <c r="G7" i="7"/>
  <c r="H7" i="7"/>
  <c r="I7" i="7"/>
  <c r="E10" i="7"/>
  <c r="F10" i="7"/>
  <c r="G10" i="7"/>
  <c r="H10" i="7"/>
  <c r="I10" i="7"/>
  <c r="E101" i="7"/>
  <c r="F101" i="7"/>
  <c r="G101" i="7"/>
  <c r="H101" i="7"/>
  <c r="I101" i="7"/>
  <c r="E103" i="7"/>
  <c r="F103" i="7"/>
  <c r="G103" i="7"/>
  <c r="H103" i="7"/>
  <c r="I103" i="7"/>
  <c r="E108" i="7"/>
  <c r="F108" i="7"/>
  <c r="G108" i="7"/>
  <c r="H108" i="7"/>
  <c r="I108" i="7"/>
  <c r="E109" i="7"/>
  <c r="F109" i="7"/>
  <c r="G109" i="7"/>
  <c r="H109" i="7"/>
  <c r="I109" i="7"/>
  <c r="E113" i="7"/>
  <c r="E114" i="7"/>
  <c r="N19" i="3"/>
  <c r="O19" i="3"/>
  <c r="P19" i="3"/>
  <c r="Q19" i="3"/>
  <c r="R19" i="3"/>
  <c r="N20" i="3"/>
  <c r="N22" i="3"/>
  <c r="O22" i="3"/>
  <c r="P22" i="3"/>
  <c r="Q22" i="3"/>
  <c r="R22" i="3"/>
  <c r="N23" i="3"/>
  <c r="O23" i="3"/>
  <c r="P23" i="3"/>
  <c r="Q23" i="3"/>
  <c r="R23" i="3"/>
  <c r="N24" i="3"/>
  <c r="O24" i="3"/>
  <c r="P24" i="3"/>
  <c r="Q24" i="3"/>
  <c r="R24" i="3"/>
  <c r="N28" i="3"/>
  <c r="O28" i="3"/>
  <c r="P28" i="3"/>
  <c r="Q28" i="3"/>
  <c r="R28" i="3"/>
  <c r="N29" i="3"/>
  <c r="O29" i="3"/>
  <c r="P29" i="3"/>
  <c r="Q29" i="3"/>
  <c r="R29" i="3"/>
  <c r="F12" i="15"/>
  <c r="G12" i="15"/>
  <c r="H12" i="15"/>
  <c r="I12" i="15"/>
  <c r="J12" i="15"/>
  <c r="F13" i="15"/>
  <c r="G13" i="15"/>
  <c r="H13" i="15"/>
  <c r="I13" i="15"/>
  <c r="J13" i="15"/>
  <c r="F14" i="15"/>
  <c r="G14" i="15"/>
  <c r="H14" i="15"/>
  <c r="I14" i="15"/>
  <c r="J14" i="15"/>
  <c r="F15" i="15"/>
  <c r="G15" i="15"/>
  <c r="H15" i="15"/>
  <c r="I15" i="15"/>
  <c r="J15" i="15"/>
  <c r="F17" i="15"/>
  <c r="G17" i="15"/>
  <c r="H17" i="15"/>
  <c r="I17" i="15"/>
  <c r="J17" i="15"/>
  <c r="F21" i="15"/>
  <c r="G21" i="15"/>
  <c r="H21" i="15"/>
  <c r="I21" i="15"/>
  <c r="J21" i="15"/>
  <c r="F23" i="15"/>
  <c r="G23" i="15"/>
  <c r="H23" i="15"/>
  <c r="I23" i="15"/>
  <c r="J23" i="15"/>
  <c r="F24" i="15"/>
  <c r="G24" i="15"/>
  <c r="H24" i="15"/>
  <c r="I24" i="15"/>
  <c r="J24" i="15"/>
  <c r="F31" i="15"/>
  <c r="G31" i="15"/>
  <c r="H31" i="15"/>
  <c r="I31" i="15"/>
  <c r="J31" i="15"/>
  <c r="F32" i="15"/>
  <c r="G32" i="15"/>
  <c r="H32" i="15"/>
  <c r="I32" i="15"/>
  <c r="J32" i="15"/>
  <c r="F33" i="15"/>
  <c r="G33" i="15"/>
  <c r="H33" i="15"/>
  <c r="I33" i="15"/>
  <c r="J33" i="15"/>
  <c r="F34" i="15"/>
  <c r="G34" i="15"/>
  <c r="H34" i="15"/>
  <c r="I34" i="15"/>
  <c r="J34" i="15"/>
  <c r="F35" i="15"/>
  <c r="G35" i="15"/>
  <c r="H35" i="15"/>
  <c r="I35" i="15"/>
  <c r="J35" i="15"/>
  <c r="F36" i="15"/>
  <c r="G36" i="15"/>
  <c r="H36" i="15"/>
  <c r="I36" i="15"/>
  <c r="J36" i="15"/>
  <c r="F37" i="15"/>
  <c r="G37" i="15"/>
  <c r="H37" i="15"/>
  <c r="I37" i="15"/>
  <c r="J37" i="15"/>
  <c r="F38" i="15"/>
  <c r="G38" i="15"/>
  <c r="H38" i="15"/>
  <c r="I38" i="15"/>
  <c r="J38" i="15"/>
  <c r="F39" i="15"/>
  <c r="G39" i="15"/>
  <c r="H39" i="15"/>
  <c r="I39" i="15"/>
  <c r="J39" i="15"/>
  <c r="F40" i="15"/>
  <c r="G40" i="15"/>
  <c r="H40" i="15"/>
  <c r="I40" i="15"/>
  <c r="J40" i="15"/>
  <c r="F43" i="15"/>
  <c r="G43" i="15"/>
  <c r="H43" i="15"/>
  <c r="I43" i="15"/>
  <c r="J43" i="15"/>
  <c r="F46" i="15"/>
  <c r="G46" i="15"/>
  <c r="H46" i="15"/>
  <c r="I46" i="15"/>
  <c r="J46" i="15"/>
  <c r="F48" i="15"/>
  <c r="G48" i="15"/>
  <c r="H48" i="15"/>
  <c r="I48" i="15"/>
  <c r="J48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Q56" authorId="0" shapeId="0" xr:uid="{1135143D-2637-4A69-B0CE-DD9397465B2B}">
      <text>
        <r>
          <rPr>
            <b/>
            <sz val="9"/>
            <color indexed="81"/>
            <rFont val="Tahoma"/>
            <family val="2"/>
          </rPr>
          <t>Cooper, Hamlin
SOFR + 1%</t>
        </r>
      </text>
    </comment>
    <comment ref="Q67" authorId="0" shapeId="0" xr:uid="{B6BFDE5B-3FA6-481B-8FF5-317F75121593}">
      <text>
        <r>
          <rPr>
            <b/>
            <sz val="9"/>
            <color indexed="81"/>
            <rFont val="Tahoma"/>
            <family val="2"/>
          </rPr>
          <t xml:space="preserve">Cooper Hamlin:
Bankrate HYSA 5/7/25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  <author>Ken Freeman, CFA</author>
  </authors>
  <commentList>
    <comment ref="C53" authorId="0" shapeId="0" xr:uid="{0CBC4069-E9FF-43E7-B132-507550FD865B}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8/29/14</t>
        </r>
      </text>
    </comment>
    <comment ref="M53" authorId="1" shapeId="0" xr:uid="{1637B34B-3585-4A52-9E76-E0C950EA191F}">
      <text>
        <r>
          <rPr>
            <b/>
            <sz val="9"/>
            <color indexed="81"/>
            <rFont val="Tahoma"/>
            <family val="2"/>
          </rPr>
          <t>Ken Freeman, CFA:</t>
        </r>
        <r>
          <rPr>
            <sz val="9"/>
            <color indexed="81"/>
            <rFont val="Tahoma"/>
            <family val="2"/>
          </rPr>
          <t xml:space="preserve">
As of 8/30/24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Hamlin</author>
  </authors>
  <commentList>
    <comment ref="I10" authorId="0" shapeId="0" xr:uid="{4E102AD0-0B62-4407-8CC3-3730F317EC7F}">
      <text>
        <r>
          <rPr>
            <b/>
            <sz val="9"/>
            <color indexed="81"/>
            <rFont val="Tahoma"/>
            <family val="2"/>
          </rPr>
          <t>Cooper Hamlin:</t>
        </r>
        <r>
          <rPr>
            <sz val="9"/>
            <color indexed="81"/>
            <rFont val="Tahoma"/>
            <family val="2"/>
          </rPr>
          <t xml:space="preserve">
Rounding Error
</t>
        </r>
      </text>
    </comment>
    <comment ref="J10" authorId="0" shapeId="0" xr:uid="{0CEFE069-D3C9-4A00-B9FC-4F6EF5897285}">
      <text>
        <r>
          <rPr>
            <b/>
            <sz val="9"/>
            <color indexed="81"/>
            <rFont val="Tahoma"/>
            <family val="2"/>
          </rPr>
          <t>Cooper Hamlin:</t>
        </r>
        <r>
          <rPr>
            <sz val="9"/>
            <color indexed="81"/>
            <rFont val="Tahoma"/>
            <family val="2"/>
          </rPr>
          <t xml:space="preserve">
Rounding Error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  <author>Ken Freeman, CFA</author>
  </authors>
  <commentList>
    <comment ref="C67" authorId="0" shapeId="0" xr:uid="{A4B8B04D-B738-469A-95FC-8C2A508FDC03}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8/29/14</t>
        </r>
      </text>
    </comment>
    <comment ref="M67" authorId="1" shapeId="0" xr:uid="{06BFEE76-FAFE-4D3E-B908-BFB7209BB147}">
      <text>
        <r>
          <rPr>
            <b/>
            <sz val="9"/>
            <color indexed="81"/>
            <rFont val="Tahoma"/>
            <family val="2"/>
          </rPr>
          <t>Ken Freeman, CFA:</t>
        </r>
        <r>
          <rPr>
            <sz val="9"/>
            <color indexed="81"/>
            <rFont val="Tahoma"/>
            <family val="2"/>
          </rPr>
          <t xml:space="preserve">
As of 8/30/24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</authors>
  <commentList>
    <comment ref="C82" authorId="0" shapeId="0" xr:uid="{1CAAF767-5955-4C41-9FD4-A36B7E606115}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WDFC, 10Q, 11/30/24, pg. 3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"Long-term borrowings" of $84,552 thousand
</t>
        </r>
      </text>
    </comment>
    <comment ref="C85" authorId="0" shapeId="0" xr:uid="{B200C6DF-6375-46FC-A59E-069B2C074ABB}">
      <text>
        <r>
          <rPr>
            <b/>
            <sz val="9"/>
            <color indexed="81"/>
            <rFont val="Tahoma"/>
            <family val="2"/>
          </rPr>
          <t>Ken: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WDFC, 10Q, 11/30/24, pg. 3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"Cash and cash equivalents" of $54,914 thousand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Aswath Damodaran</author>
  </authors>
  <commentList>
    <comment ref="F32" authorId="0" shapeId="0" xr:uid="{7070B9F6-6098-438B-9C6E-A6A91CD7D4E3}">
      <text>
        <r>
          <rPr>
            <b/>
            <sz val="9"/>
            <color indexed="81"/>
            <rFont val="Geneva"/>
            <family val="2"/>
            <charset val="1"/>
          </rPr>
          <t>Aswath Damodaran:</t>
        </r>
        <r>
          <rPr>
            <sz val="9"/>
            <color indexed="81"/>
            <rFont val="Geneva"/>
            <family val="2"/>
            <charset val="1"/>
          </rPr>
          <t xml:space="preserve">
I have used an approximation here. If you want to see the more complete adjustment, see below.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Hamlin</author>
    <author>Ken Freeman, CFA</author>
  </authors>
  <commentList>
    <comment ref="E9" authorId="0" shapeId="0" xr:uid="{87685839-7FD0-49A2-ACB0-22AEA6D4E67B}">
      <text>
        <r>
          <rPr>
            <b/>
            <sz val="9"/>
            <color indexed="81"/>
            <rFont val="Tahoma"/>
            <family val="2"/>
          </rPr>
          <t>Cooper Hamlin:</t>
        </r>
        <r>
          <rPr>
            <sz val="9"/>
            <color indexed="81"/>
            <rFont val="Tahoma"/>
            <family val="2"/>
          </rPr>
          <t xml:space="preserve">
YUM 10k 3/31/25
Common shares outstanding</t>
        </r>
      </text>
    </comment>
    <comment ref="O9" authorId="0" shapeId="0" xr:uid="{4E5D0236-DD1B-46FE-9934-4C7B9AC63224}">
      <text>
        <r>
          <rPr>
            <b/>
            <sz val="9"/>
            <color indexed="81"/>
            <rFont val="Tahoma"/>
            <family val="2"/>
          </rPr>
          <t>Cooper Hamlin:</t>
        </r>
        <r>
          <rPr>
            <sz val="9"/>
            <color indexed="81"/>
            <rFont val="Tahoma"/>
            <family val="2"/>
          </rPr>
          <t xml:space="preserve">
Options Exercisable at EOY. -PG 63
6.7  in millions.</t>
        </r>
      </text>
    </comment>
    <comment ref="E37" authorId="1" shapeId="0" xr:uid="{2AA70430-9234-482F-940E-03DA15173DC9}">
      <text>
        <r>
          <rPr>
            <b/>
            <sz val="9"/>
            <color indexed="81"/>
            <rFont val="Tahoma"/>
            <family val="2"/>
          </rPr>
          <t>Ken Freeman, CFA: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CHD, 10K, 12/31/24, pg. 57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"Additions to property, plant and equipment" of $179.8 million</t>
        </r>
      </text>
    </comment>
  </commentList>
</comments>
</file>

<file path=xl/sharedStrings.xml><?xml version="1.0" encoding="utf-8"?>
<sst xmlns="http://schemas.openxmlformats.org/spreadsheetml/2006/main" count="815" uniqueCount="469">
  <si>
    <t>PAGE</t>
  </si>
  <si>
    <t>Balance Sheet</t>
  </si>
  <si>
    <t>Income Statement</t>
  </si>
  <si>
    <t>Inventories</t>
  </si>
  <si>
    <t>Total current assets</t>
  </si>
  <si>
    <t>Goodwill</t>
  </si>
  <si>
    <t>Total assets</t>
  </si>
  <si>
    <t>*</t>
  </si>
  <si>
    <t>Accounts payable</t>
  </si>
  <si>
    <t>Total current liabilities</t>
  </si>
  <si>
    <t>Other long-term liabilities</t>
  </si>
  <si>
    <t>Total liabilities</t>
  </si>
  <si>
    <t>Additional paid-in capital</t>
  </si>
  <si>
    <t>Retained earnings</t>
  </si>
  <si>
    <t>Total liabilities and stockholders’ equity</t>
  </si>
  <si>
    <t>Check</t>
  </si>
  <si>
    <t>Cost of products sold</t>
  </si>
  <si>
    <t>Selling, general and administrative</t>
  </si>
  <si>
    <t>Interest expense</t>
  </si>
  <si>
    <t>Provision for income taxes</t>
  </si>
  <si>
    <t>Earnings per common share:</t>
  </si>
  <si>
    <t>Basic</t>
  </si>
  <si>
    <t>Diluted</t>
  </si>
  <si>
    <t>Shares used in per share calculations:</t>
  </si>
  <si>
    <t>Assets:</t>
  </si>
  <si>
    <t>Liabilities and Shareholders' Equity:</t>
  </si>
  <si>
    <t>Shareholders' equity:</t>
  </si>
  <si>
    <t>Income Statement (non-debt items)</t>
  </si>
  <si>
    <t>EBITDA</t>
  </si>
  <si>
    <t>Net sales (growth in sales)</t>
  </si>
  <si>
    <t>Gross profit margin</t>
  </si>
  <si>
    <t>EBITDA margin</t>
  </si>
  <si>
    <t>EBIT margin</t>
  </si>
  <si>
    <t>Net income margin</t>
  </si>
  <si>
    <t>10 yr AVG</t>
  </si>
  <si>
    <t>5 yr AVG</t>
  </si>
  <si>
    <t>3 yr AVG</t>
  </si>
  <si>
    <t>DRIVER</t>
  </si>
  <si>
    <t>Rationale</t>
  </si>
  <si>
    <t>Balance Sheet (Current Assets)</t>
  </si>
  <si>
    <r>
      <t>Cash &amp; ST Investments (</t>
    </r>
    <r>
      <rPr>
        <b/>
        <sz val="11"/>
        <color theme="1"/>
        <rFont val="Libre Franklin"/>
      </rPr>
      <t>REQUIRED</t>
    </r>
    <r>
      <rPr>
        <sz val="11"/>
        <color theme="1"/>
        <rFont val="Libre Franklin"/>
      </rPr>
      <t>) as % of sales</t>
    </r>
  </si>
  <si>
    <t>Inventories as % of COGS</t>
  </si>
  <si>
    <t>Balance Sheet (Non-Current Assets)</t>
  </si>
  <si>
    <t>Balance Sheet (NON-Debt Current Liabilities)</t>
  </si>
  <si>
    <t>Balance Sheet (NON-Debt Non-Current Liabilities)</t>
  </si>
  <si>
    <t>Shareholders' equity</t>
  </si>
  <si>
    <t>Retained Earnings</t>
  </si>
  <si>
    <t>Beginning Balance (Previous Ending)</t>
  </si>
  <si>
    <t>Net Income</t>
  </si>
  <si>
    <t>Dividends Paid (from CFS)</t>
  </si>
  <si>
    <t>Ending Balance (CALCULATED)</t>
  </si>
  <si>
    <t>Check (Actual from Balance Sheet)</t>
  </si>
  <si>
    <t>PP&amp;E (Property, Plant &amp; Equipment)</t>
  </si>
  <si>
    <t>Capital Expenditures (Actual from CFS)</t>
  </si>
  <si>
    <t>Ending Balance (Actual from B/S)</t>
  </si>
  <si>
    <t>Total Combined</t>
  </si>
  <si>
    <t>% COGS</t>
  </si>
  <si>
    <t>% SG&amp;A</t>
  </si>
  <si>
    <t>Depreciation in COGS</t>
  </si>
  <si>
    <t>Depreciation in SG&amp;A</t>
  </si>
  <si>
    <t>Total Depreciation</t>
  </si>
  <si>
    <t>Clean COGS</t>
  </si>
  <si>
    <t>Clean SG&amp;A</t>
  </si>
  <si>
    <t>Clean COGS (as % of sales)</t>
  </si>
  <si>
    <t>Clean SG&amp;A (as % of sales)</t>
  </si>
  <si>
    <t>Capital Expenditures (as % of sales)</t>
  </si>
  <si>
    <t>Shareholder Info</t>
  </si>
  <si>
    <t>Dividend Payout Ratio (Dividends / Net Income)</t>
  </si>
  <si>
    <t>Historical</t>
  </si>
  <si>
    <t>Projected</t>
  </si>
  <si>
    <t>SHORT-TERM DEBT</t>
  </si>
  <si>
    <t>Interest Rate</t>
  </si>
  <si>
    <t>Average Balance</t>
  </si>
  <si>
    <t>Interest Expense</t>
  </si>
  <si>
    <t>LONG-TERM DEBT</t>
  </si>
  <si>
    <t>CASH</t>
  </si>
  <si>
    <t>Summary</t>
  </si>
  <si>
    <t>LT Debt Interest</t>
  </si>
  <si>
    <t>ST Debt Interest</t>
  </si>
  <si>
    <t>Interest Expense Summary</t>
  </si>
  <si>
    <t>Total Interest Expense</t>
  </si>
  <si>
    <t>ST Debt</t>
  </si>
  <si>
    <t>LT Debt</t>
  </si>
  <si>
    <t>Total Debt</t>
  </si>
  <si>
    <t>Required CASH</t>
  </si>
  <si>
    <t>EXCESS CASH</t>
  </si>
  <si>
    <t>Total CASH</t>
  </si>
  <si>
    <t>Interest Income</t>
  </si>
  <si>
    <t>Cash Flow from Operations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</si>
  <si>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  <family val="2"/>
      </rPr>
      <t xml:space="preserve"> in Operating Working Capital</t>
    </r>
  </si>
  <si>
    <t>Total Cash Flow from Operations</t>
  </si>
  <si>
    <t>Operating Working Capital ((CA-Cash) - (CL - ST Debt))</t>
  </si>
  <si>
    <t>Total Operating Assets</t>
  </si>
  <si>
    <t>Total Operating Liabilities</t>
  </si>
  <si>
    <t>Operating Assets (Cash Flow)</t>
  </si>
  <si>
    <t>Operating Liabilities (Cash Flow)</t>
  </si>
  <si>
    <t>Operating Working Capital (Cash Flow)</t>
  </si>
  <si>
    <t>Cash Flow from Investing</t>
  </si>
  <si>
    <t>Capital Expenditures</t>
  </si>
  <si>
    <t>Total Cash Flow from Investing</t>
  </si>
  <si>
    <t>Cash Flow from Financing</t>
  </si>
  <si>
    <t>Dividends</t>
  </si>
  <si>
    <t>Total Cash Flow from Financing</t>
  </si>
  <si>
    <r>
      <t>Net Cash Flow (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Libre Franklin"/>
      </rPr>
      <t xml:space="preserve"> in Cash)</t>
    </r>
  </si>
  <si>
    <t>Cash Analysis</t>
  </si>
  <si>
    <t>Beginning Cash</t>
  </si>
  <si>
    <t>Change in Cash from CFS</t>
  </si>
  <si>
    <t>Net Cash Available at end of year</t>
  </si>
  <si>
    <t>EXCESS CASH / (REVOLVER)</t>
  </si>
  <si>
    <t>WD-40 Cash Flow Statement</t>
  </si>
  <si>
    <t>kd</t>
  </si>
  <si>
    <t>Tax Rate</t>
  </si>
  <si>
    <t>Debt</t>
  </si>
  <si>
    <t>Equity</t>
  </si>
  <si>
    <t>Total Cap</t>
  </si>
  <si>
    <t>Rf Rate</t>
  </si>
  <si>
    <t>Beta</t>
  </si>
  <si>
    <t>MRP</t>
  </si>
  <si>
    <t>Actual Capital Structure</t>
  </si>
  <si>
    <t>Target Capital Structure</t>
  </si>
  <si>
    <t>WACC</t>
  </si>
  <si>
    <r>
      <t>WACC = [((kd*(1-T)*(D/(D+E)))+(</t>
    </r>
    <r>
      <rPr>
        <b/>
        <u/>
        <sz val="11"/>
        <rFont val="Libre Franklin"/>
      </rPr>
      <t>ke</t>
    </r>
    <r>
      <rPr>
        <sz val="11"/>
        <rFont val="Libre Franklin"/>
      </rPr>
      <t>*(E/(D+E))]</t>
    </r>
  </si>
  <si>
    <r>
      <t>WACC = [((kd*(1-T)*(D/(D+E)))+((</t>
    </r>
    <r>
      <rPr>
        <b/>
        <u/>
        <sz val="11"/>
        <rFont val="Libre Franklin"/>
      </rPr>
      <t>Rf+B*(Rm-Rf)</t>
    </r>
    <r>
      <rPr>
        <sz val="11"/>
        <rFont val="Libre Franklin"/>
      </rPr>
      <t>)*(E/(D+E))]</t>
    </r>
  </si>
  <si>
    <t>FD Shares Out</t>
  </si>
  <si>
    <t>Market Cap</t>
  </si>
  <si>
    <t>Current</t>
  </si>
  <si>
    <t>Rate</t>
  </si>
  <si>
    <t>OCF</t>
  </si>
  <si>
    <t>Std dev</t>
  </si>
  <si>
    <t>Average</t>
  </si>
  <si>
    <t>Source: WDFC, 10Q, 11/30/24, pg. 14</t>
  </si>
  <si>
    <t>Diluted Shares Out</t>
  </si>
  <si>
    <t>Stock Price</t>
  </si>
  <si>
    <t>Total Capital</t>
  </si>
  <si>
    <t>Debt / Total Capital</t>
  </si>
  <si>
    <t>3-year avg</t>
  </si>
  <si>
    <t>5-year avg</t>
  </si>
  <si>
    <t>7-year avg</t>
  </si>
  <si>
    <t>10-year avg</t>
  </si>
  <si>
    <t>MIN</t>
  </si>
  <si>
    <t>MAX</t>
  </si>
  <si>
    <t>Output</t>
  </si>
  <si>
    <t>Operating lease inputs</t>
  </si>
  <si>
    <t>Operating lease expense in current year =</t>
  </si>
  <si>
    <t>Operating Lease Commitments (From footnote to financials)</t>
  </si>
  <si>
    <t>Year</t>
  </si>
  <si>
    <t>Commitment</t>
  </si>
  <si>
    <t>! Year 1 is next year, ….</t>
  </si>
  <si>
    <t>6 and beyond</t>
  </si>
  <si>
    <t>Pre-tax Cost of Debt =</t>
  </si>
  <si>
    <t>! If you do not have a cost of debt, use the attached ratings estimator</t>
  </si>
  <si>
    <t>From the current financial statements, enter the following</t>
  </si>
  <si>
    <t>Reported Operating Income (EBIT) =</t>
  </si>
  <si>
    <t>! This is the EBIT reported in the current income statement</t>
  </si>
  <si>
    <t>Reported Debt =</t>
  </si>
  <si>
    <t>! This is the interest-bearing debt reported on the balance sheet</t>
  </si>
  <si>
    <t>Reported Interest Expenses =</t>
  </si>
  <si>
    <t>Number of years embedded in yr 6 estimate =</t>
  </si>
  <si>
    <t>! I use the average lease expense over the first five years</t>
  </si>
  <si>
    <t>to estimate the number of years of expenses in yr 6</t>
  </si>
  <si>
    <t>Converting Operating Leases into debt</t>
  </si>
  <si>
    <t>Present Value</t>
  </si>
  <si>
    <t>! Commitment beyond year 6 converted into an annuity for ten years</t>
  </si>
  <si>
    <t>Debt Value of leases =</t>
  </si>
  <si>
    <t>Restated Financials</t>
  </si>
  <si>
    <t>Operating Income with Operating leases reclassified as debt =</t>
  </si>
  <si>
    <t>Debt with Operating leases reclassified as debt =</t>
  </si>
  <si>
    <t>Full Operating lease adjustment</t>
  </si>
  <si>
    <t>Reported Operating income =</t>
  </si>
  <si>
    <t xml:space="preserve"> + Current year's operating lease expense =</t>
  </si>
  <si>
    <t xml:space="preserve"> - Depreciation on leased asset =</t>
  </si>
  <si>
    <t>Adjusted Operating Income</t>
  </si>
  <si>
    <t>DCF Valuation</t>
  </si>
  <si>
    <t>EBIT</t>
  </si>
  <si>
    <t>Other income (expense), net</t>
  </si>
  <si>
    <t>Taxes</t>
  </si>
  <si>
    <t>EBIAT (NOPAT)</t>
  </si>
  <si>
    <t>Unlevered FCFs</t>
  </si>
  <si>
    <t>Terminal Value</t>
  </si>
  <si>
    <t>Growth rate</t>
  </si>
  <si>
    <t>Discount rate (WACC)</t>
  </si>
  <si>
    <t>Today</t>
  </si>
  <si>
    <t>Year End</t>
  </si>
  <si>
    <t>Diff</t>
  </si>
  <si>
    <t>Factor</t>
  </si>
  <si>
    <t>Discounting Model</t>
  </si>
  <si>
    <t>Mid-year convention</t>
  </si>
  <si>
    <t>YES</t>
  </si>
  <si>
    <t>Year count</t>
  </si>
  <si>
    <t>Discount denominator</t>
  </si>
  <si>
    <t>PV of Free Cash Flow</t>
  </si>
  <si>
    <t>PV of FCFs</t>
  </si>
  <si>
    <t>PV of Terminal Value</t>
  </si>
  <si>
    <t>TEV (Total Enterprise Value)</t>
  </si>
  <si>
    <t>Long-term debt</t>
  </si>
  <si>
    <t>Total debt</t>
  </si>
  <si>
    <t>Required Cash</t>
  </si>
  <si>
    <t>Excess Cash</t>
  </si>
  <si>
    <t>Total cash</t>
  </si>
  <si>
    <t>Convertibles / Preferred Stock</t>
  </si>
  <si>
    <t>Minority Interests</t>
  </si>
  <si>
    <t>Equity Value</t>
  </si>
  <si>
    <t>Diluted Shares Outstanding</t>
  </si>
  <si>
    <t>Value per share</t>
  </si>
  <si>
    <t>Current Price</t>
  </si>
  <si>
    <t>Rating</t>
  </si>
  <si>
    <t>Premium / (Discount) to Intrinsic Value</t>
  </si>
  <si>
    <t>SELL</t>
  </si>
  <si>
    <t>Associate Investments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</si>
  <si>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</rPr>
      <t xml:space="preserve"> in Operating Working Capital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</si>
  <si>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</rPr>
      <t xml:space="preserve"> in Other Non-Current Liabilities</t>
    </r>
  </si>
  <si>
    <t>Trading Comparables</t>
  </si>
  <si>
    <t>(in thousands)</t>
  </si>
  <si>
    <t>Ticker</t>
  </si>
  <si>
    <t>Company</t>
  </si>
  <si>
    <t xml:space="preserve"># of </t>
  </si>
  <si>
    <t>Wgthd Avg</t>
  </si>
  <si>
    <t>In the</t>
  </si>
  <si>
    <t xml:space="preserve">Shares in </t>
  </si>
  <si>
    <t>Options Ex</t>
  </si>
  <si>
    <t>Strike Price</t>
  </si>
  <si>
    <t>Price</t>
  </si>
  <si>
    <t>Money?</t>
  </si>
  <si>
    <t>the money</t>
  </si>
  <si>
    <t>Shares Out</t>
  </si>
  <si>
    <t>Options Ex.</t>
  </si>
  <si>
    <t>FD Equity Value</t>
  </si>
  <si>
    <t>Cash</t>
  </si>
  <si>
    <t>Net Debt</t>
  </si>
  <si>
    <t>Preferreds/Convertibles</t>
  </si>
  <si>
    <t>TEV</t>
  </si>
  <si>
    <t>Sales (P/S)</t>
  </si>
  <si>
    <t>LTM</t>
  </si>
  <si>
    <t>Annualized Stub</t>
  </si>
  <si>
    <t>EBITDA (TEV/EBITDA)</t>
  </si>
  <si>
    <t>Earnings (P/E)</t>
  </si>
  <si>
    <t>Sales</t>
  </si>
  <si>
    <t>Op Income</t>
  </si>
  <si>
    <t>D&amp;A</t>
  </si>
  <si>
    <t>Capex</t>
  </si>
  <si>
    <t>FCF</t>
  </si>
  <si>
    <t>FCF (P/FCF)</t>
  </si>
  <si>
    <t>Note:  FCF = EBITDA - Capex</t>
  </si>
  <si>
    <t>Source:  SEC Filings and Yahoo! Finance</t>
  </si>
  <si>
    <t>1H</t>
  </si>
  <si>
    <t>EBT</t>
  </si>
  <si>
    <t>Other income, net</t>
  </si>
  <si>
    <t>Depreciation &amp; Amortization</t>
  </si>
  <si>
    <t>Strike</t>
  </si>
  <si>
    <t>Value per</t>
  </si>
  <si>
    <t>Option</t>
  </si>
  <si>
    <t># of Shs</t>
  </si>
  <si>
    <t>per option</t>
  </si>
  <si>
    <t>NEW</t>
  </si>
  <si>
    <t>SHARES</t>
  </si>
  <si>
    <t># of</t>
  </si>
  <si>
    <t>options</t>
  </si>
  <si>
    <t>1Q24</t>
  </si>
  <si>
    <t>2Q24</t>
  </si>
  <si>
    <t>3Q24</t>
  </si>
  <si>
    <t>4Q24</t>
  </si>
  <si>
    <t>1Q25</t>
  </si>
  <si>
    <t>2Q25</t>
  </si>
  <si>
    <t>Size</t>
  </si>
  <si>
    <t>COGS</t>
  </si>
  <si>
    <t>Gross Profit</t>
  </si>
  <si>
    <t>Receivables</t>
  </si>
  <si>
    <t>Accounts Payable</t>
  </si>
  <si>
    <t>Assets</t>
  </si>
  <si>
    <t>Profitability</t>
  </si>
  <si>
    <t>Sales growth</t>
  </si>
  <si>
    <t>Gross margin</t>
  </si>
  <si>
    <t>Profit margin</t>
  </si>
  <si>
    <t>Total Assets (AVG)</t>
  </si>
  <si>
    <t>Asset Utilization</t>
  </si>
  <si>
    <t>ROA</t>
  </si>
  <si>
    <t>Common Equity (AVG)</t>
  </si>
  <si>
    <t>Leverage</t>
  </si>
  <si>
    <t>ROE</t>
  </si>
  <si>
    <t>NOPAT</t>
  </si>
  <si>
    <t>Total Capital (AVG)</t>
  </si>
  <si>
    <t>ROIC</t>
  </si>
  <si>
    <t>Payout ratio</t>
  </si>
  <si>
    <t>Leverage &amp; Coverage</t>
  </si>
  <si>
    <t>Debt to Total Capital</t>
  </si>
  <si>
    <t>Debt to EBITDA</t>
  </si>
  <si>
    <t>FCF / Interest</t>
  </si>
  <si>
    <t>Working Capital</t>
  </si>
  <si>
    <t>Capex Intensity</t>
  </si>
  <si>
    <t>Revenues per day</t>
  </si>
  <si>
    <t>Receivables (AVG)</t>
  </si>
  <si>
    <t>Days Sales Outstanding</t>
  </si>
  <si>
    <t>COGS per day</t>
  </si>
  <si>
    <t>Inventories (AVG)</t>
  </si>
  <si>
    <t>Days Inventory Outstanding</t>
  </si>
  <si>
    <t>Payables (AVG)</t>
  </si>
  <si>
    <t>Days Payables Outstanding</t>
  </si>
  <si>
    <t>Cash Conversion Cycle</t>
  </si>
  <si>
    <t>Note:  FCF Defined as EBITDA less Capex</t>
  </si>
  <si>
    <t>Terminal growth</t>
  </si>
  <si>
    <t>Cost of Equity (Rf + Beta x MRP)</t>
  </si>
  <si>
    <t>Growth (perpetuity)</t>
  </si>
  <si>
    <t>Dividend per share</t>
  </si>
  <si>
    <t>Current Price (4/10/25)</t>
  </si>
  <si>
    <t>Assumptions</t>
  </si>
  <si>
    <t>Calcs</t>
  </si>
  <si>
    <t>Cash Flow Statement</t>
  </si>
  <si>
    <t>Trading Comps</t>
  </si>
  <si>
    <t>Transaction Comps</t>
  </si>
  <si>
    <t>AVP</t>
  </si>
  <si>
    <t>Author: Cooper Hamlin</t>
  </si>
  <si>
    <t>MCD Financial Model</t>
  </si>
  <si>
    <t>MCD Debt Schedule</t>
  </si>
  <si>
    <t>MCD Assumptions</t>
  </si>
  <si>
    <t>MCD Calculations</t>
  </si>
  <si>
    <t>MCD Income Statement</t>
  </si>
  <si>
    <t>MCD Balance Sheet</t>
  </si>
  <si>
    <t>MCD - Summary</t>
  </si>
  <si>
    <t>Revenues from franchised restaurants</t>
  </si>
  <si>
    <t>Sales by Company-owned and operated restaurants</t>
  </si>
  <si>
    <t>Other revenues</t>
  </si>
  <si>
    <t>Total revenues</t>
  </si>
  <si>
    <t>Franchised restaurants-occupancy expenses</t>
  </si>
  <si>
    <t>Food &amp; paper</t>
  </si>
  <si>
    <t>Payroll &amp; employee benefits</t>
  </si>
  <si>
    <t>Occupancy &amp; other operating expenses</t>
  </si>
  <si>
    <t>Other restaurant expenses</t>
  </si>
  <si>
    <t>Other operating (income) expense, net</t>
  </si>
  <si>
    <t>(USD in millions, except per share data)</t>
  </si>
  <si>
    <t>($ in millions)</t>
  </si>
  <si>
    <t>Interest expense-net of capitalized interest</t>
  </si>
  <si>
    <t>Nonoperating (income) expense, net</t>
  </si>
  <si>
    <t>Income before provision for income taxes</t>
  </si>
  <si>
    <t>Cash and equivalents</t>
  </si>
  <si>
    <t>Accounts and notes receivable</t>
  </si>
  <si>
    <t>Inventories, at cost, not in excess of market</t>
  </si>
  <si>
    <t>Prepaid expenses and other current assets</t>
  </si>
  <si>
    <t>Assets of businesses held for sale</t>
  </si>
  <si>
    <t>Investments in and advances to affiliates</t>
  </si>
  <si>
    <t>Miscellaneous</t>
  </si>
  <si>
    <t>Property and equipment, at cost</t>
  </si>
  <si>
    <t>Accumulated depreciation and amortization</t>
  </si>
  <si>
    <t>Income taxes</t>
  </si>
  <si>
    <t>Other taxes</t>
  </si>
  <si>
    <t>Accrued interest</t>
  </si>
  <si>
    <t>Accrued payroll and other liabilities</t>
  </si>
  <si>
    <t>Deferred income taxes</t>
  </si>
  <si>
    <t>Accumulated other comprehensive income</t>
  </si>
  <si>
    <t xml:space="preserve">Common stock, $.01 par value; authorized </t>
  </si>
  <si>
    <t>Total shareholders’ equity</t>
  </si>
  <si>
    <t>Common stock in treasury, at cost</t>
  </si>
  <si>
    <t>Current maturities of long-term debt</t>
  </si>
  <si>
    <t>Liabilities of businesses held for sale</t>
  </si>
  <si>
    <t>Long-term income taxes</t>
  </si>
  <si>
    <t>Deferred revenues - initial franchise fees</t>
  </si>
  <si>
    <t>Long-term lease liability</t>
  </si>
  <si>
    <t>Lease right-of-use asset, net</t>
  </si>
  <si>
    <t>Lease liability</t>
  </si>
  <si>
    <t>Stock Options Excercised</t>
  </si>
  <si>
    <t>Adoption of ASC and ASU</t>
  </si>
  <si>
    <t>Total Cogs</t>
  </si>
  <si>
    <t xml:space="preserve">Total Depreciation &amp; Ammortization </t>
  </si>
  <si>
    <t>D&amp;A in SG&amp;A</t>
  </si>
  <si>
    <t>Depreciation and amortization in SG&amp;A</t>
  </si>
  <si>
    <t>Depreciation and amortization in COGS</t>
  </si>
  <si>
    <t>Total Depreciation &amp; Amortization (from CFS)</t>
  </si>
  <si>
    <t>D&amp;A in COGS</t>
  </si>
  <si>
    <t xml:space="preserve">Clean SG&amp;A </t>
  </si>
  <si>
    <t>Operating Income (EBIT)</t>
  </si>
  <si>
    <t>Sanity Check</t>
  </si>
  <si>
    <t>Other operating (income) expense, net (as % of sales)</t>
  </si>
  <si>
    <t>Total D&amp;A</t>
  </si>
  <si>
    <t>Total D&amp;A (as % of sales)</t>
  </si>
  <si>
    <t>Nonoperating (income) expense, net (as % of sales)</t>
  </si>
  <si>
    <t xml:space="preserve">Provision for income taxes (Taxes / EBT) </t>
  </si>
  <si>
    <t>Prepaid expenses and other current assets (as % of sales)</t>
  </si>
  <si>
    <t>Accounts receivable, net (as % of sales)</t>
  </si>
  <si>
    <t>Investments in and advances to affiliates (as % of sales)</t>
  </si>
  <si>
    <t>Goodwill (actual)</t>
  </si>
  <si>
    <t>Lease right-of-use asset, net (Actual)</t>
  </si>
  <si>
    <t>Net PP&amp;E</t>
  </si>
  <si>
    <t>Depreciation and Amortization (as % of sales)</t>
  </si>
  <si>
    <t>Accounts payable (as % of COGS)</t>
  </si>
  <si>
    <t>Lease liability (as % of sales)</t>
  </si>
  <si>
    <t>Income taxes (as % of sales)</t>
  </si>
  <si>
    <t>Other taxes (as % of sales)</t>
  </si>
  <si>
    <t>Other long-term liabilities (as % of sales)</t>
  </si>
  <si>
    <t>Deferred income taxes (Actual)</t>
  </si>
  <si>
    <t>Long-term income taxes (Actual)</t>
  </si>
  <si>
    <t>Long-term lease liability (Actual)</t>
  </si>
  <si>
    <t>Accrued payroll and other liabilities (as % of sales)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</si>
  <si>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  <family val="2"/>
      </rPr>
      <t xml:space="preserve"> in Miscellaneous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</si>
  <si>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  <family val="2"/>
      </rPr>
      <t xml:space="preserve"> in Investments in and advances from affiliates</t>
    </r>
  </si>
  <si>
    <t>Depreciation &amp; Ammortization</t>
  </si>
  <si>
    <t>MCD Price (5/5/25)</t>
  </si>
  <si>
    <t>WACC - MCD</t>
  </si>
  <si>
    <t>MCD</t>
  </si>
  <si>
    <t>McDonalds</t>
  </si>
  <si>
    <t>Price (as of 5/5/25)</t>
  </si>
  <si>
    <t>YUM</t>
  </si>
  <si>
    <t>YUM Brands</t>
  </si>
  <si>
    <t>Fixed US</t>
  </si>
  <si>
    <t>Floating US</t>
  </si>
  <si>
    <t>Fixed EURO</t>
  </si>
  <si>
    <t>Floating EURO</t>
  </si>
  <si>
    <t>Fixed Australian</t>
  </si>
  <si>
    <t>Floatin Australian</t>
  </si>
  <si>
    <t>Fixed Pound</t>
  </si>
  <si>
    <t>Fixed Yen</t>
  </si>
  <si>
    <t>Fixed Canadian</t>
  </si>
  <si>
    <t>Long Term Debt (Total)</t>
  </si>
  <si>
    <t>Fixed Other</t>
  </si>
  <si>
    <t>Floating Other</t>
  </si>
  <si>
    <t>Fair Value Adjustments</t>
  </si>
  <si>
    <t>Deferred Debt Costs</t>
  </si>
  <si>
    <t>Other Debt Costs</t>
  </si>
  <si>
    <t>New Revolver</t>
  </si>
  <si>
    <t>Fixed US (Ending)</t>
  </si>
  <si>
    <t>Floating US (Ending)</t>
  </si>
  <si>
    <t>Fixed Australian (Ending)</t>
  </si>
  <si>
    <t>Floating EURO (Ending)</t>
  </si>
  <si>
    <t>Floatign Other (Ending)</t>
  </si>
  <si>
    <t>Fixed Other (Ending)</t>
  </si>
  <si>
    <t>Fixed Yen (Ending)</t>
  </si>
  <si>
    <t>Fixed Canadian (Ending)</t>
  </si>
  <si>
    <t>Fixed Pound (Ending)</t>
  </si>
  <si>
    <t>Paydown (29 years) Ends 2053</t>
  </si>
  <si>
    <t>Paydown (11 years) Ends 2035</t>
  </si>
  <si>
    <t>Paydown (4 years) Ends 2029</t>
  </si>
  <si>
    <t>Paydown (27 years) Ends 2054</t>
  </si>
  <si>
    <t>Paydown (6 years) Ends 2031</t>
  </si>
  <si>
    <t>Paydown (1 years) Ends 2030</t>
  </si>
  <si>
    <t>Paydown (8 years) Ends 2032</t>
  </si>
  <si>
    <t>Share Repurchases</t>
  </si>
  <si>
    <t>Miscellaneous (as % of Sales)</t>
  </si>
  <si>
    <t>Floating Australian</t>
  </si>
  <si>
    <t xml:space="preserve">Interest  (Income) </t>
  </si>
  <si>
    <t xml:space="preserve"> 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</si>
  <si>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Libre Franklin"/>
        <family val="2"/>
      </rPr>
      <t xml:space="preserve"> in Other Long Term Liabilites</t>
    </r>
  </si>
  <si>
    <t xml:space="preserve">Cash and equivalents (Required) </t>
  </si>
  <si>
    <t>Stable</t>
  </si>
  <si>
    <t>CF Ops</t>
  </si>
  <si>
    <t>Investing</t>
  </si>
  <si>
    <t>Other Debt Costs`</t>
  </si>
  <si>
    <t>MCD Options Calc</t>
  </si>
  <si>
    <t>Source: MCD, 10Q, 12/31/24, pg. 63</t>
  </si>
  <si>
    <t>YUM Options Calc</t>
  </si>
  <si>
    <t>MCD LTM Calc</t>
  </si>
  <si>
    <t>Full Year</t>
  </si>
  <si>
    <t>Source:  MCD, 10k, 12/31/24, pgs. 40-44</t>
  </si>
  <si>
    <t>Note:  Prices as of market close (5/9/25). FCF = EBITDA - Capex.</t>
  </si>
  <si>
    <t>YUM - LTM Calculations</t>
  </si>
  <si>
    <t>Source: YUM, 10K, 12/31/24, pg. 95</t>
  </si>
  <si>
    <t>QSR</t>
  </si>
  <si>
    <t>Restaurant Brands</t>
  </si>
  <si>
    <t>Wendys</t>
  </si>
  <si>
    <t>WEN</t>
  </si>
  <si>
    <t>QSR - LTM Calculations</t>
  </si>
  <si>
    <t>WEN - LTM Calculations</t>
  </si>
  <si>
    <t>QSR Options Calc</t>
  </si>
  <si>
    <t>WEN Options Calc</t>
  </si>
  <si>
    <t>HOLD</t>
  </si>
  <si>
    <t>Financing</t>
  </si>
  <si>
    <t>Capex=</t>
  </si>
  <si>
    <t>D&amp;A=</t>
  </si>
  <si>
    <t>Total</t>
  </si>
  <si>
    <t>NI</t>
  </si>
  <si>
    <t>excluding revolver</t>
  </si>
  <si>
    <t>Actual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</si>
</sst>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m/d/yy;@"/>
    <numFmt numFmtId="165" formatCode="#,##0.000_);\(#,##0.000\)"/>
    <numFmt numFmtId="166" formatCode="0.0%;\(0.0%\)"/>
    <numFmt numFmtId="167" formatCode="#,##0.0_);\(#,##0.0\)"/>
    <numFmt numFmtId="168" formatCode="0.00%;\(0.00%\)"/>
    <numFmt numFmtId="169" formatCode="&quot;$&quot;#,##0"/>
    <numFmt numFmtId="170" formatCode="&quot;$&quot;#,##0.00"/>
    <numFmt numFmtId="171" formatCode="0.0&quot;x&quot;;\(0.0&quot;x&quot;\)"/>
    <numFmt numFmtId="172" formatCode="0.00&quot;x&quot;;\(0.00&quot;x&quot;\)"/>
  </numFmts>
  <fonts count="39">
    <font>
      <sz val="11"/>
      <color theme="1"/>
      <name val="Libre Franklin"/>
      <family val="2"/>
    </font>
    <font>
      <b/>
      <sz val="11"/>
      <color theme="1"/>
      <name val="Libre Franklin"/>
    </font>
    <font>
      <b/>
      <sz val="24"/>
      <color theme="1"/>
      <name val="Libre Franklin"/>
    </font>
    <font>
      <i/>
      <sz val="11"/>
      <color theme="1"/>
      <name val="Libre Franklin"/>
    </font>
    <font>
      <sz val="11"/>
      <color rgb="FF0070C0"/>
      <name val="Libre Franklin"/>
      <family val="2"/>
    </font>
    <font>
      <sz val="11"/>
      <color theme="1"/>
      <name val="Libre Franklin"/>
    </font>
    <font>
      <sz val="11"/>
      <color rgb="FF0070C0"/>
      <name val="Libre Frankli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u/>
      <sz val="11"/>
      <color theme="1"/>
      <name val="Libre Franklin"/>
    </font>
    <font>
      <sz val="11"/>
      <color rgb="FF00B050"/>
      <name val="Libre Franklin"/>
      <family val="2"/>
    </font>
    <font>
      <b/>
      <sz val="11"/>
      <color rgb="FF00B050"/>
      <name val="Libre Franklin"/>
    </font>
    <font>
      <sz val="11"/>
      <color rgb="FF00B050"/>
      <name val="Libre Franklin"/>
    </font>
    <font>
      <sz val="11"/>
      <name val="Libre Franklin"/>
      <family val="2"/>
    </font>
    <font>
      <sz val="11"/>
      <name val="Libre Franklin"/>
    </font>
    <font>
      <sz val="11"/>
      <color theme="1"/>
      <name val="Symbol"/>
      <family val="1"/>
      <charset val="2"/>
    </font>
    <font>
      <sz val="11"/>
      <color theme="1"/>
      <name val="Libre Franklin"/>
      <family val="1"/>
      <charset val="2"/>
    </font>
    <font>
      <b/>
      <sz val="11"/>
      <color theme="1"/>
      <name val="Symbol"/>
      <family val="1"/>
      <charset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20"/>
      <name val="Libre Franklin"/>
    </font>
    <font>
      <sz val="10"/>
      <name val="Libre Franklin"/>
    </font>
    <font>
      <b/>
      <u/>
      <sz val="11"/>
      <name val="Libre Franklin"/>
    </font>
    <font>
      <b/>
      <sz val="10"/>
      <name val="Libre Franklin"/>
    </font>
    <font>
      <sz val="10"/>
      <color rgb="FF00B050"/>
      <name val="Libre Franklin"/>
    </font>
    <font>
      <sz val="10"/>
      <color rgb="FF0070C0"/>
      <name val="Libre Franklin"/>
    </font>
    <font>
      <b/>
      <sz val="11"/>
      <name val="Libre Franklin"/>
    </font>
    <font>
      <i/>
      <sz val="11"/>
      <name val="Libre Franklin"/>
    </font>
    <font>
      <b/>
      <sz val="11"/>
      <color rgb="FF0070C0"/>
      <name val="Libre Franklin"/>
    </font>
    <font>
      <sz val="10"/>
      <name val="Geneva"/>
      <charset val="1"/>
    </font>
    <font>
      <sz val="10"/>
      <name val="Geneva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i/>
      <sz val="10"/>
      <name val="Times"/>
      <family val="1"/>
    </font>
    <font>
      <b/>
      <sz val="9"/>
      <color indexed="81"/>
      <name val="Geneva"/>
      <family val="2"/>
      <charset val="1"/>
    </font>
    <font>
      <sz val="9"/>
      <color indexed="81"/>
      <name val="Geneva"/>
      <family val="2"/>
      <charset val="1"/>
    </font>
    <font>
      <sz val="11"/>
      <color theme="1"/>
      <name val="Libre Franklin"/>
      <family val="2"/>
    </font>
    <font>
      <sz val="11"/>
      <color theme="8" tint="0.59999389629810485"/>
      <name val="Libre Franklin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 style="thick">
        <color theme="0"/>
      </right>
      <top/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auto="1"/>
      </top>
      <bottom/>
      <diagonal/>
    </border>
    <border>
      <left style="thick">
        <color theme="0"/>
      </left>
      <right style="thick">
        <color theme="0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theme="0"/>
      </left>
      <right/>
      <top/>
      <bottom style="thin">
        <color auto="1"/>
      </bottom>
      <diagonal/>
    </border>
    <border>
      <left/>
      <right style="thick">
        <color theme="0"/>
      </right>
      <top style="thin">
        <color auto="1"/>
      </top>
      <bottom/>
      <diagonal/>
    </border>
    <border>
      <left style="medium">
        <color theme="0"/>
      </left>
      <right style="medium">
        <color theme="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167" fontId="19" fillId="0" borderId="0" applyFont="0" applyFill="0" applyBorder="0" applyAlignment="0">
      <protection locked="0"/>
    </xf>
    <xf numFmtId="0" fontId="20" fillId="0" borderId="0"/>
    <xf numFmtId="0" fontId="30" fillId="0" borderId="0"/>
    <xf numFmtId="44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7" fillId="0" borderId="0"/>
  </cellStyleXfs>
  <cellXfs count="2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3" fillId="0" borderId="0" xfId="0" applyFo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5" fontId="4" fillId="0" borderId="0" xfId="0" applyNumberFormat="1" applyFont="1"/>
    <xf numFmtId="37" fontId="4" fillId="0" borderId="0" xfId="0" applyNumberFormat="1" applyFont="1"/>
    <xf numFmtId="5" fontId="1" fillId="0" borderId="5" xfId="0" applyNumberFormat="1" applyFont="1" applyBorder="1"/>
    <xf numFmtId="5" fontId="1" fillId="0" borderId="6" xfId="0" applyNumberFormat="1" applyFont="1" applyBorder="1"/>
    <xf numFmtId="165" fontId="3" fillId="0" borderId="0" xfId="0" applyNumberFormat="1" applyFont="1"/>
    <xf numFmtId="0" fontId="0" fillId="0" borderId="0" xfId="0" applyAlignment="1">
      <alignment horizontal="left" indent="1"/>
    </xf>
    <xf numFmtId="7" fontId="0" fillId="0" borderId="0" xfId="0" applyNumberFormat="1"/>
    <xf numFmtId="0" fontId="5" fillId="0" borderId="0" xfId="0" applyFont="1"/>
    <xf numFmtId="5" fontId="6" fillId="0" borderId="0" xfId="0" applyNumberFormat="1" applyFont="1"/>
    <xf numFmtId="37" fontId="6" fillId="0" borderId="0" xfId="0" applyNumberFormat="1" applyFont="1"/>
    <xf numFmtId="164" fontId="1" fillId="0" borderId="0" xfId="0" applyNumberFormat="1" applyFont="1" applyAlignment="1">
      <alignment horizontal="center"/>
    </xf>
    <xf numFmtId="37" fontId="0" fillId="0" borderId="0" xfId="0" applyNumberFormat="1"/>
    <xf numFmtId="0" fontId="10" fillId="0" borderId="0" xfId="0" applyFont="1"/>
    <xf numFmtId="166" fontId="0" fillId="0" borderId="0" xfId="0" applyNumberForma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/>
    </xf>
    <xf numFmtId="5" fontId="11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37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5" fontId="11" fillId="0" borderId="0" xfId="0" applyNumberFormat="1" applyFont="1"/>
    <xf numFmtId="5" fontId="0" fillId="0" borderId="0" xfId="0" applyNumberFormat="1"/>
    <xf numFmtId="37" fontId="11" fillId="0" borderId="0" xfId="0" applyNumberFormat="1" applyFont="1"/>
    <xf numFmtId="39" fontId="3" fillId="0" borderId="0" xfId="0" applyNumberFormat="1" applyFont="1"/>
    <xf numFmtId="5" fontId="12" fillId="0" borderId="5" xfId="0" applyNumberFormat="1" applyFont="1" applyBorder="1"/>
    <xf numFmtId="37" fontId="13" fillId="0" borderId="0" xfId="0" applyNumberFormat="1" applyFont="1"/>
    <xf numFmtId="37" fontId="5" fillId="0" borderId="0" xfId="0" applyNumberFormat="1" applyFont="1"/>
    <xf numFmtId="0" fontId="5" fillId="0" borderId="0" xfId="0" applyFont="1" applyAlignment="1">
      <alignment horizontal="left"/>
    </xf>
    <xf numFmtId="0" fontId="1" fillId="0" borderId="7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5" xfId="0" applyBorder="1"/>
    <xf numFmtId="166" fontId="11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5" fontId="14" fillId="0" borderId="0" xfId="0" applyNumberFormat="1" applyFont="1"/>
    <xf numFmtId="37" fontId="14" fillId="0" borderId="0" xfId="0" applyNumberFormat="1" applyFont="1"/>
    <xf numFmtId="5" fontId="15" fillId="0" borderId="0" xfId="0" applyNumberFormat="1" applyFont="1"/>
    <xf numFmtId="0" fontId="5" fillId="0" borderId="12" xfId="0" applyFont="1" applyBorder="1"/>
    <xf numFmtId="0" fontId="1" fillId="2" borderId="1" xfId="0" applyFont="1" applyFill="1" applyBorder="1"/>
    <xf numFmtId="37" fontId="1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4" borderId="1" xfId="0" applyFont="1" applyFill="1" applyBorder="1" applyAlignment="1">
      <alignment horizontal="center"/>
    </xf>
    <xf numFmtId="5" fontId="14" fillId="0" borderId="0" xfId="0" applyNumberFormat="1" applyFont="1" applyAlignment="1">
      <alignment vertical="center"/>
    </xf>
    <xf numFmtId="5" fontId="1" fillId="0" borderId="0" xfId="0" applyNumberFormat="1" applyFont="1"/>
    <xf numFmtId="167" fontId="21" fillId="0" borderId="2" xfId="1" applyFont="1" applyBorder="1">
      <protection locked="0"/>
    </xf>
    <xf numFmtId="167" fontId="22" fillId="0" borderId="3" xfId="1" applyFont="1" applyBorder="1">
      <protection locked="0"/>
    </xf>
    <xf numFmtId="167" fontId="22" fillId="0" borderId="0" xfId="1" applyFont="1">
      <protection locked="0"/>
    </xf>
    <xf numFmtId="0" fontId="15" fillId="0" borderId="0" xfId="2" applyFont="1" applyProtection="1">
      <protection locked="0"/>
    </xf>
    <xf numFmtId="167" fontId="24" fillId="0" borderId="0" xfId="1" applyFont="1" applyAlignment="1">
      <alignment horizontal="center"/>
      <protection locked="0"/>
    </xf>
    <xf numFmtId="167" fontId="25" fillId="0" borderId="0" xfId="1" applyFont="1">
      <protection locked="0"/>
    </xf>
    <xf numFmtId="168" fontId="22" fillId="0" borderId="0" xfId="1" applyNumberFormat="1" applyFont="1" applyAlignment="1">
      <alignment horizontal="center"/>
      <protection locked="0"/>
    </xf>
    <xf numFmtId="167" fontId="24" fillId="0" borderId="0" xfId="1" applyFont="1">
      <protection locked="0"/>
    </xf>
    <xf numFmtId="167" fontId="15" fillId="0" borderId="0" xfId="1" applyFont="1">
      <protection locked="0"/>
    </xf>
    <xf numFmtId="167" fontId="27" fillId="0" borderId="0" xfId="1" applyFont="1" applyAlignment="1">
      <alignment horizontal="left" indent="1"/>
      <protection locked="0"/>
    </xf>
    <xf numFmtId="164" fontId="1" fillId="0" borderId="1" xfId="0" applyNumberFormat="1" applyFont="1" applyBorder="1" applyAlignment="1">
      <alignment horizontal="center"/>
    </xf>
    <xf numFmtId="167" fontId="24" fillId="0" borderId="1" xfId="1" applyFont="1" applyBorder="1" applyAlignment="1">
      <alignment horizontal="center"/>
      <protection locked="0"/>
    </xf>
    <xf numFmtId="10" fontId="27" fillId="0" borderId="5" xfId="0" applyNumberFormat="1" applyFont="1" applyBorder="1"/>
    <xf numFmtId="167" fontId="28" fillId="0" borderId="0" xfId="1" applyFont="1">
      <protection locked="0"/>
    </xf>
    <xf numFmtId="164" fontId="1" fillId="0" borderId="13" xfId="0" applyNumberFormat="1" applyFont="1" applyBorder="1" applyAlignment="1">
      <alignment horizontal="center"/>
    </xf>
    <xf numFmtId="169" fontId="6" fillId="0" borderId="0" xfId="0" applyNumberFormat="1" applyFont="1"/>
    <xf numFmtId="169" fontId="5" fillId="0" borderId="0" xfId="0" applyNumberFormat="1" applyFont="1"/>
    <xf numFmtId="7" fontId="6" fillId="0" borderId="0" xfId="0" applyNumberFormat="1" applyFont="1"/>
    <xf numFmtId="166" fontId="1" fillId="0" borderId="0" xfId="0" applyNumberFormat="1" applyFont="1"/>
    <xf numFmtId="168" fontId="6" fillId="2" borderId="0" xfId="1" applyNumberFormat="1" applyFont="1" applyFill="1" applyAlignment="1">
      <alignment horizontal="center"/>
      <protection locked="0"/>
    </xf>
    <xf numFmtId="0" fontId="30" fillId="0" borderId="0" xfId="3"/>
    <xf numFmtId="0" fontId="32" fillId="0" borderId="0" xfId="3" applyFont="1"/>
    <xf numFmtId="0" fontId="33" fillId="0" borderId="0" xfId="3" applyFont="1"/>
    <xf numFmtId="0" fontId="34" fillId="0" borderId="0" xfId="3" applyFont="1"/>
    <xf numFmtId="0" fontId="32" fillId="0" borderId="14" xfId="3" applyFont="1" applyBorder="1" applyAlignment="1">
      <alignment horizontal="center"/>
    </xf>
    <xf numFmtId="44" fontId="32" fillId="5" borderId="14" xfId="4" applyFont="1" applyFill="1" applyBorder="1"/>
    <xf numFmtId="10" fontId="32" fillId="5" borderId="1" xfId="3" applyNumberFormat="1" applyFont="1" applyFill="1" applyBorder="1" applyAlignment="1">
      <alignment horizontal="center"/>
    </xf>
    <xf numFmtId="44" fontId="32" fillId="6" borderId="14" xfId="4" applyFont="1" applyFill="1" applyBorder="1"/>
    <xf numFmtId="44" fontId="33" fillId="0" borderId="0" xfId="4" applyFont="1" applyBorder="1"/>
    <xf numFmtId="0" fontId="32" fillId="6" borderId="14" xfId="3" applyFont="1" applyFill="1" applyBorder="1" applyAlignment="1">
      <alignment horizontal="center"/>
    </xf>
    <xf numFmtId="0" fontId="32" fillId="0" borderId="14" xfId="3" applyFont="1" applyBorder="1"/>
    <xf numFmtId="44" fontId="32" fillId="6" borderId="14" xfId="3" applyNumberFormat="1" applyFont="1" applyFill="1" applyBorder="1"/>
    <xf numFmtId="0" fontId="32" fillId="0" borderId="16" xfId="3" applyFont="1" applyBorder="1"/>
    <xf numFmtId="44" fontId="32" fillId="6" borderId="16" xfId="3" applyNumberFormat="1" applyFont="1" applyFill="1" applyBorder="1"/>
    <xf numFmtId="44" fontId="32" fillId="6" borderId="16" xfId="4" applyFont="1" applyFill="1" applyBorder="1"/>
    <xf numFmtId="0" fontId="32" fillId="0" borderId="1" xfId="3" applyFont="1" applyBorder="1"/>
    <xf numFmtId="44" fontId="32" fillId="6" borderId="1" xfId="3" applyNumberFormat="1" applyFont="1" applyFill="1" applyBorder="1"/>
    <xf numFmtId="44" fontId="32" fillId="6" borderId="15" xfId="3" applyNumberFormat="1" applyFont="1" applyFill="1" applyBorder="1"/>
    <xf numFmtId="170" fontId="30" fillId="7" borderId="14" xfId="3" applyNumberFormat="1" applyFill="1" applyBorder="1"/>
    <xf numFmtId="167" fontId="26" fillId="0" borderId="0" xfId="1" applyFont="1">
      <protection locked="0"/>
    </xf>
    <xf numFmtId="7" fontId="26" fillId="0" borderId="0" xfId="1" applyNumberFormat="1" applyFont="1">
      <protection locked="0"/>
    </xf>
    <xf numFmtId="168" fontId="24" fillId="0" borderId="1" xfId="1" applyNumberFormat="1" applyFont="1" applyBorder="1" applyAlignment="1">
      <alignment horizontal="center"/>
      <protection locked="0"/>
    </xf>
    <xf numFmtId="5" fontId="13" fillId="0" borderId="0" xfId="0" applyNumberFormat="1" applyFont="1"/>
    <xf numFmtId="39" fontId="22" fillId="0" borderId="0" xfId="1" applyNumberFormat="1" applyFont="1">
      <protection locked="0"/>
    </xf>
    <xf numFmtId="0" fontId="2" fillId="0" borderId="2" xfId="2" applyFont="1" applyBorder="1"/>
    <xf numFmtId="0" fontId="5" fillId="0" borderId="3" xfId="2" applyFont="1" applyBorder="1"/>
    <xf numFmtId="0" fontId="5" fillId="0" borderId="0" xfId="2" applyFont="1"/>
    <xf numFmtId="0" fontId="3" fillId="0" borderId="0" xfId="2" applyFont="1"/>
    <xf numFmtId="0" fontId="5" fillId="0" borderId="0" xfId="2" applyFont="1" applyAlignment="1">
      <alignment horizontal="center"/>
    </xf>
    <xf numFmtId="0" fontId="10" fillId="0" borderId="0" xfId="2" applyFont="1"/>
    <xf numFmtId="7" fontId="6" fillId="0" borderId="0" xfId="2" applyNumberFormat="1" applyFont="1"/>
    <xf numFmtId="37" fontId="6" fillId="0" borderId="0" xfId="2" applyNumberFormat="1" applyFont="1"/>
    <xf numFmtId="0" fontId="6" fillId="0" borderId="0" xfId="2" applyFont="1"/>
    <xf numFmtId="7" fontId="13" fillId="0" borderId="0" xfId="2" applyNumberFormat="1" applyFont="1"/>
    <xf numFmtId="37" fontId="13" fillId="0" borderId="0" xfId="2" applyNumberFormat="1" applyFont="1"/>
    <xf numFmtId="0" fontId="1" fillId="0" borderId="0" xfId="2" applyFont="1"/>
    <xf numFmtId="37" fontId="1" fillId="0" borderId="5" xfId="2" applyNumberFormat="1" applyFont="1" applyBorder="1"/>
    <xf numFmtId="5" fontId="1" fillId="0" borderId="5" xfId="2" applyNumberFormat="1" applyFont="1" applyBorder="1"/>
    <xf numFmtId="5" fontId="15" fillId="0" borderId="0" xfId="2" applyNumberFormat="1" applyFont="1"/>
    <xf numFmtId="37" fontId="5" fillId="0" borderId="0" xfId="2" applyNumberFormat="1" applyFont="1"/>
    <xf numFmtId="0" fontId="1" fillId="0" borderId="0" xfId="2" applyFont="1" applyAlignment="1">
      <alignment horizontal="center"/>
    </xf>
    <xf numFmtId="5" fontId="13" fillId="0" borderId="0" xfId="2" applyNumberFormat="1" applyFont="1"/>
    <xf numFmtId="171" fontId="1" fillId="0" borderId="0" xfId="2" applyNumberFormat="1" applyFont="1"/>
    <xf numFmtId="37" fontId="15" fillId="0" borderId="0" xfId="2" applyNumberFormat="1" applyFont="1"/>
    <xf numFmtId="164" fontId="1" fillId="0" borderId="0" xfId="2" applyNumberFormat="1" applyFont="1" applyAlignment="1">
      <alignment horizontal="center"/>
    </xf>
    <xf numFmtId="5" fontId="5" fillId="0" borderId="0" xfId="2" applyNumberFormat="1" applyFont="1"/>
    <xf numFmtId="0" fontId="1" fillId="0" borderId="0" xfId="2" applyFont="1" applyAlignment="1">
      <alignment horizontal="left" indent="1"/>
    </xf>
    <xf numFmtId="5" fontId="27" fillId="0" borderId="0" xfId="2" applyNumberFormat="1" applyFont="1"/>
    <xf numFmtId="5" fontId="1" fillId="0" borderId="0" xfId="2" applyNumberFormat="1" applyFont="1"/>
    <xf numFmtId="0" fontId="10" fillId="0" borderId="0" xfId="2" applyFont="1" applyAlignment="1">
      <alignment horizontal="left"/>
    </xf>
    <xf numFmtId="0" fontId="1" fillId="0" borderId="17" xfId="2" applyFont="1" applyBorder="1" applyAlignment="1">
      <alignment horizontal="center"/>
    </xf>
    <xf numFmtId="5" fontId="6" fillId="0" borderId="0" xfId="2" applyNumberFormat="1" applyFont="1"/>
    <xf numFmtId="172" fontId="1" fillId="0" borderId="0" xfId="2" applyNumberFormat="1" applyFont="1"/>
    <xf numFmtId="0" fontId="5" fillId="0" borderId="18" xfId="2" applyFont="1" applyBorder="1"/>
    <xf numFmtId="172" fontId="5" fillId="0" borderId="0" xfId="2" applyNumberFormat="1" applyFont="1"/>
    <xf numFmtId="170" fontId="6" fillId="0" borderId="0" xfId="0" applyNumberFormat="1" applyFont="1"/>
    <xf numFmtId="170" fontId="1" fillId="0" borderId="0" xfId="2" applyNumberFormat="1" applyFont="1"/>
    <xf numFmtId="0" fontId="13" fillId="0" borderId="0" xfId="2" applyFont="1"/>
    <xf numFmtId="0" fontId="5" fillId="4" borderId="0" xfId="2" applyFont="1" applyFill="1"/>
    <xf numFmtId="0" fontId="5" fillId="3" borderId="0" xfId="2" applyFont="1" applyFill="1"/>
    <xf numFmtId="37" fontId="15" fillId="0" borderId="0" xfId="0" applyNumberFormat="1" applyFont="1"/>
    <xf numFmtId="7" fontId="13" fillId="0" borderId="0" xfId="0" applyNumberFormat="1" applyFont="1"/>
    <xf numFmtId="0" fontId="5" fillId="0" borderId="0" xfId="0" applyFont="1" applyAlignment="1">
      <alignment horizontal="center"/>
    </xf>
    <xf numFmtId="0" fontId="1" fillId="0" borderId="7" xfId="2" applyFont="1" applyBorder="1" applyAlignment="1">
      <alignment horizontal="centerContinuous"/>
    </xf>
    <xf numFmtId="0" fontId="5" fillId="0" borderId="8" xfId="2" applyFont="1" applyBorder="1" applyAlignment="1">
      <alignment horizontal="centerContinuous"/>
    </xf>
    <xf numFmtId="0" fontId="5" fillId="0" borderId="9" xfId="2" applyFont="1" applyBorder="1" applyAlignment="1">
      <alignment horizontal="centerContinuous"/>
    </xf>
    <xf numFmtId="0" fontId="1" fillId="0" borderId="8" xfId="2" applyFont="1" applyBorder="1" applyAlignment="1">
      <alignment horizontal="centerContinuous"/>
    </xf>
    <xf numFmtId="0" fontId="1" fillId="0" borderId="9" xfId="2" applyFont="1" applyBorder="1" applyAlignment="1">
      <alignment horizontal="centerContinuous"/>
    </xf>
    <xf numFmtId="0" fontId="1" fillId="0" borderId="1" xfId="2" applyFont="1" applyBorder="1" applyAlignment="1">
      <alignment horizontal="center"/>
    </xf>
    <xf numFmtId="166" fontId="5" fillId="0" borderId="0" xfId="2" applyNumberFormat="1" applyFont="1"/>
    <xf numFmtId="166" fontId="1" fillId="0" borderId="0" xfId="2" applyNumberFormat="1" applyFont="1"/>
    <xf numFmtId="37" fontId="1" fillId="0" borderId="0" xfId="2" applyNumberFormat="1" applyFont="1"/>
    <xf numFmtId="167" fontId="1" fillId="0" borderId="0" xfId="2" applyNumberFormat="1" applyFont="1"/>
    <xf numFmtId="5" fontId="29" fillId="0" borderId="5" xfId="0" applyNumberFormat="1" applyFont="1" applyBorder="1"/>
    <xf numFmtId="5" fontId="27" fillId="0" borderId="5" xfId="0" applyNumberFormat="1" applyFont="1" applyBorder="1"/>
    <xf numFmtId="37" fontId="13" fillId="2" borderId="0" xfId="2" applyNumberFormat="1" applyFont="1" applyFill="1"/>
    <xf numFmtId="0" fontId="11" fillId="0" borderId="0" xfId="0" applyFont="1"/>
    <xf numFmtId="10" fontId="11" fillId="0" borderId="0" xfId="0" applyNumberFormat="1" applyFont="1"/>
    <xf numFmtId="5" fontId="1" fillId="0" borderId="17" xfId="0" applyNumberFormat="1" applyFont="1" applyBorder="1"/>
    <xf numFmtId="0" fontId="37" fillId="0" borderId="0" xfId="6"/>
    <xf numFmtId="0" fontId="27" fillId="3" borderId="14" xfId="6" applyFont="1" applyFill="1" applyBorder="1" applyAlignment="1" applyProtection="1">
      <alignment horizontal="center"/>
      <protection locked="0"/>
    </xf>
    <xf numFmtId="166" fontId="27" fillId="0" borderId="0" xfId="6" applyNumberFormat="1" applyFont="1" applyProtection="1">
      <protection locked="0"/>
    </xf>
    <xf numFmtId="0" fontId="27" fillId="0" borderId="0" xfId="6" applyFont="1" applyAlignment="1" applyProtection="1">
      <alignment horizontal="left" indent="1"/>
      <protection locked="0"/>
    </xf>
    <xf numFmtId="0" fontId="27" fillId="0" borderId="0" xfId="6" applyFont="1" applyAlignment="1" applyProtection="1">
      <alignment horizontal="center"/>
      <protection locked="0"/>
    </xf>
    <xf numFmtId="7" fontId="13" fillId="0" borderId="0" xfId="6" applyNumberFormat="1" applyFont="1" applyProtection="1">
      <protection locked="0"/>
    </xf>
    <xf numFmtId="0" fontId="5" fillId="0" borderId="0" xfId="6" applyFont="1" applyProtection="1">
      <protection locked="0"/>
    </xf>
    <xf numFmtId="7" fontId="1" fillId="0" borderId="0" xfId="6" applyNumberFormat="1" applyFont="1"/>
    <xf numFmtId="168" fontId="11" fillId="0" borderId="0" xfId="6" applyNumberFormat="1" applyFont="1"/>
    <xf numFmtId="10" fontId="5" fillId="0" borderId="0" xfId="6" applyNumberFormat="1" applyFont="1"/>
    <xf numFmtId="7" fontId="4" fillId="0" borderId="0" xfId="6" applyNumberFormat="1" applyFont="1"/>
    <xf numFmtId="37" fontId="13" fillId="0" borderId="0" xfId="6" applyNumberFormat="1" applyFont="1"/>
    <xf numFmtId="5" fontId="27" fillId="0" borderId="0" xfId="6" applyNumberFormat="1" applyFont="1" applyProtection="1">
      <protection locked="0"/>
    </xf>
    <xf numFmtId="0" fontId="1" fillId="0" borderId="0" xfId="6" applyFont="1" applyAlignment="1">
      <alignment horizontal="left" indent="1"/>
    </xf>
    <xf numFmtId="0" fontId="5" fillId="0" borderId="0" xfId="6" applyFont="1"/>
    <xf numFmtId="7" fontId="5" fillId="0" borderId="0" xfId="6" applyNumberFormat="1" applyFont="1"/>
    <xf numFmtId="7" fontId="27" fillId="0" borderId="0" xfId="6" applyNumberFormat="1" applyFont="1" applyProtection="1">
      <protection locked="0"/>
    </xf>
    <xf numFmtId="0" fontId="27" fillId="0" borderId="0" xfId="6" applyFont="1" applyProtection="1">
      <protection locked="0"/>
    </xf>
    <xf numFmtId="166" fontId="5" fillId="0" borderId="0" xfId="6" applyNumberFormat="1" applyFont="1"/>
    <xf numFmtId="166" fontId="5" fillId="0" borderId="22" xfId="6" applyNumberFormat="1" applyFont="1" applyBorder="1"/>
    <xf numFmtId="37" fontId="6" fillId="0" borderId="0" xfId="6" applyNumberFormat="1" applyFont="1"/>
    <xf numFmtId="168" fontId="6" fillId="0" borderId="0" xfId="6" applyNumberFormat="1" applyFont="1"/>
    <xf numFmtId="166" fontId="5" fillId="0" borderId="19" xfId="6" applyNumberFormat="1" applyFont="1" applyBorder="1"/>
    <xf numFmtId="166" fontId="5" fillId="0" borderId="21" xfId="6" applyNumberFormat="1" applyFont="1" applyBorder="1"/>
    <xf numFmtId="5" fontId="1" fillId="0" borderId="5" xfId="6" applyNumberFormat="1" applyFont="1" applyBorder="1"/>
    <xf numFmtId="7" fontId="13" fillId="0" borderId="0" xfId="6" applyNumberFormat="1" applyFont="1"/>
    <xf numFmtId="0" fontId="1" fillId="0" borderId="20" xfId="6" applyFont="1" applyBorder="1" applyAlignment="1">
      <alignment horizontal="right"/>
    </xf>
    <xf numFmtId="0" fontId="5" fillId="0" borderId="20" xfId="6" applyFont="1" applyBorder="1"/>
    <xf numFmtId="0" fontId="1" fillId="0" borderId="20" xfId="6" applyFont="1" applyBorder="1"/>
    <xf numFmtId="5" fontId="6" fillId="0" borderId="0" xfId="6" applyNumberFormat="1" applyFont="1"/>
    <xf numFmtId="39" fontId="5" fillId="0" borderId="0" xfId="6" applyNumberFormat="1" applyFont="1"/>
    <xf numFmtId="39" fontId="5" fillId="0" borderId="22" xfId="6" applyNumberFormat="1" applyFont="1" applyBorder="1"/>
    <xf numFmtId="39" fontId="5" fillId="2" borderId="0" xfId="6" applyNumberFormat="1" applyFont="1" applyFill="1"/>
    <xf numFmtId="39" fontId="5" fillId="2" borderId="14" xfId="6" applyNumberFormat="1" applyFont="1" applyFill="1" applyBorder="1"/>
    <xf numFmtId="39" fontId="5" fillId="0" borderId="19" xfId="6" applyNumberFormat="1" applyFont="1" applyBorder="1"/>
    <xf numFmtId="39" fontId="5" fillId="0" borderId="21" xfId="6" applyNumberFormat="1" applyFont="1" applyBorder="1"/>
    <xf numFmtId="5" fontId="27" fillId="0" borderId="5" xfId="6" applyNumberFormat="1" applyFont="1" applyBorder="1" applyProtection="1">
      <protection locked="0"/>
    </xf>
    <xf numFmtId="37" fontId="5" fillId="0" borderId="0" xfId="6" applyNumberFormat="1" applyFont="1"/>
    <xf numFmtId="5" fontId="5" fillId="0" borderId="0" xfId="6" applyNumberFormat="1" applyFont="1"/>
    <xf numFmtId="165" fontId="5" fillId="0" borderId="0" xfId="6" applyNumberFormat="1" applyFont="1" applyProtection="1">
      <protection locked="0"/>
    </xf>
    <xf numFmtId="0" fontId="29" fillId="2" borderId="14" xfId="6" applyFont="1" applyFill="1" applyBorder="1" applyAlignment="1" applyProtection="1">
      <alignment horizontal="center"/>
      <protection locked="0"/>
    </xf>
    <xf numFmtId="165" fontId="27" fillId="0" borderId="14" xfId="6" applyNumberFormat="1" applyFont="1" applyBorder="1" applyProtection="1">
      <protection locked="0"/>
    </xf>
    <xf numFmtId="39" fontId="6" fillId="0" borderId="0" xfId="6" applyNumberFormat="1" applyFont="1" applyProtection="1">
      <protection locked="0"/>
    </xf>
    <xf numFmtId="0" fontId="5" fillId="0" borderId="0" xfId="6" applyFont="1" applyAlignment="1" applyProtection="1">
      <alignment horizontal="center"/>
      <protection locked="0"/>
    </xf>
    <xf numFmtId="164" fontId="6" fillId="0" borderId="0" xfId="6" applyNumberFormat="1" applyFont="1" applyAlignment="1" applyProtection="1">
      <alignment horizontal="center"/>
      <protection locked="0"/>
    </xf>
    <xf numFmtId="164" fontId="6" fillId="2" borderId="0" xfId="6" applyNumberFormat="1" applyFont="1" applyFill="1" applyAlignment="1" applyProtection="1">
      <alignment horizontal="center"/>
      <protection locked="0"/>
    </xf>
    <xf numFmtId="168" fontId="25" fillId="2" borderId="0" xfId="6" applyNumberFormat="1" applyFont="1" applyFill="1" applyAlignment="1" applyProtection="1">
      <alignment horizontal="center"/>
      <protection locked="0"/>
    </xf>
    <xf numFmtId="168" fontId="26" fillId="2" borderId="0" xfId="6" applyNumberFormat="1" applyFont="1" applyFill="1" applyAlignment="1" applyProtection="1">
      <alignment horizontal="center"/>
      <protection locked="0"/>
    </xf>
    <xf numFmtId="0" fontId="1" fillId="0" borderId="0" xfId="6" applyFont="1"/>
    <xf numFmtId="0" fontId="17" fillId="0" borderId="0" xfId="6" applyFont="1"/>
    <xf numFmtId="0" fontId="17" fillId="0" borderId="0" xfId="6" applyFont="1" applyAlignment="1">
      <alignment vertical="center"/>
    </xf>
    <xf numFmtId="5" fontId="13" fillId="0" borderId="0" xfId="6" applyNumberFormat="1" applyFont="1"/>
    <xf numFmtId="37" fontId="14" fillId="0" borderId="0" xfId="6" applyNumberFormat="1" applyFont="1" applyAlignment="1">
      <alignment vertical="center"/>
    </xf>
    <xf numFmtId="5" fontId="11" fillId="0" borderId="0" xfId="6" applyNumberFormat="1" applyFont="1" applyAlignment="1">
      <alignment vertical="center"/>
    </xf>
    <xf numFmtId="0" fontId="37" fillId="0" borderId="0" xfId="6" applyAlignment="1">
      <alignment vertical="center"/>
    </xf>
    <xf numFmtId="5" fontId="12" fillId="0" borderId="5" xfId="6" applyNumberFormat="1" applyFont="1" applyBorder="1"/>
    <xf numFmtId="0" fontId="1" fillId="0" borderId="0" xfId="6" applyFont="1" applyAlignment="1">
      <alignment vertical="center"/>
    </xf>
    <xf numFmtId="37" fontId="11" fillId="0" borderId="0" xfId="6" applyNumberFormat="1" applyFont="1" applyAlignment="1">
      <alignment vertical="center"/>
    </xf>
    <xf numFmtId="5" fontId="14" fillId="0" borderId="0" xfId="6" applyNumberFormat="1" applyFont="1" applyAlignment="1">
      <alignment vertical="center"/>
    </xf>
    <xf numFmtId="5" fontId="1" fillId="0" borderId="0" xfId="6" applyNumberFormat="1" applyFont="1"/>
    <xf numFmtId="39" fontId="14" fillId="0" borderId="0" xfId="6" applyNumberFormat="1" applyFont="1" applyAlignment="1">
      <alignment vertical="center"/>
    </xf>
    <xf numFmtId="0" fontId="5" fillId="0" borderId="5" xfId="6" applyFont="1" applyBorder="1"/>
    <xf numFmtId="0" fontId="37" fillId="0" borderId="5" xfId="6" applyBorder="1"/>
    <xf numFmtId="164" fontId="1" fillId="0" borderId="10" xfId="6" applyNumberFormat="1" applyFont="1" applyBorder="1" applyAlignment="1">
      <alignment horizontal="center"/>
    </xf>
    <xf numFmtId="0" fontId="37" fillId="0" borderId="9" xfId="6" applyBorder="1" applyAlignment="1">
      <alignment horizontal="centerContinuous"/>
    </xf>
    <xf numFmtId="0" fontId="37" fillId="0" borderId="8" xfId="6" applyBorder="1" applyAlignment="1">
      <alignment horizontal="centerContinuous"/>
    </xf>
    <xf numFmtId="0" fontId="1" fillId="0" borderId="7" xfId="6" applyFont="1" applyBorder="1" applyAlignment="1">
      <alignment horizontal="centerContinuous"/>
    </xf>
    <xf numFmtId="0" fontId="3" fillId="0" borderId="0" xfId="6" applyFont="1"/>
    <xf numFmtId="0" fontId="37" fillId="0" borderId="3" xfId="6" applyBorder="1"/>
    <xf numFmtId="0" fontId="2" fillId="0" borderId="2" xfId="6" applyFont="1" applyBorder="1"/>
    <xf numFmtId="0" fontId="0" fillId="8" borderId="0" xfId="0" applyFill="1"/>
    <xf numFmtId="0" fontId="0" fillId="9" borderId="0" xfId="0" applyFill="1"/>
    <xf numFmtId="0" fontId="14" fillId="10" borderId="0" xfId="0" applyFont="1" applyFill="1"/>
    <xf numFmtId="0" fontId="0" fillId="10" borderId="0" xfId="0" applyFill="1"/>
    <xf numFmtId="37" fontId="37" fillId="0" borderId="0" xfId="6" applyNumberFormat="1"/>
    <xf numFmtId="168" fontId="26" fillId="0" borderId="0" xfId="0" applyNumberFormat="1" applyFont="1" applyAlignment="1" applyProtection="1">
      <alignment horizontal="center"/>
      <protection locked="0"/>
    </xf>
    <xf numFmtId="39" fontId="26" fillId="0" borderId="0" xfId="1" applyNumberFormat="1" applyFont="1" applyFill="1" applyAlignment="1">
      <alignment horizontal="center"/>
      <protection locked="0"/>
    </xf>
    <xf numFmtId="168" fontId="22" fillId="0" borderId="0" xfId="1" applyNumberFormat="1" applyFont="1" applyFill="1" applyAlignment="1">
      <alignment horizontal="center"/>
      <protection locked="0"/>
    </xf>
    <xf numFmtId="168" fontId="25" fillId="0" borderId="0" xfId="1" applyNumberFormat="1" applyFont="1" applyFill="1" applyAlignment="1">
      <alignment horizontal="center"/>
      <protection locked="0"/>
    </xf>
    <xf numFmtId="0" fontId="27" fillId="2" borderId="14" xfId="6" applyFont="1" applyFill="1" applyBorder="1" applyAlignment="1" applyProtection="1">
      <alignment horizontal="center"/>
      <protection locked="0"/>
    </xf>
    <xf numFmtId="10" fontId="27" fillId="0" borderId="0" xfId="0" applyNumberFormat="1" applyFont="1"/>
    <xf numFmtId="5" fontId="5" fillId="0" borderId="0" xfId="0" applyNumberFormat="1" applyFont="1"/>
    <xf numFmtId="0" fontId="0" fillId="11" borderId="0" xfId="0" applyFill="1"/>
    <xf numFmtId="0" fontId="38" fillId="0" borderId="0" xfId="0" applyFont="1"/>
    <xf numFmtId="37" fontId="0" fillId="12" borderId="0" xfId="0" applyNumberFormat="1" applyFill="1"/>
    <xf numFmtId="5" fontId="0" fillId="10" borderId="0" xfId="0" applyNumberFormat="1" applyFill="1"/>
    <xf numFmtId="37" fontId="27" fillId="0" borderId="0" xfId="6" applyNumberFormat="1" applyFont="1" applyAlignment="1">
      <alignment vertical="center"/>
    </xf>
    <xf numFmtId="0" fontId="10" fillId="0" borderId="0" xfId="0" applyFont="1" applyFill="1"/>
    <xf numFmtId="0" fontId="0" fillId="0" borderId="0" xfId="0" applyFill="1"/>
  </cellXfs>
  <cellStyles count="7">
    <cellStyle name="Currency 2" xfId="4" xr:uid="{715B0151-8801-440C-9299-FF8B882E2921}"/>
    <cellStyle name="Normal" xfId="0" builtinId="0"/>
    <cellStyle name="Normal 2" xfId="3" xr:uid="{1F09B0D3-DD4B-4239-86AD-87EE4719BB2F}"/>
    <cellStyle name="Normal 2 2" xfId="2" xr:uid="{08843342-A4FA-4D3B-B672-B9C828714414}"/>
    <cellStyle name="Normal 2 3" xfId="6" xr:uid="{A1D0C467-AF32-4120-A4BA-82EEF3EC61E4}"/>
    <cellStyle name="Normal 3" xfId="1" xr:uid="{A4762E37-4C07-4FF5-BAAB-A9511B79854E}"/>
    <cellStyle name="Percent 2" xfId="5" xr:uid="{DC5C5FEC-90DD-4F19-91EF-5C38DEFD3AC6}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BF6A-E2D8-4CC7-9F63-3AE33BD0FCA3}">
  <dimension ref="A1:I26"/>
  <sheetViews>
    <sheetView workbookViewId="0"/>
    <sheetView workbookViewId="1"/>
  </sheetViews>
  <sheetFormatPr defaultRowHeight="14"/>
  <cols>
    <col min="1" max="1" width="19.08203125" bestFit="1" customWidth="1"/>
    <col min="6" max="6" width="9.1640625" bestFit="1" customWidth="1"/>
  </cols>
  <sheetData>
    <row r="1" spans="1:9" ht="30">
      <c r="A1" s="4" t="s">
        <v>311</v>
      </c>
      <c r="B1" s="5"/>
      <c r="C1" s="5"/>
      <c r="D1" s="5"/>
      <c r="E1" s="5"/>
      <c r="F1" s="5"/>
      <c r="G1" s="5"/>
      <c r="H1" s="5"/>
      <c r="I1" s="5"/>
    </row>
    <row r="2" spans="1:9" ht="14.5" thickBot="1"/>
    <row r="3" spans="1:9" ht="14.5" thickBot="1">
      <c r="B3" s="2" t="s">
        <v>0</v>
      </c>
    </row>
    <row r="4" spans="1:9">
      <c r="A4" t="s">
        <v>304</v>
      </c>
      <c r="B4" s="3">
        <v>1</v>
      </c>
    </row>
    <row r="5" spans="1:9">
      <c r="A5" t="s">
        <v>112</v>
      </c>
      <c r="B5" s="3">
        <f>B4+1</f>
        <v>2</v>
      </c>
    </row>
    <row r="6" spans="1:9">
      <c r="A6" t="s">
        <v>305</v>
      </c>
      <c r="B6" s="3">
        <f t="shared" ref="B6:B14" si="0">B5+1</f>
        <v>3</v>
      </c>
    </row>
    <row r="7" spans="1:9">
      <c r="A7" t="s">
        <v>2</v>
      </c>
      <c r="B7" s="3">
        <f t="shared" si="0"/>
        <v>4</v>
      </c>
    </row>
    <row r="8" spans="1:9">
      <c r="A8" t="s">
        <v>1</v>
      </c>
      <c r="B8" s="3">
        <f t="shared" si="0"/>
        <v>5</v>
      </c>
    </row>
    <row r="9" spans="1:9">
      <c r="A9" t="s">
        <v>120</v>
      </c>
      <c r="B9" s="3">
        <f t="shared" si="0"/>
        <v>6</v>
      </c>
    </row>
    <row r="10" spans="1:9">
      <c r="A10" t="s">
        <v>306</v>
      </c>
      <c r="B10" s="3">
        <f t="shared" si="0"/>
        <v>7</v>
      </c>
    </row>
    <row r="11" spans="1:9">
      <c r="A11" t="s">
        <v>307</v>
      </c>
      <c r="B11" s="3">
        <f t="shared" si="0"/>
        <v>8</v>
      </c>
    </row>
    <row r="12" spans="1:9">
      <c r="A12" t="s">
        <v>308</v>
      </c>
      <c r="B12" s="3">
        <f t="shared" si="0"/>
        <v>9</v>
      </c>
    </row>
    <row r="13" spans="1:9">
      <c r="A13" t="s">
        <v>309</v>
      </c>
      <c r="B13" s="3">
        <f t="shared" si="0"/>
        <v>10</v>
      </c>
    </row>
    <row r="14" spans="1:9">
      <c r="A14" t="s">
        <v>76</v>
      </c>
      <c r="B14" s="3">
        <f t="shared" si="0"/>
        <v>11</v>
      </c>
    </row>
    <row r="26" spans="1:1">
      <c r="A26" t="s">
        <v>310</v>
      </c>
    </row>
  </sheetData>
  <pageMargins left="0.7" right="0.7" top="0.75" bottom="0.75" header="0.3" footer="0.3"/>
  <pageSetup scale="9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E680-ED49-4C0A-B110-043F5F8668AD}">
  <dimension ref="A1:X68"/>
  <sheetViews>
    <sheetView workbookViewId="0">
      <selection activeCell="T33" sqref="T33"/>
    </sheetView>
    <sheetView topLeftCell="L50" workbookViewId="1">
      <selection activeCell="U53" sqref="U53"/>
    </sheetView>
  </sheetViews>
  <sheetFormatPr defaultRowHeight="14" outlineLevelCol="1"/>
  <cols>
    <col min="1" max="1" width="49.6640625" bestFit="1" customWidth="1"/>
    <col min="2" max="10" width="7.58203125" bestFit="1" customWidth="1" outlineLevel="1"/>
    <col min="11" max="11" width="7.58203125" bestFit="1" customWidth="1"/>
    <col min="12" max="12" width="7.6640625" customWidth="1"/>
    <col min="13" max="13" width="9.1640625" bestFit="1" customWidth="1"/>
    <col min="14" max="15" width="8.1640625" bestFit="1" customWidth="1"/>
    <col min="16" max="16" width="7.9140625" customWidth="1"/>
    <col min="17" max="17" width="11" bestFit="1" customWidth="1"/>
    <col min="18" max="18" width="8.5" customWidth="1"/>
    <col min="19" max="19" width="9.1640625" bestFit="1" customWidth="1" outlineLevel="1"/>
    <col min="20" max="21" width="11" bestFit="1" customWidth="1"/>
    <col min="22" max="24" width="7.58203125" bestFit="1" customWidth="1"/>
  </cols>
  <sheetData>
    <row r="1" spans="1:24" ht="30.5" thickBot="1">
      <c r="A1" s="4" t="s">
        <v>313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5.25" customHeight="1" thickBot="1">
      <c r="T2" s="43" t="s">
        <v>69</v>
      </c>
      <c r="U2" s="44"/>
      <c r="V2" s="44"/>
      <c r="W2" s="44"/>
      <c r="X2" s="45"/>
    </row>
    <row r="3" spans="1:24" ht="25.25" customHeight="1">
      <c r="B3" s="7">
        <v>42369</v>
      </c>
      <c r="C3" s="7">
        <v>42735</v>
      </c>
      <c r="D3" s="7">
        <v>43100</v>
      </c>
      <c r="E3" s="7">
        <v>43465</v>
      </c>
      <c r="F3" s="7">
        <v>43830</v>
      </c>
      <c r="G3" s="7">
        <v>44196</v>
      </c>
      <c r="H3" s="46">
        <v>44561</v>
      </c>
      <c r="I3" s="47">
        <v>44926</v>
      </c>
      <c r="J3" s="47">
        <v>45291</v>
      </c>
      <c r="K3" s="47">
        <v>45657</v>
      </c>
      <c r="M3" s="26" t="s">
        <v>34</v>
      </c>
      <c r="N3" s="26" t="s">
        <v>35</v>
      </c>
      <c r="O3" s="26" t="s">
        <v>36</v>
      </c>
      <c r="Q3" s="26" t="s">
        <v>37</v>
      </c>
      <c r="S3" s="26" t="s">
        <v>38</v>
      </c>
      <c r="T3" s="47">
        <v>46022</v>
      </c>
      <c r="U3" s="47">
        <v>46387</v>
      </c>
      <c r="V3" s="47">
        <v>46752</v>
      </c>
      <c r="W3" s="47">
        <v>47118</v>
      </c>
      <c r="X3" s="47">
        <v>47483</v>
      </c>
    </row>
    <row r="4" spans="1:24" ht="25.25" customHeight="1">
      <c r="A4" s="23" t="s">
        <v>27</v>
      </c>
      <c r="B4" s="23"/>
      <c r="C4" s="23"/>
      <c r="D4" s="23"/>
      <c r="E4" s="23"/>
      <c r="F4" s="23"/>
      <c r="G4" s="23"/>
      <c r="H4" s="23"/>
      <c r="I4" s="23"/>
      <c r="J4" s="23"/>
    </row>
    <row r="5" spans="1:24" ht="25.25" customHeight="1">
      <c r="A5" s="29" t="s">
        <v>29</v>
      </c>
      <c r="B5" s="24">
        <f>('Income Statement'!D9-'Income Statement'!C9)/'Income Statement'!C9</f>
        <v>-7.391413672092792E-2</v>
      </c>
      <c r="C5" s="24">
        <f>('Income Statement'!E9-'Income Statement'!D9)/'Income Statement'!D9</f>
        <v>-3.1129736748907982E-2</v>
      </c>
      <c r="D5" s="24">
        <f>('Income Statement'!F9-'Income Statement'!E9)/'Income Statement'!E9</f>
        <v>-7.3166571223179364E-2</v>
      </c>
      <c r="E5" s="24">
        <f>('Income Statement'!G9-'Income Statement'!F9)/'Income Statement'!F9</f>
        <v>-6.8469439624195896E-2</v>
      </c>
      <c r="F5" s="24">
        <f>('Income Statement'!H9-'Income Statement'!G9)/'Income Statement'!G9</f>
        <v>5.0099022010640743E-3</v>
      </c>
      <c r="G5" s="24">
        <f>('Income Statement'!I9-'Income Statement'!H9)/'Income Statement'!H9</f>
        <v>-0.10094362584486351</v>
      </c>
      <c r="H5" s="24">
        <f>('Income Statement'!J9-'Income Statement'!I9)/'Income Statement'!I9</f>
        <v>0.20903487125022119</v>
      </c>
      <c r="I5" s="24">
        <f>('Income Statement'!K9-'Income Statement'!J9)/'Income Statement'!J9</f>
        <v>-1.7611926159092025E-3</v>
      </c>
      <c r="J5" s="24">
        <f>('Income Statement'!L9-'Income Statement'!K9)/'Income Statement'!K9</f>
        <v>9.9719610042274059E-2</v>
      </c>
      <c r="K5" s="24">
        <f>('Income Statement'!M9-'Income Statement'!L9)/'Income Statement'!L9</f>
        <v>1.6721778321703126E-2</v>
      </c>
      <c r="M5" s="28">
        <f>AVERAGE(B5:K5)</f>
        <v>-1.8898540962721424E-3</v>
      </c>
      <c r="N5" s="28">
        <f>AVERAGE(G5:K5)</f>
        <v>4.4554288230685135E-2</v>
      </c>
      <c r="O5" s="28">
        <f>AVERAGE(I5:K5)</f>
        <v>3.822673191602266E-2</v>
      </c>
      <c r="P5" s="29"/>
      <c r="Q5" s="51">
        <v>0.04</v>
      </c>
      <c r="T5" s="50">
        <f>Q5</f>
        <v>0.04</v>
      </c>
      <c r="U5" s="50">
        <f>Q5</f>
        <v>0.04</v>
      </c>
      <c r="V5" s="50">
        <f>Q5</f>
        <v>0.04</v>
      </c>
      <c r="W5" s="50">
        <f>Q5</f>
        <v>0.04</v>
      </c>
      <c r="X5" s="50">
        <f>Q5</f>
        <v>0.04</v>
      </c>
    </row>
    <row r="6" spans="1:24" ht="25.25" customHeight="1">
      <c r="A6" s="29" t="s">
        <v>63</v>
      </c>
      <c r="B6" s="24">
        <f>'Income Statement'!D10/'Income Statement'!D9</f>
        <v>0.56230216044919468</v>
      </c>
      <c r="C6" s="24">
        <f>'Income Statement'!E10/'Income Statement'!E9</f>
        <v>0.5334311205793002</v>
      </c>
      <c r="D6" s="24">
        <f>'Income Statement'!F10/'Income Statement'!F9</f>
        <v>0.48598937502569722</v>
      </c>
      <c r="E6" s="24">
        <f>'Income Statement'!G10/'Income Statement'!G9</f>
        <v>0.4308092520898113</v>
      </c>
      <c r="F6" s="24">
        <f>'Income Statement'!H10/'Income Statement'!H9</f>
        <v>0.41328565276815638</v>
      </c>
      <c r="G6" s="24">
        <f>'Income Statement'!I10/'Income Statement'!I9</f>
        <v>0.41675256926873466</v>
      </c>
      <c r="H6" s="24">
        <f>'Income Statement'!J10/'Income Statement'!J9</f>
        <v>0.3920397538636432</v>
      </c>
      <c r="I6" s="24">
        <f>'Income Statement'!K10/'Income Statement'!K9</f>
        <v>0.36554223104132516</v>
      </c>
      <c r="J6" s="24">
        <f>'Income Statement'!L10/'Income Statement'!L9</f>
        <v>0.3661767417048134</v>
      </c>
      <c r="K6" s="24">
        <f>'Income Statement'!M10/'Income Statement'!M9</f>
        <v>0.36882716049382713</v>
      </c>
      <c r="M6" s="28">
        <f t="shared" ref="M6:M11" si="0">AVERAGE(B6:K6)</f>
        <v>0.43351560172845033</v>
      </c>
      <c r="N6" s="28">
        <f t="shared" ref="N6:N11" si="1">AVERAGE(G6:K6)</f>
        <v>0.38186769127446873</v>
      </c>
      <c r="O6" s="28">
        <f t="shared" ref="O6:O11" si="2">AVERAGE(I6:K6)</f>
        <v>0.36684871107998857</v>
      </c>
      <c r="P6" s="29"/>
      <c r="Q6" s="51">
        <v>0.38</v>
      </c>
      <c r="T6" s="50">
        <f t="shared" ref="T6:T11" si="3">Q6</f>
        <v>0.38</v>
      </c>
      <c r="U6" s="50">
        <f t="shared" ref="U6:U11" si="4">Q6</f>
        <v>0.38</v>
      </c>
      <c r="V6" s="50">
        <f t="shared" ref="V6:V11" si="5">Q6</f>
        <v>0.38</v>
      </c>
      <c r="W6" s="50">
        <f t="shared" ref="W6:W11" si="6">Q6</f>
        <v>0.38</v>
      </c>
      <c r="X6" s="50">
        <f t="shared" ref="X6:X11" si="7">Q6</f>
        <v>0.38</v>
      </c>
    </row>
    <row r="7" spans="1:24" ht="25.25" customHeight="1">
      <c r="A7" s="29" t="s">
        <v>64</v>
      </c>
      <c r="B7" s="24">
        <f>'Income Statement'!D13/'Income Statement'!D9</f>
        <v>8.7066273029733451E-2</v>
      </c>
      <c r="C7" s="24">
        <f>'Income Statement'!E13/'Income Statement'!E9</f>
        <v>8.7365812232546081E-2</v>
      </c>
      <c r="D7" s="24">
        <f>'Income Statement'!F13/'Income Statement'!F9</f>
        <v>8.6634242439377909E-2</v>
      </c>
      <c r="E7" s="24">
        <f>'Income Statement'!G13/'Income Statement'!G9</f>
        <v>9.3377050414198956E-2</v>
      </c>
      <c r="F7" s="24">
        <f>'Income Statement'!H13/'Income Statement'!H9</f>
        <v>9.206904944674317E-2</v>
      </c>
      <c r="G7" s="24">
        <f>'Income Statement'!I13/'Income Statement'!I9</f>
        <v>0.11687960099542895</v>
      </c>
      <c r="H7" s="24">
        <f>'Income Statement'!J13/'Income Statement'!J9</f>
        <v>0.10239892519883392</v>
      </c>
      <c r="I7" s="24">
        <f>'Income Statement'!K13/'Income Statement'!K9</f>
        <v>0.10749719610042274</v>
      </c>
      <c r="J7" s="24">
        <f>'Income Statement'!L13/'Income Statement'!L9</f>
        <v>9.5513793603909991E-2</v>
      </c>
      <c r="K7" s="24">
        <f>'Income Statement'!M13/'Income Statement'!M9</f>
        <v>9.3055555555555558E-2</v>
      </c>
      <c r="M7" s="28">
        <f t="shared" si="0"/>
        <v>9.6185749901675083E-2</v>
      </c>
      <c r="N7" s="28">
        <f t="shared" si="1"/>
        <v>0.10306901429083024</v>
      </c>
      <c r="O7" s="28">
        <f t="shared" si="2"/>
        <v>9.8688848419962769E-2</v>
      </c>
      <c r="P7" s="29"/>
      <c r="Q7" s="51">
        <v>0.1</v>
      </c>
      <c r="T7" s="50">
        <f t="shared" si="3"/>
        <v>0.1</v>
      </c>
      <c r="U7" s="50">
        <f t="shared" si="4"/>
        <v>0.1</v>
      </c>
      <c r="V7" s="50">
        <f t="shared" si="5"/>
        <v>0.1</v>
      </c>
      <c r="W7" s="50">
        <f t="shared" si="6"/>
        <v>0.1</v>
      </c>
      <c r="X7" s="50">
        <f t="shared" si="7"/>
        <v>0.1</v>
      </c>
    </row>
    <row r="8" spans="1:24" ht="25.25" customHeight="1">
      <c r="A8" t="s">
        <v>370</v>
      </c>
      <c r="B8" s="24">
        <f>'Income Statement'!D12/'Income Statement'!D9</f>
        <v>8.2398772281902961E-3</v>
      </c>
      <c r="C8" s="24">
        <f>'Income Statement'!E12/'Income Statement'!E9</f>
        <v>3.0744987186204151E-3</v>
      </c>
      <c r="D8" s="24">
        <f>'Income Statement'!F12/'Income Statement'!F9</f>
        <v>-5.0971937389353385E-2</v>
      </c>
      <c r="E8" s="24">
        <f>'Income Statement'!G12/'Income Statement'!G9</f>
        <v>-8.9378536920391941E-3</v>
      </c>
      <c r="F8" s="24">
        <f>'Income Statement'!H12/'Income Statement'!H9</f>
        <v>-5.6168205051393902E-3</v>
      </c>
      <c r="G8" s="24">
        <f>'Income Statement'!I12/'Income Statement'!I9</f>
        <v>-6.1433376024323458E-3</v>
      </c>
      <c r="H8" s="24">
        <f>'Income Statement'!J12/'Income Statement'!J9</f>
        <v>-2.079843602650832E-2</v>
      </c>
      <c r="I8" s="24">
        <f>'Income Statement'!K12/'Income Statement'!K9</f>
        <v>4.2015356742300058E-2</v>
      </c>
      <c r="J8" s="24">
        <f>'Income Statement'!L12/'Income Statement'!L9</f>
        <v>3.8833123477565049E-3</v>
      </c>
      <c r="K8" s="24">
        <f>'Income Statement'!M12/'Income Statement'!M9</f>
        <v>5.3626543209876545E-3</v>
      </c>
      <c r="M8" s="28">
        <f t="shared" si="0"/>
        <v>-2.9892685857617709E-3</v>
      </c>
      <c r="N8" s="28">
        <f t="shared" si="1"/>
        <v>4.8639099564207105E-3</v>
      </c>
      <c r="O8" s="28">
        <f t="shared" si="2"/>
        <v>1.7087107803681407E-2</v>
      </c>
      <c r="P8" s="29"/>
      <c r="Q8" s="51">
        <v>5.0000000000000001E-3</v>
      </c>
      <c r="T8" s="50">
        <f t="shared" si="3"/>
        <v>5.0000000000000001E-3</v>
      </c>
      <c r="U8" s="50">
        <f t="shared" si="4"/>
        <v>5.0000000000000001E-3</v>
      </c>
      <c r="V8" s="50">
        <f t="shared" si="5"/>
        <v>5.0000000000000001E-3</v>
      </c>
      <c r="W8" s="50">
        <f t="shared" si="6"/>
        <v>5.0000000000000001E-3</v>
      </c>
      <c r="X8" s="50">
        <f t="shared" si="7"/>
        <v>5.0000000000000001E-3</v>
      </c>
    </row>
    <row r="9" spans="1:24" ht="25.25" customHeight="1">
      <c r="A9" s="29" t="s">
        <v>372</v>
      </c>
      <c r="B9" s="24">
        <f>'Income Statement'!D17/'Income Statement'!D9</f>
        <v>6.1216700114114828E-2</v>
      </c>
      <c r="C9" s="24">
        <f>'Income Statement'!E17/'Income Statement'!E9</f>
        <v>6.1591509997197612E-2</v>
      </c>
      <c r="D9" s="24">
        <f>'Income Statement'!F17/'Income Statement'!F9</f>
        <v>5.974478974952236E-2</v>
      </c>
      <c r="E9" s="24">
        <f>'Income Statement'!G17/'Income Statement'!G9</f>
        <v>6.9715258797905716E-2</v>
      </c>
      <c r="F9" s="24">
        <f>'Income Statement'!H17/'Income Statement'!H9</f>
        <v>7.5728782460541835E-2</v>
      </c>
      <c r="G9" s="24">
        <f>'Income Statement'!I17/'Income Statement'!I9</f>
        <v>9.1181707431356021E-2</v>
      </c>
      <c r="H9" s="24">
        <f>'Income Statement'!J17/'Income Statement'!J9</f>
        <v>8.0442149774575963E-2</v>
      </c>
      <c r="I9" s="24">
        <f>'Income Statement'!K17/'Income Statement'!K9</f>
        <v>8.0709170908463468E-2</v>
      </c>
      <c r="J9" s="24">
        <f>'Income Statement'!L17/'Income Statement'!L9</f>
        <v>7.7587796200629972E-2</v>
      </c>
      <c r="K9" s="24">
        <f>'Income Statement'!M17/'Income Statement'!M9</f>
        <v>8.0902777777777782E-2</v>
      </c>
      <c r="M9" s="28">
        <f t="shared" si="0"/>
        <v>7.3882064321208543E-2</v>
      </c>
      <c r="N9" s="28">
        <f t="shared" si="1"/>
        <v>8.2164720418560641E-2</v>
      </c>
      <c r="O9" s="28">
        <f t="shared" si="2"/>
        <v>7.973324829562374E-2</v>
      </c>
      <c r="P9" s="29"/>
      <c r="Q9" s="51">
        <v>0.08</v>
      </c>
      <c r="T9" s="50">
        <f t="shared" si="3"/>
        <v>0.08</v>
      </c>
      <c r="U9" s="50">
        <f t="shared" si="4"/>
        <v>0.08</v>
      </c>
      <c r="V9" s="50">
        <f t="shared" si="5"/>
        <v>0.08</v>
      </c>
      <c r="W9" s="50">
        <f t="shared" si="6"/>
        <v>0.08</v>
      </c>
      <c r="X9" s="50">
        <f t="shared" si="7"/>
        <v>0.08</v>
      </c>
    </row>
    <row r="10" spans="1:24" ht="25.25" customHeight="1">
      <c r="A10" t="s">
        <v>373</v>
      </c>
      <c r="B10" s="24">
        <f>'Income Statement'!D21/'Income Statement'!D9</f>
        <v>-1.908472041868335E-3</v>
      </c>
      <c r="C10" s="24">
        <f>'Income Statement'!E21/'Income Statement'!E9</f>
        <v>-2.5586977446907019E-4</v>
      </c>
      <c r="D10" s="24">
        <f>'Income Statement'!F21/'Income Statement'!F9</f>
        <v>2.537203554714203E-3</v>
      </c>
      <c r="E10" s="24">
        <f>'Income Statement'!G21/'Income Statement'!G9</f>
        <v>1.1901457810978506E-3</v>
      </c>
      <c r="F10" s="24">
        <f>'Income Statement'!H21/'Income Statement'!H9</f>
        <v>-3.2858399955065436E-3</v>
      </c>
      <c r="G10" s="24">
        <f>'Income Statement'!I21/'Income Statement'!I9</f>
        <v>-1.8117639708868272E-3</v>
      </c>
      <c r="H10" s="24">
        <f>'Income Statement'!J21/'Income Statement'!J9</f>
        <v>1.8214779377252626E-3</v>
      </c>
      <c r="I10" s="24">
        <f>'Income Statement'!K21/'Income Statement'!K9</f>
        <v>1.4623414718315934E-2</v>
      </c>
      <c r="J10" s="24">
        <f>'Income Statement'!L21/'Income Statement'!L9</f>
        <v>-9.2571890310155069E-3</v>
      </c>
      <c r="K10" s="24">
        <f>'Income Statement'!M21/'Income Statement'!M9</f>
        <v>-5.3626543209876545E-3</v>
      </c>
      <c r="M10" s="28">
        <f t="shared" si="0"/>
        <v>-1.7095471428806871E-4</v>
      </c>
      <c r="N10" s="28">
        <f t="shared" si="1"/>
        <v>2.6570666302416083E-6</v>
      </c>
      <c r="O10" s="28">
        <f t="shared" si="2"/>
        <v>1.1904554375908687E-6</v>
      </c>
      <c r="P10" s="29"/>
      <c r="Q10" s="51">
        <v>0</v>
      </c>
      <c r="T10" s="50">
        <f t="shared" si="3"/>
        <v>0</v>
      </c>
      <c r="U10" s="50">
        <f t="shared" si="4"/>
        <v>0</v>
      </c>
      <c r="V10" s="50">
        <f t="shared" si="5"/>
        <v>0</v>
      </c>
      <c r="W10" s="50">
        <f t="shared" si="6"/>
        <v>0</v>
      </c>
      <c r="X10" s="50">
        <f t="shared" si="7"/>
        <v>0</v>
      </c>
    </row>
    <row r="11" spans="1:24" ht="25.25" customHeight="1">
      <c r="A11" s="29" t="s">
        <v>374</v>
      </c>
      <c r="B11" s="24">
        <f>'Income Statement'!D23/'Income Statement'!D18</f>
        <v>0.28359107130361766</v>
      </c>
      <c r="C11" s="24">
        <f>'Income Statement'!E23/'Income Statement'!E18</f>
        <v>0.28142552779391822</v>
      </c>
      <c r="D11" s="24">
        <f>'Income Statement'!F23/'Income Statement'!F18</f>
        <v>0.35395228574120396</v>
      </c>
      <c r="E11" s="24">
        <f>'Income Statement'!G23/'Income Statement'!G18</f>
        <v>0.21442172552931038</v>
      </c>
      <c r="F11" s="24">
        <f>'Income Statement'!H23/'Income Statement'!H18</f>
        <v>0.21970473764870613</v>
      </c>
      <c r="G11" s="24">
        <f>'Income Statement'!I23/'Income Statement'!I18</f>
        <v>0.19253191344119058</v>
      </c>
      <c r="H11" s="24">
        <f>'Income Statement'!J23/'Income Statement'!J18</f>
        <v>0.15283665684901745</v>
      </c>
      <c r="I11" s="24">
        <f>'Income Statement'!K23/'Income Statement'!K18</f>
        <v>0.17586170099242343</v>
      </c>
      <c r="J11" s="24">
        <f>'Income Statement'!L23/'Income Statement'!L18</f>
        <v>0.17627613446099691</v>
      </c>
      <c r="K11" s="24">
        <f>'Income Statement'!M23/'Income Statement'!M18</f>
        <v>0.18109631147540983</v>
      </c>
      <c r="M11" s="28">
        <f t="shared" si="0"/>
        <v>0.22316980652357943</v>
      </c>
      <c r="N11" s="28">
        <f t="shared" si="1"/>
        <v>0.17572054344380766</v>
      </c>
      <c r="O11" s="28">
        <f t="shared" si="2"/>
        <v>0.17774471564294339</v>
      </c>
      <c r="P11" s="29"/>
      <c r="Q11" s="51">
        <v>0.18</v>
      </c>
      <c r="T11" s="50">
        <f t="shared" si="3"/>
        <v>0.18</v>
      </c>
      <c r="U11" s="50">
        <f t="shared" si="4"/>
        <v>0.18</v>
      </c>
      <c r="V11" s="50">
        <f t="shared" si="5"/>
        <v>0.18</v>
      </c>
      <c r="W11" s="50">
        <f t="shared" si="6"/>
        <v>0.18</v>
      </c>
      <c r="X11" s="50">
        <f t="shared" si="7"/>
        <v>0.18</v>
      </c>
    </row>
    <row r="12" spans="1:24" ht="25.25" customHeight="1">
      <c r="K12" s="29"/>
      <c r="M12" s="29"/>
      <c r="N12" s="29"/>
      <c r="O12" s="29"/>
      <c r="P12" s="29"/>
      <c r="Q12" s="29"/>
    </row>
    <row r="13" spans="1:24" ht="25.25" customHeight="1">
      <c r="A13" s="25" t="s">
        <v>30</v>
      </c>
      <c r="B13" s="24">
        <f>'Income Statement'!D11/'Income Statement'!D9</f>
        <v>0.43769783955080532</v>
      </c>
      <c r="C13" s="24">
        <f>'Income Statement'!E11/'Income Statement'!E9</f>
        <v>0.4665688794206998</v>
      </c>
      <c r="D13" s="24">
        <f>'Income Statement'!F11/'Income Statement'!F9</f>
        <v>0.51401062497430283</v>
      </c>
      <c r="E13" s="24">
        <f>'Income Statement'!G11/'Income Statement'!G9</f>
        <v>0.56919074791018864</v>
      </c>
      <c r="F13" s="24">
        <f>'Income Statement'!H11/'Income Statement'!H9</f>
        <v>0.58671434723184368</v>
      </c>
      <c r="G13" s="24">
        <f>'Income Statement'!I11/'Income Statement'!I9</f>
        <v>0.58324743073126528</v>
      </c>
      <c r="H13" s="24">
        <f>'Income Statement'!J11/'Income Statement'!J9</f>
        <v>0.6079602461363568</v>
      </c>
      <c r="I13" s="24">
        <f>'Income Statement'!K11/'Income Statement'!K9</f>
        <v>0.63445776895867478</v>
      </c>
      <c r="J13" s="24">
        <f>'Income Statement'!L11/'Income Statement'!L9</f>
        <v>0.6338232582951866</v>
      </c>
      <c r="K13" s="24">
        <f>'Income Statement'!M11/'Income Statement'!M9</f>
        <v>0.63117283950617287</v>
      </c>
      <c r="M13" s="28"/>
      <c r="N13" s="28"/>
      <c r="O13" s="28"/>
      <c r="P13" s="29"/>
      <c r="Q13" s="51"/>
    </row>
    <row r="14" spans="1:24" ht="25.25" customHeight="1">
      <c r="A14" s="25" t="s">
        <v>31</v>
      </c>
      <c r="B14" s="24">
        <f>'Income Statement'!D14/'Income Statement'!D9</f>
        <v>0.34239168929288161</v>
      </c>
      <c r="C14" s="24">
        <f>'Income Statement'!E14/'Income Statement'!E9</f>
        <v>0.3761285684695333</v>
      </c>
      <c r="D14" s="24">
        <f>'Income Statement'!F14/'Income Statement'!F9</f>
        <v>0.47834831992427834</v>
      </c>
      <c r="E14" s="24">
        <f>'Income Statement'!G14/'Income Statement'!G9</f>
        <v>0.48475155118802893</v>
      </c>
      <c r="F14" s="24">
        <f>'Income Statement'!H14/'Income Statement'!H9</f>
        <v>0.50026211829023981</v>
      </c>
      <c r="G14" s="24">
        <f>'Income Statement'!I14/'Income Statement'!I9</f>
        <v>0.47251116733826876</v>
      </c>
      <c r="H14" s="24">
        <f>'Income Statement'!J14/'Income Statement'!J9</f>
        <v>0.52635975696403114</v>
      </c>
      <c r="I14" s="24">
        <f>'Income Statement'!K14/'Income Statement'!K9</f>
        <v>0.48494521611595204</v>
      </c>
      <c r="J14" s="24">
        <f>'Income Statement'!L14/'Income Statement'!L9</f>
        <v>0.53442615234352009</v>
      </c>
      <c r="K14" s="24">
        <f>'Income Statement'!M14/'Income Statement'!M9</f>
        <v>0.53275462962962961</v>
      </c>
      <c r="M14" s="28"/>
      <c r="N14" s="28"/>
      <c r="O14" s="28"/>
      <c r="P14" s="29"/>
      <c r="Q14" s="51"/>
    </row>
    <row r="15" spans="1:24" ht="25.25" customHeight="1">
      <c r="A15" s="25" t="s">
        <v>32</v>
      </c>
      <c r="B15" s="24">
        <f>'Income Statement'!D18/'Income Statement'!D9</f>
        <v>0.28117498917876682</v>
      </c>
      <c r="C15" s="24">
        <f>'Income Statement'!E18/'Income Statement'!E9</f>
        <v>0.31453705847233565</v>
      </c>
      <c r="D15" s="24">
        <f>'Income Statement'!F18/'Income Statement'!F9</f>
        <v>0.41860353017475599</v>
      </c>
      <c r="E15" s="24">
        <f>'Income Statement'!G18/'Income Statement'!G9</f>
        <v>0.41503629239012324</v>
      </c>
      <c r="F15" s="24">
        <f>'Income Statement'!H18/'Income Statement'!H9</f>
        <v>0.42453333582969804</v>
      </c>
      <c r="G15" s="24">
        <f>'Income Statement'!I18/'Income Statement'!I9</f>
        <v>0.38132945990691275</v>
      </c>
      <c r="H15" s="24">
        <f>'Income Statement'!J18/'Income Statement'!J9</f>
        <v>0.44591760718945522</v>
      </c>
      <c r="I15" s="24">
        <f>'Income Statement'!K18/'Income Statement'!K9</f>
        <v>0.40423604520748857</v>
      </c>
      <c r="J15" s="24">
        <f>'Income Statement'!L18/'Income Statement'!L9</f>
        <v>0.45683835614289009</v>
      </c>
      <c r="K15" s="24">
        <f>'Income Statement'!M18/'Income Statement'!M9</f>
        <v>0.45185185185185184</v>
      </c>
      <c r="M15" s="28"/>
      <c r="N15" s="28"/>
      <c r="O15" s="28"/>
      <c r="P15" s="29"/>
      <c r="Q15" s="51"/>
    </row>
    <row r="16" spans="1:24" ht="25.25" customHeight="1">
      <c r="A16" s="25" t="s">
        <v>33</v>
      </c>
      <c r="B16" s="24">
        <f>'Income Statement'!D24/'Income Statement'!D9</f>
        <v>0.178227678747098</v>
      </c>
      <c r="C16" s="24">
        <f>'Income Statement'!E24/'Income Statement'!E9</f>
        <v>0.1903386822300473</v>
      </c>
      <c r="D16" s="24">
        <f>'Income Statement'!F24/'Income Statement'!F9</f>
        <v>0.22752887767085606</v>
      </c>
      <c r="E16" s="24">
        <f>'Income Statement'!G24/'Income Statement'!G9</f>
        <v>0.27869639051834849</v>
      </c>
      <c r="F16" s="24">
        <f>'Income Statement'!H24/'Income Statement'!H9</f>
        <v>0.28203459961431171</v>
      </c>
      <c r="G16" s="24">
        <f>'Income Statement'!I24/'Income Statement'!I9</f>
        <v>0.24630618811107979</v>
      </c>
      <c r="H16" s="24">
        <f>'Income Statement'!J24/'Income Statement'!J9</f>
        <v>0.32488190536065698</v>
      </c>
      <c r="I16" s="24">
        <f>'Income Statement'!K24/'Income Statement'!K9</f>
        <v>0.26645673367267708</v>
      </c>
      <c r="J16" s="24">
        <f>'Income Statement'!L24/'Income Statement'!L9</f>
        <v>0.33218010724218128</v>
      </c>
      <c r="K16" s="24">
        <f>'Income Statement'!M24/'Income Statement'!M9</f>
        <v>0.31728395061728393</v>
      </c>
      <c r="M16" s="28"/>
      <c r="N16" s="28"/>
      <c r="O16" s="28"/>
      <c r="P16" s="29"/>
      <c r="Q16" s="51"/>
    </row>
    <row r="17" spans="1:24" ht="25.25" customHeight="1"/>
    <row r="18" spans="1:24" ht="25.25" customHeight="1">
      <c r="A18" s="30" t="s">
        <v>66</v>
      </c>
    </row>
    <row r="19" spans="1:24" ht="25.25" customHeight="1">
      <c r="A19" s="42" t="s">
        <v>67</v>
      </c>
      <c r="B19" s="24">
        <f>Calcs!D7/Calcs!D6</f>
        <v>0.71320071534232654</v>
      </c>
      <c r="C19" s="24">
        <f>Calcs!E7/Calcs!E6</f>
        <v>0.65251253600768133</v>
      </c>
      <c r="D19" s="24">
        <f>Calcs!F7/Calcs!F6</f>
        <v>0.59495791845617507</v>
      </c>
      <c r="E19" s="24">
        <f>Calcs!G7/Calcs!G6</f>
        <v>0.5495653641657523</v>
      </c>
      <c r="F19" s="24">
        <f>Calcs!H7/Calcs!H6</f>
        <v>0.59445689154427006</v>
      </c>
      <c r="G19" s="24">
        <f>Calcs!I7/Calcs!I6</f>
        <v>0.79325723948425308</v>
      </c>
      <c r="H19" s="24">
        <f>Calcs!J7/Calcs!J6</f>
        <v>0.51938446856733866</v>
      </c>
      <c r="I19" s="24">
        <f>Calcs!K7/Calcs!K6</f>
        <v>0.67479358912093246</v>
      </c>
      <c r="J19" s="24">
        <f>Calcs!L7/Calcs!L6</f>
        <v>0.53525417724508495</v>
      </c>
      <c r="K19" s="24">
        <f>Calcs!M7/Calcs!M6</f>
        <v>0.59216926070038911</v>
      </c>
      <c r="M19" s="28">
        <f t="shared" ref="M19" si="8">AVERAGE(B19:K19)</f>
        <v>0.6219552160634203</v>
      </c>
      <c r="N19" s="28">
        <f t="shared" ref="N19" si="9">AVERAGE(G19:K19)</f>
        <v>0.62297174702359959</v>
      </c>
      <c r="O19" s="28">
        <f t="shared" ref="O19" si="10">AVERAGE(I19:K19)</f>
        <v>0.60073900902213551</v>
      </c>
      <c r="Q19" s="51">
        <v>0.61</v>
      </c>
      <c r="T19" s="50">
        <f>Q19</f>
        <v>0.61</v>
      </c>
      <c r="U19" s="50">
        <f>Q19</f>
        <v>0.61</v>
      </c>
      <c r="V19" s="50">
        <f>Q19</f>
        <v>0.61</v>
      </c>
      <c r="W19" s="50">
        <f>Q19</f>
        <v>0.61</v>
      </c>
      <c r="X19" s="50">
        <f>Q19</f>
        <v>0.61</v>
      </c>
    </row>
    <row r="20" spans="1:24" ht="25.25" customHeight="1"/>
    <row r="21" spans="1:24" ht="25.25" customHeight="1">
      <c r="A21" s="30" t="s">
        <v>39</v>
      </c>
      <c r="F21" s="24"/>
    </row>
    <row r="22" spans="1:24" ht="25.25" customHeight="1">
      <c r="A22" s="29" t="s">
        <v>40</v>
      </c>
      <c r="B22" s="28">
        <f>SUM('Balance Sheet Historical'!D6)/'Income Statement'!D9</f>
        <v>0.30242395624286783</v>
      </c>
      <c r="C22" s="28">
        <f>SUM('Balance Sheet Historical'!E6)/'Income Statement'!E9</f>
        <v>4.9687473346898492E-2</v>
      </c>
      <c r="D22" s="28">
        <f>SUM('Balance Sheet Historical'!F6)/'Income Statement'!F9</f>
        <v>0.10796480342150007</v>
      </c>
      <c r="E22" s="28">
        <f>SUM('Balance Sheet Historical'!G6)/'Income Statement'!G9</f>
        <v>4.0737796301610223E-2</v>
      </c>
      <c r="F22" s="28">
        <f>SUM('Balance Sheet Historical'!H6)/'Income Statement'!H9</f>
        <v>4.2055943532231188E-2</v>
      </c>
      <c r="G22" s="28">
        <f>SUM('Balance Sheet Historical'!I6)/'Income Statement'!I9</f>
        <v>0.17956767563177459</v>
      </c>
      <c r="H22" s="28">
        <f>SUM('Balance Sheet Historical'!J6)/'Income Statement'!J9</f>
        <v>0.20278259821124839</v>
      </c>
      <c r="I22" s="28">
        <f>SUM('Balance Sheet Historical'!K6)/'Income Statement'!K9</f>
        <v>0.11145716504184282</v>
      </c>
      <c r="J22" s="28">
        <f>SUM('Balance Sheet Historical'!L6)/'Income Statement'!L9</f>
        <v>0.17961300242805087</v>
      </c>
      <c r="K22" s="28">
        <f>SUM('Balance Sheet Historical'!M6)/'Income Statement'!M9</f>
        <v>4.1859567901234566E-2</v>
      </c>
      <c r="M22" s="28">
        <f t="shared" ref="M22:M25" si="11">AVERAGE(B22:K22)</f>
        <v>0.1258149982059259</v>
      </c>
      <c r="N22" s="28">
        <f t="shared" ref="N22:N25" si="12">AVERAGE(G22:K22)</f>
        <v>0.14305600184283024</v>
      </c>
      <c r="O22" s="28">
        <f t="shared" ref="O22:O25" si="13">AVERAGE(I22:K22)</f>
        <v>0.11097657845704274</v>
      </c>
      <c r="Q22" s="51">
        <v>0.12</v>
      </c>
      <c r="T22" s="50">
        <f t="shared" ref="T22:T25" si="14">Q22</f>
        <v>0.12</v>
      </c>
      <c r="U22" s="50">
        <f t="shared" ref="U22:U25" si="15">Q22</f>
        <v>0.12</v>
      </c>
      <c r="V22" s="50">
        <f t="shared" ref="V22:V25" si="16">Q22</f>
        <v>0.12</v>
      </c>
      <c r="W22" s="50">
        <f t="shared" ref="W22:W25" si="17">Q22</f>
        <v>0.12</v>
      </c>
      <c r="X22" s="50">
        <f t="shared" ref="X22:X25" si="18">Q22</f>
        <v>0.12</v>
      </c>
    </row>
    <row r="23" spans="1:24" ht="25.25" customHeight="1">
      <c r="A23" s="29" t="s">
        <v>376</v>
      </c>
      <c r="B23" s="28">
        <f>'Balance Sheet Historical'!D7/'Income Statement'!D9</f>
        <v>5.1103765789163029E-2</v>
      </c>
      <c r="C23" s="28">
        <f>'Balance Sheet Historical'!E7/'Income Statement'!E9</f>
        <v>5.9869465800770849E-2</v>
      </c>
      <c r="D23" s="28">
        <f>'Balance Sheet Historical'!F7/'Income Statement'!F9</f>
        <v>8.6597956214614996E-2</v>
      </c>
      <c r="E23" s="28">
        <f>'Balance Sheet Historical'!G7/'Income Statement'!G9</f>
        <v>0.11485141994270365</v>
      </c>
      <c r="F23" s="28">
        <f>'Balance Sheet Historical'!H7/'Income Statement'!H9</f>
        <v>0.10410776806275859</v>
      </c>
      <c r="G23" s="28">
        <f>'Balance Sheet Historical'!I7/'Income Statement'!I9</f>
        <v>0.10986682493570321</v>
      </c>
      <c r="H23" s="28">
        <f>'Balance Sheet Historical'!J7/'Income Statement'!J9</f>
        <v>8.0627311834439289E-2</v>
      </c>
      <c r="I23" s="28">
        <f>'Balance Sheet Historical'!K7/'Income Statement'!K9</f>
        <v>9.1234578552325085E-2</v>
      </c>
      <c r="J23" s="28">
        <f>'Balance Sheet Historical'!L7/'Income Statement'!L9</f>
        <v>9.7592738598163475E-2</v>
      </c>
      <c r="K23" s="28">
        <f>'Balance Sheet Historical'!M7/'Income Statement'!M9</f>
        <v>9.1936728395061729E-2</v>
      </c>
      <c r="M23" s="28">
        <f t="shared" si="11"/>
        <v>8.8778855812570376E-2</v>
      </c>
      <c r="N23" s="28">
        <f t="shared" si="12"/>
        <v>9.4251636463138555E-2</v>
      </c>
      <c r="O23" s="28">
        <f t="shared" si="13"/>
        <v>9.3588015181850101E-2</v>
      </c>
      <c r="Q23" s="51">
        <v>9.2999999999999999E-2</v>
      </c>
      <c r="T23" s="50">
        <f t="shared" si="14"/>
        <v>9.2999999999999999E-2</v>
      </c>
      <c r="U23" s="50">
        <f t="shared" si="15"/>
        <v>9.2999999999999999E-2</v>
      </c>
      <c r="V23" s="50">
        <f t="shared" si="16"/>
        <v>9.2999999999999999E-2</v>
      </c>
      <c r="W23" s="50">
        <f t="shared" si="17"/>
        <v>9.2999999999999999E-2</v>
      </c>
      <c r="X23" s="50">
        <f t="shared" si="18"/>
        <v>9.2999999999999999E-2</v>
      </c>
    </row>
    <row r="24" spans="1:24" ht="25.25" customHeight="1">
      <c r="A24" s="29" t="s">
        <v>41</v>
      </c>
      <c r="B24" s="28">
        <f>'Balance Sheet Historical'!D8/'Income Statement'!D10</f>
        <v>7.0050040204604628E-3</v>
      </c>
      <c r="C24" s="28">
        <f>'Balance Sheet Historical'!E8/'Income Statement'!E10</f>
        <v>4.4845139845578336E-3</v>
      </c>
      <c r="D24" s="28">
        <f>'Balance Sheet Historical'!F8/'Income Statement'!F10</f>
        <v>5.3018483208640043E-3</v>
      </c>
      <c r="E24" s="28">
        <f>'Balance Sheet Historical'!G8/'Income Statement'!G10</f>
        <v>5.5797599938851947E-3</v>
      </c>
      <c r="F24" s="28">
        <f>'Balance Sheet Historical'!H8/'Income Statement'!H10</f>
        <v>5.6854217631602793E-3</v>
      </c>
      <c r="G24" s="28">
        <f>'Balance Sheet Historical'!I8/'Income Statement'!I10</f>
        <v>6.3835900510937045E-3</v>
      </c>
      <c r="H24" s="28">
        <f>'Balance Sheet Historical'!J8/'Income Statement'!J10</f>
        <v>6.1070043825445126E-3</v>
      </c>
      <c r="I24" s="28">
        <f>'Balance Sheet Historical'!K8/'Income Statement'!K10</f>
        <v>6.1364172763747936E-3</v>
      </c>
      <c r="J24" s="28">
        <f>'Balance Sheet Historical'!L8/'Income Statement'!L10</f>
        <v>5.6774359413831518E-3</v>
      </c>
      <c r="K24" s="28">
        <f>'Balance Sheet Historical'!M8/'Income Statement'!M10</f>
        <v>5.8577405857740588E-3</v>
      </c>
      <c r="M24" s="28">
        <f t="shared" si="11"/>
        <v>5.8218736320098004E-3</v>
      </c>
      <c r="N24" s="28">
        <f t="shared" si="12"/>
        <v>6.0324376474340437E-3</v>
      </c>
      <c r="O24" s="28">
        <f>AVERAGE(I24:K24)</f>
        <v>5.8905312678440014E-3</v>
      </c>
      <c r="Q24" s="51">
        <v>6.0000000000000001E-3</v>
      </c>
      <c r="T24" s="50">
        <f t="shared" si="14"/>
        <v>6.0000000000000001E-3</v>
      </c>
      <c r="U24" s="50">
        <f t="shared" si="15"/>
        <v>6.0000000000000001E-3</v>
      </c>
      <c r="V24" s="50">
        <f t="shared" si="16"/>
        <v>6.0000000000000001E-3</v>
      </c>
      <c r="W24" s="50">
        <f t="shared" si="17"/>
        <v>6.0000000000000001E-3</v>
      </c>
      <c r="X24" s="50">
        <f t="shared" si="18"/>
        <v>6.0000000000000001E-3</v>
      </c>
    </row>
    <row r="25" spans="1:24" ht="25.25" customHeight="1">
      <c r="A25" t="s">
        <v>375</v>
      </c>
      <c r="B25" s="28">
        <f>'Balance Sheet Historical'!D9/'Income Statement'!D9</f>
        <v>2.1984810923543069E-2</v>
      </c>
      <c r="C25" s="28">
        <f>'Balance Sheet Historical'!E9/'Income Statement'!E9</f>
        <v>2.2955174052368015E-2</v>
      </c>
      <c r="D25" s="28">
        <f>'Balance Sheet Historical'!F9/'Income Statement'!F9</f>
        <v>3.6300853622197676E-2</v>
      </c>
      <c r="E25" s="28">
        <f>'Balance Sheet Historical'!G9/'Income Statement'!G9</f>
        <v>3.2674911444686441E-2</v>
      </c>
      <c r="F25" s="28">
        <f>'Balance Sheet Historical'!H9/'Income Statement'!H9</f>
        <v>1.8020632453988876E-2</v>
      </c>
      <c r="G25" s="28">
        <f>'Balance Sheet Historical'!I9/'Income Statement'!I9</f>
        <v>3.2939743229313097E-2</v>
      </c>
      <c r="H25" s="28">
        <f>'Balance Sheet Historical'!J9/'Income Statement'!J9</f>
        <v>2.2017060746073919E-2</v>
      </c>
      <c r="I25" s="28">
        <f>'Balance Sheet Historical'!K9/'Income Statement'!K9</f>
        <v>2.9048399620395134E-2</v>
      </c>
      <c r="J25" s="28">
        <f>'Balance Sheet Historical'!L9/'Income Statement'!L9</f>
        <v>3.3969176698556904E-2</v>
      </c>
      <c r="K25" s="28">
        <f>'Balance Sheet Historical'!M9/'Income Statement'!M9</f>
        <v>4.1435185185185186E-2</v>
      </c>
      <c r="M25" s="28">
        <f t="shared" si="11"/>
        <v>2.9134594797630829E-2</v>
      </c>
      <c r="N25" s="28">
        <f t="shared" si="12"/>
        <v>3.1881913095904844E-2</v>
      </c>
      <c r="O25" s="28">
        <f t="shared" si="13"/>
        <v>3.4817587168045741E-2</v>
      </c>
      <c r="Q25" s="51">
        <v>3.3000000000000002E-2</v>
      </c>
      <c r="T25" s="50">
        <f t="shared" si="14"/>
        <v>3.3000000000000002E-2</v>
      </c>
      <c r="U25" s="50">
        <f t="shared" si="15"/>
        <v>3.3000000000000002E-2</v>
      </c>
      <c r="V25" s="50">
        <f t="shared" si="16"/>
        <v>3.3000000000000002E-2</v>
      </c>
      <c r="W25" s="50">
        <f t="shared" si="17"/>
        <v>3.3000000000000002E-2</v>
      </c>
      <c r="X25" s="50">
        <f t="shared" si="18"/>
        <v>3.3000000000000002E-2</v>
      </c>
    </row>
    <row r="26" spans="1:24" ht="25.25" customHeight="1"/>
    <row r="27" spans="1:24" ht="25.25" customHeight="1">
      <c r="A27" s="30" t="s">
        <v>42</v>
      </c>
      <c r="F27" s="24"/>
    </row>
    <row r="28" spans="1:24" ht="25.25" customHeight="1">
      <c r="A28" t="s">
        <v>65</v>
      </c>
      <c r="B28" s="28">
        <f>Calcs!D16/'Income Statement'!D9</f>
        <v>7.1376854365875736E-2</v>
      </c>
      <c r="C28" s="28">
        <f>Calcs!E16/'Income Statement'!E9</f>
        <v>7.3962610521527569E-2</v>
      </c>
      <c r="D28" s="28">
        <f>Calcs!F16/'Income Statement'!F9</f>
        <v>8.122995214807803E-2</v>
      </c>
      <c r="E28" s="28">
        <f>Calcs!G16/'Income Statement'!G9</f>
        <v>0.12897322877612558</v>
      </c>
      <c r="F28" s="28">
        <f>Calcs!H16/'Income Statement'!H9</f>
        <v>0.11204152702626798</v>
      </c>
      <c r="G28" s="28">
        <f>Calcs!I16/'Income Statement'!I9</f>
        <v>8.542362998365248E-2</v>
      </c>
      <c r="H28" s="28">
        <f>Calcs!J16/'Income Statement'!J9</f>
        <v>8.7844326074693516E-2</v>
      </c>
      <c r="I28" s="28">
        <f>Calcs!K16/'Income Statement'!K9</f>
        <v>8.1494262790095764E-2</v>
      </c>
      <c r="J28" s="28">
        <f>Calcs!L16/'Income Statement'!L9</f>
        <v>9.2469904329304894E-2</v>
      </c>
      <c r="K28" s="28">
        <f>Calcs!M16/'Income Statement'!M9</f>
        <v>0.10706018518518519</v>
      </c>
      <c r="M28" s="28">
        <f t="shared" ref="M28:M29" si="19">AVERAGE(B28:K28)</f>
        <v>9.2187648120080665E-2</v>
      </c>
      <c r="N28" s="28">
        <f t="shared" ref="N28:N29" si="20">AVERAGE(G28:K28)</f>
        <v>9.0858461672586363E-2</v>
      </c>
      <c r="O28" s="28">
        <f t="shared" ref="O28:O29" si="21">AVERAGE(I28:K28)</f>
        <v>9.3674784101528616E-2</v>
      </c>
      <c r="Q28" s="51">
        <v>9.2999999999999999E-2</v>
      </c>
      <c r="T28" s="50">
        <f t="shared" ref="T28:T29" si="22">Q28</f>
        <v>9.2999999999999999E-2</v>
      </c>
      <c r="U28" s="50">
        <f t="shared" ref="U28:U29" si="23">Q28</f>
        <v>9.2999999999999999E-2</v>
      </c>
      <c r="V28" s="50">
        <f t="shared" ref="V28:V29" si="24">Q28</f>
        <v>9.2999999999999999E-2</v>
      </c>
      <c r="W28" s="50">
        <f t="shared" ref="W28:W29" si="25">Q28</f>
        <v>9.2999999999999999E-2</v>
      </c>
      <c r="X28" s="50">
        <f t="shared" ref="X28:X29" si="26">Q28</f>
        <v>9.2999999999999999E-2</v>
      </c>
    </row>
    <row r="29" spans="1:24" ht="25.25" customHeight="1">
      <c r="A29" t="s">
        <v>377</v>
      </c>
      <c r="B29" s="28">
        <f>'Balance Sheet Historical'!D12/'Income Statement'!D9</f>
        <v>3.1192696651320191E-2</v>
      </c>
      <c r="C29" s="28">
        <f>'Balance Sheet Historical'!E12/'Income Statement'!E9</f>
        <v>2.9481884013825087E-2</v>
      </c>
      <c r="D29" s="28">
        <f>'Balance Sheet Historical'!F12/'Income Statement'!F9</f>
        <v>4.7575853183993266E-2</v>
      </c>
      <c r="E29" s="28">
        <f>'Balance Sheet Historical'!G12/'Income Statement'!G9</f>
        <v>5.6581318004130222E-2</v>
      </c>
      <c r="F29" s="28">
        <f>'Balance Sheet Historical'!H12/'Income Statement'!H9</f>
        <v>5.9458725730654728E-2</v>
      </c>
      <c r="G29" s="28">
        <f>'Balance Sheet Historical'!I12/'Income Statement'!I9</f>
        <v>6.7535063880298632E-2</v>
      </c>
      <c r="H29" s="28">
        <f>'Balance Sheet Historical'!J12/'Income Statement'!J9</f>
        <v>5.1724806118098952E-2</v>
      </c>
      <c r="I29" s="28">
        <f>'Balance Sheet Historical'!K12/'Income Statement'!K9</f>
        <v>4.5919247692174966E-2</v>
      </c>
      <c r="J29" s="28">
        <f>'Balance Sheet Historical'!L12/'Income Statement'!L9</f>
        <v>4.2363407430070964E-2</v>
      </c>
      <c r="K29" s="28">
        <f>'Balance Sheet Historical'!M12/'Income Statement'!M9</f>
        <v>0.10455246913580248</v>
      </c>
      <c r="M29" s="28">
        <f t="shared" si="19"/>
        <v>5.3638547184036947E-2</v>
      </c>
      <c r="N29" s="28">
        <f t="shared" si="20"/>
        <v>6.2418998851289195E-2</v>
      </c>
      <c r="O29" s="28">
        <f t="shared" si="21"/>
        <v>6.427837475268279E-2</v>
      </c>
      <c r="Q29" s="51">
        <v>6.2E-2</v>
      </c>
      <c r="T29" s="50">
        <f t="shared" si="22"/>
        <v>6.2E-2</v>
      </c>
      <c r="U29" s="50">
        <f t="shared" si="23"/>
        <v>6.2E-2</v>
      </c>
      <c r="V29" s="50">
        <f t="shared" si="24"/>
        <v>6.2E-2</v>
      </c>
      <c r="W29" s="50">
        <f t="shared" si="25"/>
        <v>6.2E-2</v>
      </c>
      <c r="X29" s="50">
        <f t="shared" si="26"/>
        <v>6.2E-2</v>
      </c>
    </row>
    <row r="30" spans="1:24" ht="25.25" customHeight="1">
      <c r="A30" t="s">
        <v>378</v>
      </c>
      <c r="B30" s="32">
        <f>'Balance Sheet Historical'!D13</f>
        <v>2516.3000000000002</v>
      </c>
      <c r="C30" s="32">
        <f>'Balance Sheet Historical'!E13</f>
        <v>2336.5</v>
      </c>
      <c r="D30" s="32">
        <f>'Balance Sheet Historical'!F13</f>
        <v>2379.6999999999998</v>
      </c>
      <c r="E30" s="32">
        <f>'Balance Sheet Historical'!G13</f>
        <v>2331.5</v>
      </c>
      <c r="F30" s="32">
        <f>'Balance Sheet Historical'!H13</f>
        <v>2677.4</v>
      </c>
      <c r="G30" s="32">
        <f>'Balance Sheet Historical'!I13</f>
        <v>2773.1</v>
      </c>
      <c r="H30" s="32">
        <f>'Balance Sheet Historical'!J13</f>
        <v>2782.5</v>
      </c>
      <c r="I30" s="32">
        <f>'Balance Sheet Historical'!K13</f>
        <v>2900.4</v>
      </c>
      <c r="J30" s="32">
        <f>'Balance Sheet Historical'!L13</f>
        <v>3040</v>
      </c>
      <c r="K30" s="32">
        <f>'Balance Sheet Historical'!M13</f>
        <v>3145</v>
      </c>
      <c r="M30" s="28" t="e">
        <f>NA()</f>
        <v>#N/A</v>
      </c>
      <c r="N30" s="28" t="e">
        <f>NA()</f>
        <v>#N/A</v>
      </c>
      <c r="O30" s="28" t="e">
        <f>NA()</f>
        <v>#N/A</v>
      </c>
      <c r="Q30" s="32">
        <f>K30</f>
        <v>3145</v>
      </c>
      <c r="T30" s="32">
        <f>Q30</f>
        <v>3145</v>
      </c>
      <c r="U30" s="32">
        <f>Q30</f>
        <v>3145</v>
      </c>
      <c r="V30" s="32">
        <f>Q30</f>
        <v>3145</v>
      </c>
      <c r="W30" s="32">
        <f>Q30</f>
        <v>3145</v>
      </c>
      <c r="X30" s="32">
        <f>Q30</f>
        <v>3145</v>
      </c>
    </row>
    <row r="31" spans="1:24" ht="25.25" customHeight="1">
      <c r="A31" t="s">
        <v>434</v>
      </c>
      <c r="B31" s="28">
        <f>'Balance Sheet Historical'!D14/'Income Statement'!D9</f>
        <v>7.3548970999094951E-2</v>
      </c>
      <c r="C31" s="28">
        <f>'Balance Sheet Historical'!E14/'Income Statement'!E9</f>
        <v>7.5351617868645387E-2</v>
      </c>
      <c r="D31" s="28">
        <f>'Balance Sheet Historical'!F14/'Income Statement'!F9</f>
        <v>0.11230302711608911</v>
      </c>
      <c r="E31" s="28">
        <f>'Balance Sheet Historical'!G14/'Income Statement'!G9</f>
        <v>0.11200541916181748</v>
      </c>
      <c r="F31" s="28">
        <f>'Balance Sheet Historical'!H14/'Income Statement'!H9</f>
        <v>0.12094886821066821</v>
      </c>
      <c r="G31" s="28">
        <f>'Balance Sheet Historical'!I14/'Income Statement'!I9</f>
        <v>0.18364414456626996</v>
      </c>
      <c r="H31" s="28">
        <f>'Balance Sheet Historical'!J14/'Income Statement'!J9</f>
        <v>0.19159967101438669</v>
      </c>
      <c r="I31" s="28">
        <f>'Balance Sheet Historical'!K14/'Income Statement'!K9</f>
        <v>0.20305409369338279</v>
      </c>
      <c r="J31" s="28">
        <f>'Balance Sheet Historical'!L14/'Income Statement'!L9</f>
        <v>0.22036816939086915</v>
      </c>
      <c r="K31" s="28">
        <f>'Balance Sheet Historical'!M14/'Income Statement'!M9</f>
        <v>0.23514660493827161</v>
      </c>
      <c r="M31" s="28">
        <f t="shared" ref="M31" si="27">AVERAGE(B31:K31)</f>
        <v>0.15279705869594956</v>
      </c>
      <c r="N31" s="28">
        <f t="shared" ref="N31" si="28">AVERAGE(G31:K31)</f>
        <v>0.20676253672063605</v>
      </c>
      <c r="O31" s="28">
        <f t="shared" ref="O31" si="29">AVERAGE(I31:K31)</f>
        <v>0.21952295600750782</v>
      </c>
      <c r="Q31" s="51">
        <v>0.21</v>
      </c>
      <c r="T31" s="50">
        <f t="shared" ref="T31" si="30">Q31</f>
        <v>0.21</v>
      </c>
      <c r="U31" s="50">
        <f t="shared" ref="U31" si="31">Q31</f>
        <v>0.21</v>
      </c>
      <c r="V31" s="50">
        <f t="shared" ref="V31" si="32">Q31</f>
        <v>0.21</v>
      </c>
      <c r="W31" s="50">
        <f t="shared" ref="W31" si="33">Q31</f>
        <v>0.21</v>
      </c>
      <c r="X31" s="50">
        <f t="shared" ref="X31" si="34">Q31</f>
        <v>0.21</v>
      </c>
    </row>
    <row r="32" spans="1:24" ht="25.25" customHeight="1">
      <c r="A32" t="s">
        <v>379</v>
      </c>
      <c r="B32" s="32">
        <f>'Balance Sheet Historical'!D15</f>
        <v>0</v>
      </c>
      <c r="C32" s="32">
        <f>'Balance Sheet Historical'!E15</f>
        <v>0</v>
      </c>
      <c r="D32" s="32">
        <f>'Balance Sheet Historical'!F15</f>
        <v>0</v>
      </c>
      <c r="E32" s="32">
        <f>'Balance Sheet Historical'!G15</f>
        <v>0</v>
      </c>
      <c r="F32" s="32">
        <f>'Balance Sheet Historical'!H15</f>
        <v>13261.2</v>
      </c>
      <c r="G32" s="32">
        <f>'Balance Sheet Historical'!I15</f>
        <v>13827.7</v>
      </c>
      <c r="H32" s="32">
        <f>'Balance Sheet Historical'!J15</f>
        <v>13552</v>
      </c>
      <c r="I32" s="32">
        <f>'Balance Sheet Historical'!K15</f>
        <v>12565.7</v>
      </c>
      <c r="J32" s="32">
        <f>'Balance Sheet Historical'!L15</f>
        <v>13514</v>
      </c>
      <c r="K32" s="32">
        <f>'Balance Sheet Historical'!M15</f>
        <v>13339</v>
      </c>
      <c r="M32" s="28" t="e">
        <f>NA()</f>
        <v>#N/A</v>
      </c>
      <c r="N32" s="28" t="e">
        <f>NA()</f>
        <v>#N/A</v>
      </c>
      <c r="O32" s="28" t="e">
        <f>NA()</f>
        <v>#N/A</v>
      </c>
      <c r="Q32" s="32">
        <f t="shared" ref="Q32" si="35">K32</f>
        <v>13339</v>
      </c>
      <c r="T32" s="32">
        <f t="shared" ref="T32" si="36">Q32</f>
        <v>13339</v>
      </c>
      <c r="U32" s="32">
        <f t="shared" ref="U32" si="37">Q32</f>
        <v>13339</v>
      </c>
      <c r="V32" s="32">
        <f t="shared" ref="V32" si="38">Q32</f>
        <v>13339</v>
      </c>
      <c r="W32" s="32">
        <f t="shared" ref="W32" si="39">Q32</f>
        <v>13339</v>
      </c>
      <c r="X32" s="32">
        <f t="shared" ref="X32" si="40">Q32</f>
        <v>13339</v>
      </c>
    </row>
    <row r="33" spans="1:24" ht="25.25" customHeight="1">
      <c r="A33" t="s">
        <v>381</v>
      </c>
      <c r="B33" s="28">
        <f>Calcs!D17/'Income Statement'!D9</f>
        <v>6.1216700114114828E-2</v>
      </c>
      <c r="C33" s="28">
        <f>Calcs!E17/'Income Statement'!E9</f>
        <v>6.1591509997197612E-2</v>
      </c>
      <c r="D33" s="28">
        <f>Calcs!F17/'Income Statement'!F9</f>
        <v>5.974478974952236E-2</v>
      </c>
      <c r="E33" s="28">
        <f>Calcs!G17/'Income Statement'!G9</f>
        <v>6.9715258797905716E-2</v>
      </c>
      <c r="F33" s="28">
        <f>Calcs!H17/'Income Statement'!H9</f>
        <v>7.5728782460541835E-2</v>
      </c>
      <c r="G33" s="28">
        <f>Calcs!I17/'Income Statement'!I9</f>
        <v>9.1181707431356021E-2</v>
      </c>
      <c r="H33" s="28">
        <f>Calcs!J17/'Income Statement'!J9</f>
        <v>8.0442149774575963E-2</v>
      </c>
      <c r="I33" s="28">
        <f>Calcs!K17/'Income Statement'!K9</f>
        <v>8.0709170908463468E-2</v>
      </c>
      <c r="J33" s="28">
        <f>Calcs!L17/'Income Statement'!L9</f>
        <v>7.7587796200629972E-2</v>
      </c>
      <c r="K33" s="28">
        <f>Calcs!M17/'Income Statement'!M9</f>
        <v>8.0902777777777782E-2</v>
      </c>
      <c r="M33" s="28">
        <f t="shared" ref="M33" si="41">AVERAGE(B33:K33)</f>
        <v>7.3882064321208543E-2</v>
      </c>
      <c r="N33" s="28">
        <f t="shared" ref="N33" si="42">AVERAGE(G33:K33)</f>
        <v>8.2164720418560641E-2</v>
      </c>
      <c r="O33" s="28">
        <f t="shared" ref="O33" si="43">AVERAGE(I33:K33)</f>
        <v>7.973324829562374E-2</v>
      </c>
      <c r="Q33" s="51">
        <v>0.08</v>
      </c>
      <c r="T33" s="50">
        <f>Q33</f>
        <v>0.08</v>
      </c>
      <c r="U33" s="50">
        <f>Q33</f>
        <v>0.08</v>
      </c>
      <c r="V33" s="50">
        <f>Q33</f>
        <v>0.08</v>
      </c>
      <c r="W33" s="50">
        <f>Q33</f>
        <v>0.08</v>
      </c>
      <c r="X33" s="50">
        <f>Q33</f>
        <v>0.08</v>
      </c>
    </row>
    <row r="34" spans="1:24" ht="25.25" customHeight="1"/>
    <row r="35" spans="1:24" ht="25.25" customHeight="1">
      <c r="A35" s="30" t="s">
        <v>43</v>
      </c>
    </row>
    <row r="36" spans="1:24" ht="25.25" customHeight="1">
      <c r="A36" t="s">
        <v>382</v>
      </c>
      <c r="B36" s="28">
        <f>'Balance Sheet Historical'!D22/'Income Statement'!D10</f>
        <v>6.121155860835932E-2</v>
      </c>
      <c r="C36" s="28">
        <f>'Balance Sheet Historical'!E22/'Income Statement'!E10</f>
        <v>5.7560145540334846E-2</v>
      </c>
      <c r="D36" s="28">
        <f>'Balance Sheet Historical'!F22/'Income Statement'!F10</f>
        <v>8.3386893318622979E-2</v>
      </c>
      <c r="E36" s="28">
        <f>'Balance Sheet Historical'!G22/'Income Statement'!G10</f>
        <v>0.13189417018813945</v>
      </c>
      <c r="F36" s="28">
        <f>'Balance Sheet Historical'!H22/'Income Statement'!H10</f>
        <v>0.111918999728187</v>
      </c>
      <c r="G36" s="28">
        <f>'Balance Sheet Historical'!I22/'Income Statement'!I10</f>
        <v>9.2605778960386742E-2</v>
      </c>
      <c r="H36" s="28">
        <f>'Balance Sheet Historical'!J22/'Income Statement'!J10</f>
        <v>0.11058510813571609</v>
      </c>
      <c r="I36" s="28">
        <f>'Balance Sheet Historical'!K22/'Income Statement'!K10</f>
        <v>0.11567146565966487</v>
      </c>
      <c r="J36" s="28">
        <f>'Balance Sheet Historical'!L22/'Income Statement'!L10</f>
        <v>0.11815494044048332</v>
      </c>
      <c r="K36" s="28">
        <f>'Balance Sheet Historical'!M22/'Income Statement'!M10</f>
        <v>0.10763598326359833</v>
      </c>
      <c r="M36" s="28">
        <f t="shared" ref="M36:M40" si="44">AVERAGE(B36:K36)</f>
        <v>9.9062504384349298E-2</v>
      </c>
      <c r="N36" s="28">
        <f t="shared" ref="N36:N40" si="45">AVERAGE(G36:K36)</f>
        <v>0.10893065529196985</v>
      </c>
      <c r="O36" s="28">
        <f t="shared" ref="O36:O40" si="46">AVERAGE(I36:K36)</f>
        <v>0.11382079645458217</v>
      </c>
      <c r="Q36" s="51">
        <v>0.11</v>
      </c>
      <c r="T36" s="50">
        <f t="shared" ref="T36:T40" si="47">Q36</f>
        <v>0.11</v>
      </c>
      <c r="U36" s="50">
        <f t="shared" ref="U36:U40" si="48">Q36</f>
        <v>0.11</v>
      </c>
      <c r="V36" s="50">
        <f t="shared" ref="V36:V40" si="49">Q36</f>
        <v>0.11</v>
      </c>
      <c r="W36" s="50">
        <f t="shared" ref="W36:W40" si="50">Q36</f>
        <v>0.11</v>
      </c>
      <c r="X36" s="50">
        <f t="shared" ref="X36:X40" si="51">Q36</f>
        <v>0.11</v>
      </c>
    </row>
    <row r="37" spans="1:24" ht="25.25" customHeight="1">
      <c r="A37" t="s">
        <v>383</v>
      </c>
      <c r="B37" s="28">
        <f>'Balance Sheet Historical'!D23/'Income Statement'!D9</f>
        <v>0</v>
      </c>
      <c r="C37" s="28">
        <f>'Balance Sheet Historical'!E23/'Income Statement'!E9</f>
        <v>0</v>
      </c>
      <c r="D37" s="28">
        <f>'Balance Sheet Historical'!F23/'Income Statement'!F9</f>
        <v>0</v>
      </c>
      <c r="E37" s="28">
        <f>'Balance Sheet Historical'!G23/'Income Statement'!G9</f>
        <v>0</v>
      </c>
      <c r="F37" s="28">
        <f>'Balance Sheet Historical'!H23/'Income Statement'!H9</f>
        <v>2.9067046114096346E-2</v>
      </c>
      <c r="G37" s="28">
        <f>'Balance Sheet Historical'!I23/'Income Statement'!I9</f>
        <v>3.6521621424629579E-2</v>
      </c>
      <c r="H37" s="28">
        <f>'Balance Sheet Historical'!J23/'Income Statement'!J9</f>
        <v>3.0379496100831509E-2</v>
      </c>
      <c r="I37" s="28">
        <f>'Balance Sheet Historical'!K23/'Income Statement'!K9</f>
        <v>2.8517815546544735E-2</v>
      </c>
      <c r="J37" s="28">
        <f>'Balance Sheet Historical'!L23/'Income Statement'!L9</f>
        <v>2.6987059548045207E-2</v>
      </c>
      <c r="K37" s="28">
        <f>'Balance Sheet Historical'!M23/'Income Statement'!M9</f>
        <v>2.4537037037037038E-2</v>
      </c>
      <c r="M37" s="28">
        <f t="shared" si="44"/>
        <v>1.7601007577118438E-2</v>
      </c>
      <c r="N37" s="28">
        <f t="shared" si="45"/>
        <v>2.9388605931417611E-2</v>
      </c>
      <c r="O37" s="28">
        <f t="shared" si="46"/>
        <v>2.6680637377208993E-2</v>
      </c>
      <c r="Q37" s="51">
        <v>2.7E-2</v>
      </c>
      <c r="T37" s="50">
        <f t="shared" si="47"/>
        <v>2.7E-2</v>
      </c>
      <c r="U37" s="50">
        <f t="shared" si="48"/>
        <v>2.7E-2</v>
      </c>
      <c r="V37" s="50">
        <f t="shared" si="49"/>
        <v>2.7E-2</v>
      </c>
      <c r="W37" s="50">
        <f t="shared" si="50"/>
        <v>2.7E-2</v>
      </c>
      <c r="X37" s="50">
        <f t="shared" si="51"/>
        <v>2.7E-2</v>
      </c>
    </row>
    <row r="38" spans="1:24" ht="25.25" customHeight="1">
      <c r="A38" t="s">
        <v>384</v>
      </c>
      <c r="B38" s="28">
        <f>'Balance Sheet Historical'!D24/'Income Statement'!D9</f>
        <v>6.0913705583756353E-3</v>
      </c>
      <c r="C38" s="28">
        <f>'Balance Sheet Historical'!E24/'Income Statement'!E9</f>
        <v>1.0852127577481835E-2</v>
      </c>
      <c r="D38" s="28">
        <f>'Balance Sheet Historical'!F24/'Income Statement'!F9</f>
        <v>1.1647473313351211E-2</v>
      </c>
      <c r="E38" s="28">
        <f>'Balance Sheet Historical'!G24/'Income Statement'!G9</f>
        <v>1.0739536831013412E-2</v>
      </c>
      <c r="F38" s="28">
        <f>'Balance Sheet Historical'!H24/'Income Statement'!H9</f>
        <v>1.5525828012956131E-2</v>
      </c>
      <c r="G38" s="28">
        <f>'Balance Sheet Historical'!I24/'Income Statement'!I9</f>
        <v>3.8583283874259418E-2</v>
      </c>
      <c r="H38" s="28">
        <f>'Balance Sheet Historical'!J24/'Income Statement'!J9</f>
        <v>1.5532082556442133E-2</v>
      </c>
      <c r="I38" s="28">
        <f>'Balance Sheet Historical'!K24/'Income Statement'!K9</f>
        <v>1.18583383659736E-2</v>
      </c>
      <c r="J38" s="28">
        <f>'Balance Sheet Historical'!L24/'Income Statement'!L9</f>
        <v>2.7653890961296324E-2</v>
      </c>
      <c r="K38" s="28">
        <f>'Balance Sheet Historical'!M24/'Income Statement'!M9</f>
        <v>1.392746913580247E-2</v>
      </c>
      <c r="M38" s="28">
        <f t="shared" si="44"/>
        <v>1.6241140118695218E-2</v>
      </c>
      <c r="N38" s="28">
        <f t="shared" si="45"/>
        <v>2.1511012978754789E-2</v>
      </c>
      <c r="O38" s="28">
        <f t="shared" si="46"/>
        <v>1.7813232821024132E-2</v>
      </c>
      <c r="Q38" s="51">
        <v>1.9E-2</v>
      </c>
      <c r="T38" s="50">
        <f t="shared" si="47"/>
        <v>1.9E-2</v>
      </c>
      <c r="U38" s="50">
        <f t="shared" si="48"/>
        <v>1.9E-2</v>
      </c>
      <c r="V38" s="50">
        <f t="shared" si="49"/>
        <v>1.9E-2</v>
      </c>
      <c r="W38" s="50">
        <f t="shared" si="50"/>
        <v>1.9E-2</v>
      </c>
      <c r="X38" s="50">
        <f t="shared" si="51"/>
        <v>1.9E-2</v>
      </c>
    </row>
    <row r="39" spans="1:24" ht="25.25" customHeight="1">
      <c r="A39" t="s">
        <v>385</v>
      </c>
      <c r="B39" s="28">
        <f>'Balance Sheet Historical'!D25/'Income Statement'!D9</f>
        <v>1.2159131153346712E-2</v>
      </c>
      <c r="C39" s="28">
        <f>'Balance Sheet Historical'!E25/'Income Statement'!E9</f>
        <v>1.0815574752557683E-2</v>
      </c>
      <c r="D39" s="28">
        <f>'Balance Sheet Historical'!F25/'Income Statement'!F9</f>
        <v>1.2068149550402269E-2</v>
      </c>
      <c r="E39" s="28">
        <f>'Balance Sheet Historical'!G25/'Income Statement'!G9</f>
        <v>1.1934386745633387E-2</v>
      </c>
      <c r="F39" s="28">
        <f>'Balance Sheet Historical'!H25/'Income Statement'!H9</f>
        <v>1.1584692291849993E-2</v>
      </c>
      <c r="G39" s="28">
        <f>'Balance Sheet Historical'!I25/'Income Statement'!I9</f>
        <v>1.1818115557221546E-2</v>
      </c>
      <c r="H39" s="28">
        <f>'Balance Sheet Historical'!J25/'Income Statement'!J9</f>
        <v>1.0192525481313703E-2</v>
      </c>
      <c r="I39" s="28">
        <f>'Balance Sheet Historical'!K25/'Income Statement'!K9</f>
        <v>1.1004227417824173E-2</v>
      </c>
      <c r="J39" s="28">
        <f>'Balance Sheet Historical'!L25/'Income Statement'!L9</f>
        <v>1.0512401103017609E-2</v>
      </c>
      <c r="K39" s="28">
        <f>'Balance Sheet Historical'!M25/'Income Statement'!M9</f>
        <v>8.6419753086419745E-3</v>
      </c>
      <c r="M39" s="28">
        <f t="shared" si="44"/>
        <v>1.1073117936180906E-2</v>
      </c>
      <c r="N39" s="28">
        <f t="shared" si="45"/>
        <v>1.0433848973603803E-2</v>
      </c>
      <c r="O39" s="28">
        <f t="shared" si="46"/>
        <v>1.0052867943161252E-2</v>
      </c>
      <c r="Q39" s="51">
        <v>0.01</v>
      </c>
      <c r="T39" s="50">
        <f t="shared" si="47"/>
        <v>0.01</v>
      </c>
      <c r="U39" s="50">
        <f t="shared" si="48"/>
        <v>0.01</v>
      </c>
      <c r="V39" s="50">
        <f t="shared" si="49"/>
        <v>0.01</v>
      </c>
      <c r="W39" s="50">
        <f t="shared" si="50"/>
        <v>0.01</v>
      </c>
      <c r="X39" s="50">
        <f t="shared" si="51"/>
        <v>0.01</v>
      </c>
    </row>
    <row r="40" spans="1:24" ht="25.25" customHeight="1">
      <c r="A40" t="s">
        <v>390</v>
      </c>
      <c r="B40" s="28">
        <f>'Balance Sheet Historical'!D27/'Income Statement'!D9</f>
        <v>5.4255695903671346E-2</v>
      </c>
      <c r="C40" s="28">
        <f>'Balance Sheet Historical'!E27/'Income Statement'!E9</f>
        <v>4.7084099927300491E-2</v>
      </c>
      <c r="D40" s="28">
        <f>'Balance Sheet Historical'!F27/'Income Statement'!F9</f>
        <v>5.0226989886242135E-2</v>
      </c>
      <c r="E40" s="28">
        <f>'Balance Sheet Historical'!G27/'Income Statement'!G9</f>
        <v>4.6410981329294047E-2</v>
      </c>
      <c r="F40" s="28">
        <f>'Balance Sheet Historical'!H27/'Income Statement'!H9</f>
        <v>4.8477841643107221E-2</v>
      </c>
      <c r="G40" s="28">
        <f>'Balance Sheet Historical'!I27/'Income Statement'!I9</f>
        <v>5.9262382990243549E-2</v>
      </c>
      <c r="H40" s="28">
        <f>'Balance Sheet Historical'!J27/'Income Statement'!J9</f>
        <v>5.8003091775790279E-2</v>
      </c>
      <c r="I40" s="28">
        <f>'Balance Sheet Historical'!K27/'Income Statement'!K9</f>
        <v>5.3377620567681826E-2</v>
      </c>
      <c r="J40" s="28">
        <f>'Balance Sheet Historical'!L27/'Income Statement'!L9</f>
        <v>5.6249190976594227E-2</v>
      </c>
      <c r="K40" s="28">
        <f>'Balance Sheet Historical'!M27/'Income Statement'!M9</f>
        <v>4.3557098765432102E-2</v>
      </c>
      <c r="M40" s="28">
        <f t="shared" si="44"/>
        <v>5.1690499376535727E-2</v>
      </c>
      <c r="N40" s="28">
        <f t="shared" si="45"/>
        <v>5.4089877015148405E-2</v>
      </c>
      <c r="O40" s="28">
        <f t="shared" si="46"/>
        <v>5.1061303436569387E-2</v>
      </c>
      <c r="Q40" s="51">
        <v>5.1999999999999998E-2</v>
      </c>
      <c r="T40" s="50">
        <f t="shared" si="47"/>
        <v>5.1999999999999998E-2</v>
      </c>
      <c r="U40" s="50">
        <f t="shared" si="48"/>
        <v>5.1999999999999998E-2</v>
      </c>
      <c r="V40" s="50">
        <f t="shared" si="49"/>
        <v>5.1999999999999998E-2</v>
      </c>
      <c r="W40" s="50">
        <f t="shared" si="50"/>
        <v>5.1999999999999998E-2</v>
      </c>
      <c r="X40" s="50">
        <f t="shared" si="51"/>
        <v>5.1999999999999998E-2</v>
      </c>
    </row>
    <row r="41" spans="1:24" ht="25.25" customHeight="1"/>
    <row r="42" spans="1:24" ht="25.25" customHeight="1">
      <c r="A42" s="30" t="s">
        <v>44</v>
      </c>
    </row>
    <row r="43" spans="1:24" ht="25.25" customHeight="1">
      <c r="A43" s="18" t="s">
        <v>389</v>
      </c>
      <c r="B43" s="32">
        <f>'Balance Sheet Historical'!D32</f>
        <v>0</v>
      </c>
      <c r="C43" s="32">
        <f>'Balance Sheet Historical'!E32</f>
        <v>0</v>
      </c>
      <c r="D43" s="32">
        <f>'Balance Sheet Historical'!F32</f>
        <v>0</v>
      </c>
      <c r="E43" s="32">
        <f>'Balance Sheet Historical'!G32</f>
        <v>0</v>
      </c>
      <c r="F43" s="32">
        <f>'Balance Sheet Historical'!H32</f>
        <v>12757.8</v>
      </c>
      <c r="G43" s="32">
        <f>'Balance Sheet Historical'!I32</f>
        <v>13321.3</v>
      </c>
      <c r="H43" s="32">
        <f>'Balance Sheet Historical'!J32</f>
        <v>13020.9</v>
      </c>
      <c r="I43" s="32">
        <f>'Balance Sheet Historical'!K32</f>
        <v>12134.4</v>
      </c>
      <c r="J43" s="32">
        <f>'Balance Sheet Historical'!L32</f>
        <v>13058</v>
      </c>
      <c r="K43" s="32">
        <f>'Balance Sheet Historical'!M32</f>
        <v>12888</v>
      </c>
      <c r="M43" s="28" t="e">
        <f>NA()</f>
        <v>#N/A</v>
      </c>
      <c r="N43" s="28" t="e">
        <f>NA()</f>
        <v>#N/A</v>
      </c>
      <c r="O43" s="28" t="e">
        <f>NA()</f>
        <v>#N/A</v>
      </c>
      <c r="Q43" s="32">
        <f t="shared" ref="Q43:Q44" si="52">K43</f>
        <v>12888</v>
      </c>
      <c r="T43" s="32">
        <f t="shared" ref="T43:T45" si="53">Q43</f>
        <v>12888</v>
      </c>
      <c r="U43" s="32">
        <f t="shared" ref="U43:U44" si="54">Q43</f>
        <v>12888</v>
      </c>
      <c r="V43" s="32">
        <f t="shared" ref="V43:V44" si="55">Q43</f>
        <v>12888</v>
      </c>
      <c r="W43" s="32">
        <f t="shared" ref="W43:W44" si="56">Q43</f>
        <v>12888</v>
      </c>
      <c r="X43" s="32">
        <f t="shared" ref="X43:X44" si="57">Q43</f>
        <v>12888</v>
      </c>
    </row>
    <row r="44" spans="1:24" ht="25.25" customHeight="1">
      <c r="A44" s="18" t="s">
        <v>388</v>
      </c>
      <c r="B44" s="32">
        <f>'Balance Sheet Historical'!D33</f>
        <v>0</v>
      </c>
      <c r="C44" s="32">
        <f>'Balance Sheet Historical'!E33</f>
        <v>1010.6</v>
      </c>
      <c r="D44" s="32">
        <f>'Balance Sheet Historical'!F33</f>
        <v>2370.9</v>
      </c>
      <c r="E44" s="32">
        <f>'Balance Sheet Historical'!G33</f>
        <v>2081.1999999999998</v>
      </c>
      <c r="F44" s="32">
        <f>'Balance Sheet Historical'!H33</f>
        <v>2265.9</v>
      </c>
      <c r="G44" s="32">
        <f>'Balance Sheet Historical'!I33</f>
        <v>1970.7</v>
      </c>
      <c r="H44" s="32">
        <f>'Balance Sheet Historical'!J33</f>
        <v>1896.8</v>
      </c>
      <c r="I44" s="32">
        <f>'Balance Sheet Historical'!K33</f>
        <v>791.9</v>
      </c>
      <c r="J44" s="32">
        <f>'Balance Sheet Historical'!L33</f>
        <v>363</v>
      </c>
      <c r="K44" s="32">
        <f>'Balance Sheet Historical'!M33</f>
        <v>344</v>
      </c>
      <c r="M44" s="28" t="e">
        <f>NA()</f>
        <v>#N/A</v>
      </c>
      <c r="N44" s="28" t="e">
        <f>NA()</f>
        <v>#N/A</v>
      </c>
      <c r="O44" s="28" t="e">
        <f>NA()</f>
        <v>#N/A</v>
      </c>
      <c r="Q44" s="32">
        <f t="shared" si="52"/>
        <v>344</v>
      </c>
      <c r="T44" s="32">
        <f t="shared" si="53"/>
        <v>344</v>
      </c>
      <c r="U44" s="32">
        <f t="shared" si="54"/>
        <v>344</v>
      </c>
      <c r="V44" s="32">
        <f t="shared" si="55"/>
        <v>344</v>
      </c>
      <c r="W44" s="32">
        <f t="shared" si="56"/>
        <v>344</v>
      </c>
      <c r="X44" s="32">
        <f t="shared" si="57"/>
        <v>344</v>
      </c>
    </row>
    <row r="45" spans="1:24" ht="25.25" customHeight="1">
      <c r="A45" s="18" t="s">
        <v>354</v>
      </c>
      <c r="B45" s="32">
        <f>'Balance Sheet Historical'!D34</f>
        <v>0</v>
      </c>
      <c r="C45" s="32">
        <f>'Balance Sheet Historical'!E34</f>
        <v>0</v>
      </c>
      <c r="D45" s="32">
        <f>'Balance Sheet Historical'!F34</f>
        <v>0</v>
      </c>
      <c r="E45" s="32">
        <f>'Balance Sheet Historical'!G34</f>
        <v>627.79999999999995</v>
      </c>
      <c r="F45" s="32">
        <f>'Balance Sheet Historical'!H34</f>
        <v>660.6</v>
      </c>
      <c r="G45" s="32">
        <f>'Balance Sheet Historical'!I34</f>
        <v>702</v>
      </c>
      <c r="H45" s="32">
        <f>'Balance Sheet Historical'!J34</f>
        <v>738.3</v>
      </c>
      <c r="I45" s="32">
        <f>'Balance Sheet Historical'!K34</f>
        <v>757.8</v>
      </c>
      <c r="J45" s="32">
        <f>'Balance Sheet Historical'!L34</f>
        <v>790</v>
      </c>
      <c r="K45" s="32">
        <f>'Balance Sheet Historical'!M34</f>
        <v>778</v>
      </c>
      <c r="M45" s="28" t="e">
        <f>NA()</f>
        <v>#N/A</v>
      </c>
      <c r="N45" s="28" t="e">
        <f>NA()</f>
        <v>#N/A</v>
      </c>
      <c r="O45" s="28" t="e">
        <f>NA()</f>
        <v>#N/A</v>
      </c>
      <c r="Q45" s="32">
        <f t="shared" ref="Q45:Q47" si="58">K45</f>
        <v>778</v>
      </c>
      <c r="T45" s="32">
        <f t="shared" si="53"/>
        <v>778</v>
      </c>
      <c r="U45" s="32">
        <f>T45</f>
        <v>778</v>
      </c>
      <c r="V45" s="32">
        <f>T45</f>
        <v>778</v>
      </c>
      <c r="W45" s="32">
        <f>T45</f>
        <v>778</v>
      </c>
      <c r="X45" s="32">
        <f>T45</f>
        <v>778</v>
      </c>
    </row>
    <row r="46" spans="1:24" ht="25.25" customHeight="1">
      <c r="A46" t="s">
        <v>386</v>
      </c>
      <c r="B46" s="28">
        <f>'Balance Sheet Historical'!D35/'Income Statement'!D9</f>
        <v>8.161177350175107E-2</v>
      </c>
      <c r="C46" s="28">
        <f>'Balance Sheet Historical'!E35/'Income Statement'!E9</f>
        <v>4.2795235136199886E-2</v>
      </c>
      <c r="D46" s="28">
        <f>'Balance Sheet Historical'!F35/'Income Statement'!F9</f>
        <v>5.0586317505389916E-2</v>
      </c>
      <c r="E46" s="28">
        <f>'Balance Sheet Historical'!G35/'Income Statement'!G9</f>
        <v>5.1571415803066151E-2</v>
      </c>
      <c r="F46" s="28">
        <f>'Balance Sheet Historical'!H35/'Income Statement'!H9</f>
        <v>4.5851978056954561E-2</v>
      </c>
      <c r="G46" s="28">
        <f>'Balance Sheet Historical'!I35/'Income Statement'!I9</f>
        <v>5.4878747175626567E-2</v>
      </c>
      <c r="H46" s="28">
        <f>'Balance Sheet Historical'!J35/'Income Statement'!J9</f>
        <v>4.6548880630756712E-2</v>
      </c>
      <c r="I46" s="28">
        <f>'Balance Sheet Historical'!K35/'Income Statement'!K9</f>
        <v>4.5371408851695279E-2</v>
      </c>
      <c r="J46" s="28">
        <f>'Balance Sheet Historical'!L35/'Income Statement'!L9</f>
        <v>3.7264108387562424E-2</v>
      </c>
      <c r="K46" s="28">
        <f>'Balance Sheet Historical'!M35/'Income Statement'!M9</f>
        <v>2.974537037037037E-2</v>
      </c>
      <c r="M46" s="28">
        <f t="shared" ref="M46" si="59">AVERAGE(B46:K46)</f>
        <v>4.8622523541937294E-2</v>
      </c>
      <c r="N46" s="28">
        <f t="shared" ref="N46" si="60">AVERAGE(G46:K46)</f>
        <v>4.276170308320227E-2</v>
      </c>
      <c r="O46" s="28">
        <f t="shared" ref="O46" si="61">AVERAGE(I46:K46)</f>
        <v>3.7460295869876023E-2</v>
      </c>
      <c r="Q46" s="51">
        <v>4.2999999999999997E-2</v>
      </c>
      <c r="T46" s="50">
        <f t="shared" ref="T46:T47" si="62">Q46</f>
        <v>4.2999999999999997E-2</v>
      </c>
      <c r="U46" s="50">
        <f>T46</f>
        <v>4.2999999999999997E-2</v>
      </c>
      <c r="V46" s="50">
        <f>U46</f>
        <v>4.2999999999999997E-2</v>
      </c>
      <c r="W46" s="50">
        <f>T46</f>
        <v>4.2999999999999997E-2</v>
      </c>
      <c r="X46" s="50">
        <f>T46</f>
        <v>4.2999999999999997E-2</v>
      </c>
    </row>
    <row r="47" spans="1:24" ht="25.25" customHeight="1">
      <c r="A47" t="s">
        <v>387</v>
      </c>
      <c r="B47" s="32">
        <f>'Balance Sheet Historical'!D36</f>
        <v>1704.3</v>
      </c>
      <c r="C47" s="32">
        <f>'Balance Sheet Historical'!E36</f>
        <v>1817.1</v>
      </c>
      <c r="D47" s="32">
        <f>'Balance Sheet Historical'!F36</f>
        <v>1119.4000000000001</v>
      </c>
      <c r="E47" s="32">
        <f>'Balance Sheet Historical'!G36</f>
        <v>1215.5</v>
      </c>
      <c r="F47" s="32">
        <f>'Balance Sheet Historical'!H36</f>
        <v>1318.1</v>
      </c>
      <c r="G47" s="32">
        <f>'Balance Sheet Historical'!I36</f>
        <v>2025.6</v>
      </c>
      <c r="H47" s="32">
        <f>'Balance Sheet Historical'!J36</f>
        <v>2075.6</v>
      </c>
      <c r="I47" s="32">
        <f>'Balance Sheet Historical'!K36</f>
        <v>1997.5</v>
      </c>
      <c r="J47" s="32">
        <f>'Balance Sheet Historical'!L36</f>
        <v>1681</v>
      </c>
      <c r="K47" s="32">
        <f>'Balance Sheet Historical'!M36</f>
        <v>1914</v>
      </c>
      <c r="M47" s="28" t="e">
        <f>NA()</f>
        <v>#N/A</v>
      </c>
      <c r="N47" s="28" t="e">
        <f>NA()</f>
        <v>#N/A</v>
      </c>
      <c r="O47" s="28" t="e">
        <f>NA()</f>
        <v>#N/A</v>
      </c>
      <c r="Q47" s="32">
        <f t="shared" si="58"/>
        <v>1914</v>
      </c>
      <c r="T47" s="32">
        <f t="shared" si="62"/>
        <v>1914</v>
      </c>
      <c r="U47" s="32">
        <f t="shared" ref="U47" si="63">Q47</f>
        <v>1914</v>
      </c>
      <c r="V47" s="32">
        <f t="shared" ref="V47" si="64">Q47</f>
        <v>1914</v>
      </c>
      <c r="W47" s="32">
        <f t="shared" ref="W47" si="65">Q47</f>
        <v>1914</v>
      </c>
      <c r="X47" s="32">
        <f t="shared" ref="X47" si="66">Q47</f>
        <v>1914</v>
      </c>
    </row>
    <row r="48" spans="1:24" ht="25.25" customHeight="1"/>
    <row r="49" spans="1:24" ht="25.25" customHeight="1">
      <c r="A49" s="23" t="s">
        <v>45</v>
      </c>
    </row>
    <row r="50" spans="1:24" ht="25.25" customHeight="1">
      <c r="A50" t="s">
        <v>348</v>
      </c>
      <c r="B50" s="31">
        <f>'Balance Sheet Historical'!D40</f>
        <v>16.600000000000001</v>
      </c>
      <c r="C50" s="31">
        <f>'Balance Sheet Historical'!E40</f>
        <v>16.600000000000001</v>
      </c>
      <c r="D50" s="31">
        <f>'Balance Sheet Historical'!F40</f>
        <v>16.600000000000001</v>
      </c>
      <c r="E50" s="31">
        <f>'Balance Sheet Historical'!G40</f>
        <v>16.600000000000001</v>
      </c>
      <c r="F50" s="31">
        <f>'Balance Sheet Historical'!H40</f>
        <v>16.600000000000001</v>
      </c>
      <c r="G50" s="31">
        <f>'Balance Sheet Historical'!I40</f>
        <v>16.600000000000001</v>
      </c>
      <c r="H50" s="31">
        <f>'Balance Sheet Historical'!J40</f>
        <v>16.600000000000001</v>
      </c>
      <c r="I50" s="31">
        <f>'Balance Sheet Historical'!K40</f>
        <v>16.600000000000001</v>
      </c>
      <c r="J50" s="31">
        <f>'Balance Sheet Historical'!L40</f>
        <v>17</v>
      </c>
      <c r="K50" s="31">
        <f>'Balance Sheet Historical'!M40</f>
        <v>17</v>
      </c>
      <c r="M50" s="28" t="e">
        <f>NA()</f>
        <v>#N/A</v>
      </c>
      <c r="N50" s="28" t="e">
        <f>NA()</f>
        <v>#N/A</v>
      </c>
      <c r="O50" s="28" t="e">
        <f>NA()</f>
        <v>#N/A</v>
      </c>
      <c r="Q50" s="32">
        <f t="shared" ref="Q50:Q53" si="67">K50</f>
        <v>17</v>
      </c>
      <c r="T50" s="32">
        <f t="shared" ref="T50:T52" si="68">Q50</f>
        <v>17</v>
      </c>
      <c r="U50" s="32">
        <f t="shared" ref="U50:U52" si="69">Q50</f>
        <v>17</v>
      </c>
      <c r="V50" s="32">
        <f t="shared" ref="V50:V52" si="70">Q50</f>
        <v>17</v>
      </c>
      <c r="W50" s="32">
        <f t="shared" ref="W50:W52" si="71">Q50</f>
        <v>17</v>
      </c>
      <c r="X50" s="32">
        <f t="shared" ref="X50:X52" si="72">Q50</f>
        <v>17</v>
      </c>
    </row>
    <row r="51" spans="1:24" ht="25.25" customHeight="1">
      <c r="A51" t="s">
        <v>12</v>
      </c>
      <c r="B51" s="32">
        <f>'Balance Sheet Historical'!D41</f>
        <v>6533.4</v>
      </c>
      <c r="C51" s="32">
        <f>'Balance Sheet Historical'!E41</f>
        <v>6757.9</v>
      </c>
      <c r="D51" s="32">
        <f>'Balance Sheet Historical'!F41</f>
        <v>7072.4</v>
      </c>
      <c r="E51" s="32">
        <f>'Balance Sheet Historical'!G41</f>
        <v>7376</v>
      </c>
      <c r="F51" s="32">
        <f>'Balance Sheet Historical'!H41</f>
        <v>7653.9</v>
      </c>
      <c r="G51" s="32">
        <f>'Balance Sheet Historical'!I41</f>
        <v>7903.6</v>
      </c>
      <c r="H51" s="32">
        <f>'Balance Sheet Historical'!J41</f>
        <v>8231.6</v>
      </c>
      <c r="I51" s="32">
        <f>'Balance Sheet Historical'!K41</f>
        <v>8547.1</v>
      </c>
      <c r="J51" s="32">
        <f>'Balance Sheet Historical'!L41</f>
        <v>8893</v>
      </c>
      <c r="K51" s="32">
        <f>'Balance Sheet Historical'!M41</f>
        <v>9281</v>
      </c>
      <c r="M51" s="28" t="e">
        <f>NA()</f>
        <v>#N/A</v>
      </c>
      <c r="N51" s="28" t="e">
        <f>NA()</f>
        <v>#N/A</v>
      </c>
      <c r="O51" s="28" t="e">
        <f>NA()</f>
        <v>#N/A</v>
      </c>
      <c r="Q51" s="32">
        <f t="shared" si="67"/>
        <v>9281</v>
      </c>
      <c r="T51" s="32">
        <f t="shared" si="68"/>
        <v>9281</v>
      </c>
      <c r="U51" s="32">
        <f t="shared" si="69"/>
        <v>9281</v>
      </c>
      <c r="V51" s="32">
        <f t="shared" si="70"/>
        <v>9281</v>
      </c>
      <c r="W51" s="32">
        <f t="shared" si="71"/>
        <v>9281</v>
      </c>
      <c r="X51" s="32">
        <f t="shared" si="72"/>
        <v>9281</v>
      </c>
    </row>
    <row r="52" spans="1:24" ht="25.25" customHeight="1">
      <c r="A52" t="s">
        <v>347</v>
      </c>
      <c r="B52" s="32">
        <f>'Balance Sheet Historical'!D43</f>
        <v>-2879.8</v>
      </c>
      <c r="C52" s="32">
        <f>'Balance Sheet Historical'!E43</f>
        <v>-3092.9</v>
      </c>
      <c r="D52" s="32">
        <f>'Balance Sheet Historical'!F43</f>
        <v>-2178.4</v>
      </c>
      <c r="E52" s="32">
        <f>'Balance Sheet Historical'!G43</f>
        <v>-2609.5</v>
      </c>
      <c r="F52" s="32">
        <f>'Balance Sheet Historical'!H43</f>
        <v>-2482.6999999999998</v>
      </c>
      <c r="G52" s="32">
        <f>'Balance Sheet Historical'!I43</f>
        <v>-2586.8000000000002</v>
      </c>
      <c r="H52" s="32">
        <f>'Balance Sheet Historical'!J43</f>
        <v>-2573.6999999999998</v>
      </c>
      <c r="I52" s="32">
        <f>'Balance Sheet Historical'!K43</f>
        <v>-2486.6</v>
      </c>
      <c r="J52" s="32">
        <f>'Balance Sheet Historical'!L43</f>
        <v>-2456</v>
      </c>
      <c r="K52" s="32">
        <f>'Balance Sheet Historical'!M43</f>
        <v>-2553</v>
      </c>
      <c r="M52" s="28" t="e">
        <f>NA()</f>
        <v>#N/A</v>
      </c>
      <c r="N52" s="28" t="e">
        <f>NA()</f>
        <v>#N/A</v>
      </c>
      <c r="O52" s="28" t="e">
        <f>NA()</f>
        <v>#N/A</v>
      </c>
      <c r="Q52" s="32">
        <f t="shared" si="67"/>
        <v>-2553</v>
      </c>
      <c r="T52" s="32">
        <f t="shared" si="68"/>
        <v>-2553</v>
      </c>
      <c r="U52" s="32">
        <f t="shared" si="69"/>
        <v>-2553</v>
      </c>
      <c r="V52" s="32">
        <f t="shared" si="70"/>
        <v>-2553</v>
      </c>
      <c r="W52" s="32">
        <f t="shared" si="71"/>
        <v>-2553</v>
      </c>
      <c r="X52" s="32">
        <f t="shared" si="72"/>
        <v>-2553</v>
      </c>
    </row>
    <row r="53" spans="1:24" ht="25.25" customHeight="1">
      <c r="A53" t="s">
        <v>350</v>
      </c>
      <c r="B53" s="32">
        <f>'Balance Sheet PROJECTED'!D58</f>
        <v>-41176.800000000003</v>
      </c>
      <c r="C53" s="32">
        <f>'Balance Sheet PROJECTED'!E58</f>
        <v>-52108.6</v>
      </c>
      <c r="D53" s="32">
        <f>'Balance Sheet PROJECTED'!F58</f>
        <v>-56504.4</v>
      </c>
      <c r="E53" s="32">
        <f>'Balance Sheet PROJECTED'!G58</f>
        <v>-61528.5</v>
      </c>
      <c r="F53" s="32">
        <f>'Balance Sheet PROJECTED'!H58</f>
        <v>-66328.600000000006</v>
      </c>
      <c r="G53" s="32">
        <f>'Balance Sheet PROJECTED'!I58</f>
        <v>-67066.399999999994</v>
      </c>
      <c r="H53" s="32">
        <f>'Balance Sheet PROJECTED'!J58</f>
        <v>-67810.2</v>
      </c>
      <c r="I53" s="32">
        <f>'Balance Sheet PROJECTED'!K58</f>
        <v>-71624.399999999994</v>
      </c>
      <c r="J53" s="32">
        <f>'Balance Sheet PROJECTED'!L58</f>
        <v>-74640</v>
      </c>
      <c r="K53" s="32">
        <f>'Balance Sheet PROJECTED'!M58</f>
        <v>-77375</v>
      </c>
      <c r="M53" s="28" t="e">
        <f>NA()</f>
        <v>#N/A</v>
      </c>
      <c r="N53" s="28" t="e">
        <f>NA()</f>
        <v>#N/A</v>
      </c>
      <c r="O53" s="28" t="e">
        <f>NA()</f>
        <v>#N/A</v>
      </c>
      <c r="Q53" s="32">
        <f t="shared" si="67"/>
        <v>-77375</v>
      </c>
      <c r="T53" s="32">
        <v>-3000</v>
      </c>
      <c r="U53" s="32">
        <v>0</v>
      </c>
      <c r="V53" s="32">
        <v>0</v>
      </c>
      <c r="W53" s="32">
        <v>0</v>
      </c>
      <c r="X53" s="32">
        <v>0</v>
      </c>
    </row>
    <row r="54" spans="1:24" ht="25.25" customHeight="1"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24" ht="25.25" customHeight="1">
      <c r="A55" s="23" t="s">
        <v>71</v>
      </c>
    </row>
    <row r="56" spans="1:24" ht="25.25" customHeight="1">
      <c r="A56" s="18" t="s">
        <v>416</v>
      </c>
      <c r="Q56" s="51">
        <f>5.02781%+1%</f>
        <v>6.0278100000000001E-2</v>
      </c>
      <c r="T56" s="50">
        <f t="shared" ref="T56" si="73">Q56</f>
        <v>6.0278100000000001E-2</v>
      </c>
      <c r="U56" s="50">
        <f t="shared" ref="U56" si="74">Q56</f>
        <v>6.0278100000000001E-2</v>
      </c>
      <c r="V56" s="50">
        <f t="shared" ref="V56" si="75">Q56</f>
        <v>6.0278100000000001E-2</v>
      </c>
      <c r="W56" s="50">
        <f t="shared" ref="W56" si="76">Q56</f>
        <v>6.0278100000000001E-2</v>
      </c>
      <c r="X56" s="50">
        <f t="shared" ref="X56" si="77">Q56</f>
        <v>6.0278100000000001E-2</v>
      </c>
    </row>
    <row r="57" spans="1:24" ht="25.25" customHeight="1">
      <c r="A57" s="18" t="s">
        <v>401</v>
      </c>
      <c r="Q57" s="51">
        <v>4.2000000000000003E-2</v>
      </c>
      <c r="T57" s="50">
        <f t="shared" ref="T57:T66" si="78">Q57</f>
        <v>4.2000000000000003E-2</v>
      </c>
      <c r="U57" s="50">
        <f t="shared" ref="U57:U66" si="79">Q57</f>
        <v>4.2000000000000003E-2</v>
      </c>
      <c r="V57" s="50">
        <f t="shared" ref="V57:V66" si="80">Q57</f>
        <v>4.2000000000000003E-2</v>
      </c>
      <c r="W57" s="50">
        <f t="shared" ref="W57:W66" si="81">Q57</f>
        <v>4.2000000000000003E-2</v>
      </c>
      <c r="X57" s="50">
        <f t="shared" ref="X57:X66" si="82">Q57</f>
        <v>4.2000000000000003E-2</v>
      </c>
    </row>
    <row r="58" spans="1:24" ht="25.25" customHeight="1">
      <c r="A58" s="18" t="s">
        <v>402</v>
      </c>
      <c r="Q58" s="51">
        <v>5.7000000000000002E-2</v>
      </c>
      <c r="T58" s="50">
        <f t="shared" si="78"/>
        <v>5.7000000000000002E-2</v>
      </c>
      <c r="U58" s="50">
        <f t="shared" si="79"/>
        <v>5.7000000000000002E-2</v>
      </c>
      <c r="V58" s="50">
        <f t="shared" si="80"/>
        <v>5.7000000000000002E-2</v>
      </c>
      <c r="W58" s="50">
        <f t="shared" si="81"/>
        <v>5.7000000000000002E-2</v>
      </c>
      <c r="X58" s="50">
        <f t="shared" si="82"/>
        <v>5.7000000000000002E-2</v>
      </c>
    </row>
    <row r="59" spans="1:24" ht="25.25" customHeight="1">
      <c r="A59" s="18" t="s">
        <v>403</v>
      </c>
      <c r="Q59" s="51">
        <v>2.5000000000000001E-2</v>
      </c>
      <c r="T59" s="50">
        <f t="shared" si="78"/>
        <v>2.5000000000000001E-2</v>
      </c>
      <c r="U59" s="50">
        <f t="shared" si="79"/>
        <v>2.5000000000000001E-2</v>
      </c>
      <c r="V59" s="50">
        <f t="shared" si="80"/>
        <v>2.5000000000000001E-2</v>
      </c>
      <c r="W59" s="50">
        <f t="shared" si="81"/>
        <v>2.5000000000000001E-2</v>
      </c>
      <c r="X59" s="50">
        <f t="shared" si="82"/>
        <v>2.5000000000000001E-2</v>
      </c>
    </row>
    <row r="60" spans="1:24" ht="25.25" customHeight="1">
      <c r="A60" s="18" t="s">
        <v>404</v>
      </c>
      <c r="Q60" s="51">
        <v>5.2999999999999999E-2</v>
      </c>
      <c r="T60" s="50">
        <f t="shared" si="78"/>
        <v>5.2999999999999999E-2</v>
      </c>
      <c r="U60" s="50">
        <f t="shared" si="79"/>
        <v>5.2999999999999999E-2</v>
      </c>
      <c r="V60" s="50">
        <f t="shared" si="80"/>
        <v>5.2999999999999999E-2</v>
      </c>
      <c r="W60" s="50">
        <f t="shared" si="81"/>
        <v>5.2999999999999999E-2</v>
      </c>
      <c r="X60" s="50">
        <f t="shared" si="82"/>
        <v>5.2999999999999999E-2</v>
      </c>
    </row>
    <row r="61" spans="1:24" ht="25.25" customHeight="1">
      <c r="A61" s="18" t="s">
        <v>405</v>
      </c>
      <c r="Q61" s="51">
        <v>3.6999999999999998E-2</v>
      </c>
      <c r="T61" s="50">
        <f t="shared" si="78"/>
        <v>3.6999999999999998E-2</v>
      </c>
      <c r="U61" s="50">
        <f t="shared" si="79"/>
        <v>3.6999999999999998E-2</v>
      </c>
      <c r="V61" s="50">
        <f t="shared" si="80"/>
        <v>3.6999999999999998E-2</v>
      </c>
      <c r="W61" s="50">
        <f t="shared" si="81"/>
        <v>3.6999999999999998E-2</v>
      </c>
      <c r="X61" s="50">
        <f t="shared" si="82"/>
        <v>3.6999999999999998E-2</v>
      </c>
    </row>
    <row r="62" spans="1:24" ht="25.25" customHeight="1">
      <c r="A62" s="18" t="s">
        <v>407</v>
      </c>
      <c r="Q62" s="51">
        <v>4.1000000000000002E-2</v>
      </c>
      <c r="T62" s="50">
        <f t="shared" si="78"/>
        <v>4.1000000000000002E-2</v>
      </c>
      <c r="U62" s="50">
        <f t="shared" si="79"/>
        <v>4.1000000000000002E-2</v>
      </c>
      <c r="V62" s="50">
        <f t="shared" si="80"/>
        <v>4.1000000000000002E-2</v>
      </c>
      <c r="W62" s="50">
        <f t="shared" si="81"/>
        <v>4.1000000000000002E-2</v>
      </c>
      <c r="X62" s="50">
        <f t="shared" si="82"/>
        <v>4.1000000000000002E-2</v>
      </c>
    </row>
    <row r="63" spans="1:24" ht="25.25" customHeight="1">
      <c r="A63" s="18" t="s">
        <v>409</v>
      </c>
      <c r="Q63" s="51">
        <v>0.04</v>
      </c>
      <c r="T63" s="50">
        <f t="shared" si="78"/>
        <v>0.04</v>
      </c>
      <c r="U63" s="50">
        <f t="shared" si="79"/>
        <v>0.04</v>
      </c>
      <c r="V63" s="50">
        <f t="shared" si="80"/>
        <v>0.04</v>
      </c>
      <c r="W63" s="50">
        <f t="shared" si="81"/>
        <v>0.04</v>
      </c>
      <c r="X63" s="50">
        <f t="shared" si="82"/>
        <v>0.04</v>
      </c>
    </row>
    <row r="64" spans="1:24" ht="25.25" customHeight="1">
      <c r="A64" s="18" t="s">
        <v>408</v>
      </c>
      <c r="Q64" s="51">
        <v>2.9000000000000001E-2</v>
      </c>
      <c r="T64" s="50">
        <f t="shared" si="78"/>
        <v>2.9000000000000001E-2</v>
      </c>
      <c r="U64" s="50">
        <f t="shared" si="79"/>
        <v>2.9000000000000001E-2</v>
      </c>
      <c r="V64" s="50">
        <f t="shared" si="80"/>
        <v>2.9000000000000001E-2</v>
      </c>
      <c r="W64" s="50">
        <f t="shared" si="81"/>
        <v>2.9000000000000001E-2</v>
      </c>
      <c r="X64" s="50">
        <f t="shared" si="82"/>
        <v>2.9000000000000001E-2</v>
      </c>
    </row>
    <row r="65" spans="1:24" ht="25.25" customHeight="1">
      <c r="A65" s="18" t="s">
        <v>411</v>
      </c>
      <c r="Q65" s="51">
        <v>1.2E-2</v>
      </c>
      <c r="T65" s="50">
        <f t="shared" si="78"/>
        <v>1.2E-2</v>
      </c>
      <c r="U65" s="50">
        <f t="shared" si="79"/>
        <v>1.2E-2</v>
      </c>
      <c r="V65" s="50">
        <f t="shared" si="80"/>
        <v>1.2E-2</v>
      </c>
      <c r="W65" s="50">
        <f t="shared" si="81"/>
        <v>1.2E-2</v>
      </c>
      <c r="X65" s="50">
        <f t="shared" si="82"/>
        <v>1.2E-2</v>
      </c>
    </row>
    <row r="66" spans="1:24" ht="25.25" customHeight="1">
      <c r="A66" s="18" t="s">
        <v>412</v>
      </c>
      <c r="Q66" s="51">
        <v>7.0000000000000001E-3</v>
      </c>
      <c r="T66" s="50">
        <f t="shared" si="78"/>
        <v>7.0000000000000001E-3</v>
      </c>
      <c r="U66" s="50">
        <f t="shared" si="79"/>
        <v>7.0000000000000001E-3</v>
      </c>
      <c r="V66" s="50">
        <f t="shared" si="80"/>
        <v>7.0000000000000001E-3</v>
      </c>
      <c r="W66" s="50">
        <f t="shared" si="81"/>
        <v>7.0000000000000001E-3</v>
      </c>
      <c r="X66" s="50">
        <f t="shared" si="82"/>
        <v>7.0000000000000001E-3</v>
      </c>
    </row>
    <row r="67" spans="1:24" ht="25.25" customHeight="1">
      <c r="A67" s="18" t="s">
        <v>227</v>
      </c>
      <c r="Q67" s="51">
        <v>4.3999999999999997E-2</v>
      </c>
      <c r="T67" s="50">
        <f t="shared" ref="T67:T68" si="83">Q67</f>
        <v>4.3999999999999997E-2</v>
      </c>
      <c r="U67" s="50">
        <f t="shared" ref="U67:U68" si="84">Q67</f>
        <v>4.3999999999999997E-2</v>
      </c>
      <c r="V67" s="50">
        <f t="shared" ref="V67:V68" si="85">Q67</f>
        <v>4.3999999999999997E-2</v>
      </c>
      <c r="W67" s="50">
        <f t="shared" ref="W67:W68" si="86">Q67</f>
        <v>4.3999999999999997E-2</v>
      </c>
      <c r="X67" s="50">
        <f t="shared" ref="X67:X68" si="87">Q67</f>
        <v>4.3999999999999997E-2</v>
      </c>
    </row>
    <row r="68" spans="1:24" ht="25.25" customHeight="1">
      <c r="A68" s="18" t="s">
        <v>443</v>
      </c>
      <c r="Q68" s="32">
        <f>'Balance Sheet PROJECTED'!M45</f>
        <v>-192</v>
      </c>
      <c r="T68" s="32">
        <f t="shared" si="83"/>
        <v>-192</v>
      </c>
      <c r="U68" s="32">
        <f t="shared" si="84"/>
        <v>-192</v>
      </c>
      <c r="V68" s="32">
        <f t="shared" si="85"/>
        <v>-192</v>
      </c>
      <c r="W68" s="32">
        <f t="shared" si="86"/>
        <v>-192</v>
      </c>
      <c r="X68" s="32">
        <f t="shared" si="87"/>
        <v>-192</v>
      </c>
    </row>
  </sheetData>
  <pageMargins left="0.7" right="0.7" top="0.75" bottom="0.75" header="0.3" footer="0.3"/>
  <pageSetup scale="35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F91C-C275-412F-8317-7BED2F9FC23F}">
  <sheetPr>
    <pageSetUpPr fitToPage="1"/>
  </sheetPr>
  <dimension ref="A1:R64"/>
  <sheetViews>
    <sheetView workbookViewId="0"/>
    <sheetView tabSelected="1" workbookViewId="1">
      <selection activeCell="H21" sqref="H21"/>
    </sheetView>
  </sheetViews>
  <sheetFormatPr defaultRowHeight="14" outlineLevelRow="1" outlineLevelCol="1"/>
  <cols>
    <col min="1" max="1" width="4.4140625" customWidth="1"/>
    <col min="2" max="2" width="36.6640625" bestFit="1" customWidth="1"/>
    <col min="3" max="10" width="8.1640625" bestFit="1" customWidth="1" outlineLevel="1"/>
    <col min="11" max="13" width="8.1640625" bestFit="1" customWidth="1"/>
    <col min="14" max="14" width="11.6640625" customWidth="1"/>
    <col min="15" max="15" width="12.6640625" bestFit="1" customWidth="1"/>
    <col min="16" max="17" width="11.6640625" customWidth="1"/>
    <col min="18" max="18" width="13.08203125" bestFit="1" customWidth="1"/>
  </cols>
  <sheetData>
    <row r="1" spans="1:13" ht="30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thickBot="1">
      <c r="B2" s="6" t="s">
        <v>328</v>
      </c>
    </row>
    <row r="3" spans="1:13" ht="14.5" thickBot="1">
      <c r="K3" s="43" t="s">
        <v>68</v>
      </c>
      <c r="L3" s="44"/>
      <c r="M3" s="45"/>
    </row>
    <row r="4" spans="1:13">
      <c r="C4" s="7">
        <v>42004</v>
      </c>
      <c r="D4" s="7">
        <v>42369</v>
      </c>
      <c r="E4" s="7">
        <v>42735</v>
      </c>
      <c r="F4" s="7">
        <v>43100</v>
      </c>
      <c r="G4" s="7">
        <v>43465</v>
      </c>
      <c r="H4" s="7">
        <v>43830</v>
      </c>
      <c r="I4" s="7">
        <v>44196</v>
      </c>
      <c r="J4" s="46">
        <v>44561</v>
      </c>
      <c r="K4" s="47">
        <v>44926</v>
      </c>
      <c r="L4" s="47">
        <v>45291</v>
      </c>
      <c r="M4" s="47">
        <v>45657</v>
      </c>
    </row>
    <row r="5" spans="1:13">
      <c r="B5" s="1" t="s">
        <v>24</v>
      </c>
      <c r="C5" s="18"/>
      <c r="D5" s="18"/>
      <c r="E5" s="18"/>
      <c r="F5" s="18"/>
      <c r="G5" s="18"/>
      <c r="H5" s="18"/>
      <c r="I5" s="18"/>
      <c r="J5" s="18"/>
      <c r="K5" s="48"/>
      <c r="L5" s="48"/>
      <c r="M5" s="49"/>
    </row>
    <row r="6" spans="1:13" ht="19.5" customHeight="1">
      <c r="B6" t="s">
        <v>333</v>
      </c>
      <c r="C6" s="19">
        <v>2077.9</v>
      </c>
      <c r="D6" s="19">
        <v>7685.5</v>
      </c>
      <c r="E6" s="19">
        <v>1223.4000000000001</v>
      </c>
      <c r="F6" s="19">
        <v>2463.8000000000002</v>
      </c>
      <c r="G6" s="19">
        <v>866</v>
      </c>
      <c r="H6" s="19">
        <v>898.5</v>
      </c>
      <c r="I6" s="19">
        <v>3449.1</v>
      </c>
      <c r="J6" s="19">
        <v>4709.2</v>
      </c>
      <c r="K6" s="19">
        <v>2583.8000000000002</v>
      </c>
      <c r="L6" s="19">
        <v>4579</v>
      </c>
      <c r="M6" s="19">
        <v>1085</v>
      </c>
    </row>
    <row r="7" spans="1:13" ht="19.5" customHeight="1">
      <c r="B7" t="s">
        <v>334</v>
      </c>
      <c r="C7" s="20">
        <v>1214.4000000000001</v>
      </c>
      <c r="D7" s="20">
        <v>1298.7</v>
      </c>
      <c r="E7" s="20">
        <v>1474.1</v>
      </c>
      <c r="F7" s="20">
        <v>1976.2</v>
      </c>
      <c r="G7" s="20">
        <v>2441.5</v>
      </c>
      <c r="H7" s="20">
        <v>2224.1999999999998</v>
      </c>
      <c r="I7" s="20">
        <v>2110.3000000000002</v>
      </c>
      <c r="J7" s="20">
        <v>1872.4</v>
      </c>
      <c r="K7" s="20">
        <v>2115</v>
      </c>
      <c r="L7" s="20">
        <v>2488</v>
      </c>
      <c r="M7" s="20">
        <v>2383</v>
      </c>
    </row>
    <row r="8" spans="1:13" ht="19.5" customHeight="1">
      <c r="B8" t="s">
        <v>335</v>
      </c>
      <c r="C8" s="20">
        <v>110</v>
      </c>
      <c r="D8" s="20">
        <v>100.1</v>
      </c>
      <c r="E8" s="20">
        <v>58.9</v>
      </c>
      <c r="F8" s="20">
        <v>58.8</v>
      </c>
      <c r="G8" s="20">
        <v>51.1</v>
      </c>
      <c r="H8" s="20">
        <v>50.2</v>
      </c>
      <c r="I8" s="20">
        <v>51.1</v>
      </c>
      <c r="J8" s="20">
        <v>55.6</v>
      </c>
      <c r="K8" s="20">
        <v>52</v>
      </c>
      <c r="L8" s="20">
        <v>53</v>
      </c>
      <c r="M8" s="12">
        <v>56</v>
      </c>
    </row>
    <row r="9" spans="1:13" ht="19.5" customHeight="1">
      <c r="B9" t="s">
        <v>336</v>
      </c>
      <c r="C9" s="20">
        <v>783.2</v>
      </c>
      <c r="D9" s="20">
        <v>558.70000000000005</v>
      </c>
      <c r="E9" s="20">
        <v>565.20000000000005</v>
      </c>
      <c r="F9" s="20">
        <v>828.4</v>
      </c>
      <c r="G9" s="20">
        <v>694.6</v>
      </c>
      <c r="H9" s="20">
        <v>385</v>
      </c>
      <c r="I9" s="20">
        <v>632.70000000000005</v>
      </c>
      <c r="J9" s="20">
        <v>511.3</v>
      </c>
      <c r="K9" s="20">
        <v>673.4</v>
      </c>
      <c r="L9" s="20">
        <v>866</v>
      </c>
      <c r="M9" s="12">
        <v>1074</v>
      </c>
    </row>
    <row r="10" spans="1:13" ht="19.5" customHeight="1">
      <c r="B10" t="s">
        <v>337</v>
      </c>
      <c r="C10" s="20">
        <v>0</v>
      </c>
      <c r="D10" s="20">
        <v>0</v>
      </c>
      <c r="E10" s="20">
        <v>1527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</row>
    <row r="11" spans="1:13" ht="19.5" customHeight="1">
      <c r="A11" s="9" t="s">
        <v>7</v>
      </c>
      <c r="B11" s="8" t="s">
        <v>4</v>
      </c>
      <c r="C11" s="13">
        <f>SUM(C6:C10)</f>
        <v>4185.5</v>
      </c>
      <c r="D11" s="13">
        <f t="shared" ref="D11:M11" si="0">SUM(D6:D10)</f>
        <v>9643.0000000000018</v>
      </c>
      <c r="E11" s="13">
        <f t="shared" si="0"/>
        <v>4848.6000000000004</v>
      </c>
      <c r="F11" s="13">
        <f t="shared" si="0"/>
        <v>5327.2</v>
      </c>
      <c r="G11" s="13">
        <f t="shared" si="0"/>
        <v>4053.2</v>
      </c>
      <c r="H11" s="13">
        <f t="shared" si="0"/>
        <v>3557.8999999999996</v>
      </c>
      <c r="I11" s="13">
        <f t="shared" si="0"/>
        <v>6243.2</v>
      </c>
      <c r="J11" s="13">
        <f t="shared" si="0"/>
        <v>7148.5000000000009</v>
      </c>
      <c r="K11" s="13">
        <f t="shared" si="0"/>
        <v>5424.2</v>
      </c>
      <c r="L11" s="13">
        <f t="shared" si="0"/>
        <v>7986</v>
      </c>
      <c r="M11" s="13">
        <f t="shared" si="0"/>
        <v>4598</v>
      </c>
    </row>
    <row r="12" spans="1:13" ht="19.5" customHeight="1">
      <c r="B12" t="s">
        <v>338</v>
      </c>
      <c r="C12" s="20">
        <v>1004.5</v>
      </c>
      <c r="D12" s="20">
        <v>792.7</v>
      </c>
      <c r="E12" s="20">
        <v>725.9</v>
      </c>
      <c r="F12" s="20">
        <v>1085.7</v>
      </c>
      <c r="G12" s="20">
        <v>1202.8</v>
      </c>
      <c r="H12" s="20">
        <v>1270.3</v>
      </c>
      <c r="I12" s="20">
        <v>1297.2</v>
      </c>
      <c r="J12" s="20">
        <v>1201.2</v>
      </c>
      <c r="K12" s="20">
        <v>1064.5</v>
      </c>
      <c r="L12" s="20">
        <v>1080</v>
      </c>
      <c r="M12" s="12">
        <v>2710</v>
      </c>
    </row>
    <row r="13" spans="1:13" ht="19.5" customHeight="1">
      <c r="B13" t="s">
        <v>5</v>
      </c>
      <c r="C13" s="20">
        <v>2735.3</v>
      </c>
      <c r="D13" s="20">
        <v>2516.3000000000002</v>
      </c>
      <c r="E13" s="20">
        <v>2336.5</v>
      </c>
      <c r="F13" s="20">
        <v>2379.6999999999998</v>
      </c>
      <c r="G13" s="20">
        <v>2331.5</v>
      </c>
      <c r="H13" s="20">
        <v>2677.4</v>
      </c>
      <c r="I13" s="20">
        <v>2773.1</v>
      </c>
      <c r="J13" s="20">
        <v>2782.5</v>
      </c>
      <c r="K13" s="20">
        <v>2900.4</v>
      </c>
      <c r="L13" s="20">
        <v>3040</v>
      </c>
      <c r="M13" s="12">
        <v>3145</v>
      </c>
    </row>
    <row r="14" spans="1:13" ht="19.5" customHeight="1">
      <c r="B14" t="s">
        <v>339</v>
      </c>
      <c r="C14" s="20">
        <v>1744.6</v>
      </c>
      <c r="D14" s="20">
        <v>1869.1</v>
      </c>
      <c r="E14" s="20">
        <v>1855.3</v>
      </c>
      <c r="F14" s="20">
        <v>2562.8000000000002</v>
      </c>
      <c r="G14" s="20">
        <v>2381</v>
      </c>
      <c r="H14" s="20">
        <v>2584</v>
      </c>
      <c r="I14" s="20">
        <v>3527.4</v>
      </c>
      <c r="J14" s="20">
        <v>4449.5</v>
      </c>
      <c r="K14" s="20">
        <v>4707.2</v>
      </c>
      <c r="L14" s="20">
        <v>5618</v>
      </c>
      <c r="M14" s="12">
        <v>6095</v>
      </c>
    </row>
    <row r="15" spans="1:13" ht="19.5" customHeight="1">
      <c r="B15" t="s">
        <v>356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13261.2</v>
      </c>
      <c r="I15" s="20">
        <v>13827.7</v>
      </c>
      <c r="J15" s="20">
        <v>13552</v>
      </c>
      <c r="K15" s="20">
        <v>12565.7</v>
      </c>
      <c r="L15" s="20">
        <v>13514</v>
      </c>
      <c r="M15" s="12">
        <v>13339</v>
      </c>
    </row>
    <row r="16" spans="1:13" ht="19.5" customHeight="1">
      <c r="B16" t="s">
        <v>340</v>
      </c>
      <c r="C16" s="20">
        <v>39126.1</v>
      </c>
      <c r="D16" s="20">
        <v>37692.400000000001</v>
      </c>
      <c r="E16" s="20">
        <v>34443.4</v>
      </c>
      <c r="F16" s="20">
        <v>36626.400000000001</v>
      </c>
      <c r="G16" s="20">
        <v>37193.599999999999</v>
      </c>
      <c r="H16" s="20">
        <v>39050.9</v>
      </c>
      <c r="I16" s="20">
        <v>41476.5</v>
      </c>
      <c r="J16" s="20">
        <v>41916.6</v>
      </c>
      <c r="K16" s="20">
        <v>41037.599999999999</v>
      </c>
      <c r="L16" s="20">
        <v>43570</v>
      </c>
      <c r="M16" s="12">
        <v>44177</v>
      </c>
    </row>
    <row r="17" spans="1:13" ht="19.5" customHeight="1">
      <c r="B17" t="s">
        <v>341</v>
      </c>
      <c r="C17" s="20">
        <v>-14568.6</v>
      </c>
      <c r="D17" s="20">
        <v>-14574.8</v>
      </c>
      <c r="E17" s="20">
        <v>-13185.8</v>
      </c>
      <c r="F17" s="20">
        <v>-14178.1</v>
      </c>
      <c r="G17" s="20">
        <v>-14350.9</v>
      </c>
      <c r="H17" s="20">
        <v>-14890.9</v>
      </c>
      <c r="I17" s="20">
        <v>-16518.3</v>
      </c>
      <c r="J17" s="20">
        <v>-17196</v>
      </c>
      <c r="K17" s="20">
        <v>-17264</v>
      </c>
      <c r="L17" s="20">
        <v>-18662</v>
      </c>
      <c r="M17" s="12">
        <v>-18882</v>
      </c>
    </row>
    <row r="18" spans="1:13" ht="19.5" customHeight="1">
      <c r="B18" t="s">
        <v>380</v>
      </c>
      <c r="C18" s="20">
        <f>C16+C17</f>
        <v>24557.5</v>
      </c>
      <c r="D18" s="20">
        <f t="shared" ref="D18:M18" si="1">D16+D17</f>
        <v>23117.600000000002</v>
      </c>
      <c r="E18" s="20">
        <f t="shared" si="1"/>
        <v>21257.600000000002</v>
      </c>
      <c r="F18" s="20">
        <f t="shared" si="1"/>
        <v>22448.300000000003</v>
      </c>
      <c r="G18" s="20">
        <f t="shared" si="1"/>
        <v>22842.699999999997</v>
      </c>
      <c r="H18" s="20">
        <f t="shared" si="1"/>
        <v>24160</v>
      </c>
      <c r="I18" s="20">
        <f t="shared" si="1"/>
        <v>24958.2</v>
      </c>
      <c r="J18" s="20">
        <f t="shared" si="1"/>
        <v>24720.6</v>
      </c>
      <c r="K18" s="20">
        <f t="shared" si="1"/>
        <v>23773.599999999999</v>
      </c>
      <c r="L18" s="20">
        <f t="shared" si="1"/>
        <v>24908</v>
      </c>
      <c r="M18" s="20">
        <f t="shared" si="1"/>
        <v>25295</v>
      </c>
    </row>
    <row r="19" spans="1:13" ht="19.5" customHeight="1">
      <c r="A19" s="9" t="s">
        <v>7</v>
      </c>
      <c r="B19" s="8" t="s">
        <v>6</v>
      </c>
      <c r="C19" s="13">
        <f>SUM(C11:C17)</f>
        <v>34227.4</v>
      </c>
      <c r="D19" s="13">
        <f t="shared" ref="D19:M19" si="2">SUM(D11:D17)</f>
        <v>37938.700000000012</v>
      </c>
      <c r="E19" s="13">
        <f t="shared" si="2"/>
        <v>31023.899999999998</v>
      </c>
      <c r="F19" s="13">
        <f t="shared" si="2"/>
        <v>33803.700000000004</v>
      </c>
      <c r="G19" s="13">
        <f t="shared" si="2"/>
        <v>32811.199999999997</v>
      </c>
      <c r="H19" s="13">
        <f t="shared" si="2"/>
        <v>47510.8</v>
      </c>
      <c r="I19" s="13">
        <f>SUM(I11:I17)</f>
        <v>52626.8</v>
      </c>
      <c r="J19" s="13">
        <f t="shared" si="2"/>
        <v>53854.3</v>
      </c>
      <c r="K19" s="13">
        <f t="shared" si="2"/>
        <v>50435.600000000006</v>
      </c>
      <c r="L19" s="13">
        <f>SUM(L11:L17)+1</f>
        <v>56147</v>
      </c>
      <c r="M19" s="13">
        <f t="shared" si="2"/>
        <v>55182</v>
      </c>
    </row>
    <row r="20" spans="1:13" ht="19.5" customHeight="1"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3" ht="19.5" customHeight="1">
      <c r="B21" s="1" t="s">
        <v>25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3" ht="19.5" customHeight="1">
      <c r="B22" t="s">
        <v>8</v>
      </c>
      <c r="C22" s="19">
        <v>860.1</v>
      </c>
      <c r="D22" s="19">
        <v>874.7</v>
      </c>
      <c r="E22" s="19">
        <v>756</v>
      </c>
      <c r="F22" s="19">
        <v>924.8</v>
      </c>
      <c r="G22" s="19">
        <v>1207.9000000000001</v>
      </c>
      <c r="H22" s="19">
        <v>988.2</v>
      </c>
      <c r="I22" s="19">
        <v>741.3</v>
      </c>
      <c r="J22" s="19">
        <v>1006.8</v>
      </c>
      <c r="K22" s="19">
        <v>980.2</v>
      </c>
      <c r="L22" s="19">
        <v>1103</v>
      </c>
      <c r="M22" s="11">
        <v>1029</v>
      </c>
    </row>
    <row r="23" spans="1:13" ht="19.5" customHeight="1">
      <c r="B23" t="s">
        <v>357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621</v>
      </c>
      <c r="I23" s="20">
        <v>701.5</v>
      </c>
      <c r="J23" s="19">
        <v>705.5</v>
      </c>
      <c r="K23" s="20">
        <v>661.1</v>
      </c>
      <c r="L23" s="19">
        <v>688</v>
      </c>
      <c r="M23" s="11">
        <v>636</v>
      </c>
    </row>
    <row r="24" spans="1:13" ht="19.5" customHeight="1">
      <c r="B24" t="s">
        <v>342</v>
      </c>
      <c r="C24" s="20">
        <v>166.8</v>
      </c>
      <c r="D24" s="20">
        <v>154.80000000000001</v>
      </c>
      <c r="E24" s="20">
        <v>267.2</v>
      </c>
      <c r="F24" s="20">
        <v>265.8</v>
      </c>
      <c r="G24" s="20">
        <v>228.3</v>
      </c>
      <c r="H24" s="20">
        <v>331.7</v>
      </c>
      <c r="I24" s="20">
        <v>741.1</v>
      </c>
      <c r="J24" s="20">
        <v>360.7</v>
      </c>
      <c r="K24" s="20">
        <v>274.89999999999998</v>
      </c>
      <c r="L24" s="20">
        <v>705</v>
      </c>
      <c r="M24" s="12">
        <v>361</v>
      </c>
    </row>
    <row r="25" spans="1:13" ht="19.5" customHeight="1">
      <c r="B25" t="s">
        <v>343</v>
      </c>
      <c r="C25" s="20">
        <v>330</v>
      </c>
      <c r="D25" s="20">
        <v>309</v>
      </c>
      <c r="E25" s="20">
        <v>266.3</v>
      </c>
      <c r="F25" s="20">
        <v>275.39999999999998</v>
      </c>
      <c r="G25" s="20">
        <v>253.7</v>
      </c>
      <c r="H25" s="20">
        <v>247.5</v>
      </c>
      <c r="I25" s="20">
        <v>227</v>
      </c>
      <c r="J25" s="20">
        <v>236.7</v>
      </c>
      <c r="K25" s="20">
        <v>255.1</v>
      </c>
      <c r="L25" s="20">
        <v>268</v>
      </c>
      <c r="M25" s="12">
        <v>224</v>
      </c>
    </row>
    <row r="26" spans="1:13" ht="19.5" customHeight="1">
      <c r="B26" s="18" t="s">
        <v>344</v>
      </c>
      <c r="C26" s="20">
        <v>233.7</v>
      </c>
      <c r="D26" s="20">
        <v>233.1</v>
      </c>
      <c r="E26" s="20">
        <v>247.5</v>
      </c>
      <c r="F26" s="20">
        <v>278.39999999999998</v>
      </c>
      <c r="G26" s="20">
        <v>297</v>
      </c>
      <c r="H26" s="20">
        <v>337.8</v>
      </c>
      <c r="I26" s="20">
        <v>388.4</v>
      </c>
      <c r="J26" s="20">
        <v>363.3</v>
      </c>
      <c r="K26" s="20">
        <v>393.4</v>
      </c>
      <c r="L26" s="20">
        <v>469</v>
      </c>
      <c r="M26" s="20">
        <v>482</v>
      </c>
    </row>
    <row r="27" spans="1:13" ht="19.5" customHeight="1">
      <c r="B27" t="s">
        <v>345</v>
      </c>
      <c r="C27" s="20">
        <v>1157.3</v>
      </c>
      <c r="D27" s="20">
        <v>1378.8</v>
      </c>
      <c r="E27" s="20">
        <v>1159.3</v>
      </c>
      <c r="F27" s="20">
        <v>1146.2</v>
      </c>
      <c r="G27" s="20">
        <v>986.6</v>
      </c>
      <c r="H27" s="20">
        <v>1035.7</v>
      </c>
      <c r="I27" s="20">
        <v>1138.3</v>
      </c>
      <c r="J27" s="20">
        <v>1347</v>
      </c>
      <c r="K27" s="20">
        <v>1237.4000000000001</v>
      </c>
      <c r="L27" s="20">
        <v>1434</v>
      </c>
      <c r="M27" s="20">
        <v>1129</v>
      </c>
    </row>
    <row r="28" spans="1:13" ht="19.5" customHeight="1">
      <c r="B28" t="s">
        <v>351</v>
      </c>
      <c r="C28" s="20">
        <v>0</v>
      </c>
      <c r="D28" s="20">
        <v>0</v>
      </c>
      <c r="E28" s="20">
        <v>77.2</v>
      </c>
      <c r="F28" s="20">
        <v>0</v>
      </c>
      <c r="G28" s="20">
        <v>0</v>
      </c>
      <c r="H28" s="20">
        <v>59.1</v>
      </c>
      <c r="I28" s="20">
        <v>2243.6</v>
      </c>
      <c r="J28" s="20">
        <v>0</v>
      </c>
      <c r="K28" s="20">
        <v>0</v>
      </c>
      <c r="L28" s="20">
        <v>2192</v>
      </c>
      <c r="M28" s="20">
        <v>0</v>
      </c>
    </row>
    <row r="29" spans="1:13" ht="19.5" customHeight="1">
      <c r="B29" t="s">
        <v>352</v>
      </c>
      <c r="C29" s="20">
        <v>0</v>
      </c>
      <c r="D29" s="20">
        <v>0</v>
      </c>
      <c r="E29" s="20">
        <v>694.8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</row>
    <row r="30" spans="1:13" ht="19.5" customHeight="1">
      <c r="A30" s="9" t="s">
        <v>7</v>
      </c>
      <c r="B30" s="8" t="s">
        <v>9</v>
      </c>
      <c r="C30" s="13">
        <f>SUM(C22:C29)</f>
        <v>2747.9</v>
      </c>
      <c r="D30" s="13">
        <f>SUM(D22:D27)</f>
        <v>2950.3999999999996</v>
      </c>
      <c r="E30" s="13">
        <f t="shared" ref="E30:M30" si="3">SUM(E22:E29)</f>
        <v>3468.3</v>
      </c>
      <c r="F30" s="13">
        <f t="shared" si="3"/>
        <v>2890.6000000000004</v>
      </c>
      <c r="G30" s="13">
        <f t="shared" si="3"/>
        <v>2973.5</v>
      </c>
      <c r="H30" s="13">
        <f t="shared" si="3"/>
        <v>3621.0000000000005</v>
      </c>
      <c r="I30" s="13">
        <f t="shared" si="3"/>
        <v>6181.2000000000007</v>
      </c>
      <c r="J30" s="13">
        <f t="shared" si="3"/>
        <v>4020</v>
      </c>
      <c r="K30" s="13">
        <f t="shared" si="3"/>
        <v>3802.1000000000004</v>
      </c>
      <c r="L30" s="13">
        <f t="shared" si="3"/>
        <v>6859</v>
      </c>
      <c r="M30" s="13">
        <f t="shared" si="3"/>
        <v>3861</v>
      </c>
    </row>
    <row r="31" spans="1:13" ht="19.5" customHeight="1">
      <c r="B31" s="18" t="s">
        <v>194</v>
      </c>
      <c r="C31" s="20">
        <v>14935.7</v>
      </c>
      <c r="D31" s="20">
        <v>24122.1</v>
      </c>
      <c r="E31" s="20">
        <v>25878.5</v>
      </c>
      <c r="F31" s="20">
        <v>29536.400000000001</v>
      </c>
      <c r="G31" s="20">
        <v>31075.3</v>
      </c>
      <c r="H31" s="20">
        <v>34118.1</v>
      </c>
      <c r="I31" s="20">
        <v>35196.800000000003</v>
      </c>
      <c r="J31" s="20">
        <v>35622.699999999997</v>
      </c>
      <c r="K31" s="20">
        <v>35903.5</v>
      </c>
      <c r="L31" s="20">
        <v>37153</v>
      </c>
      <c r="M31" s="20">
        <v>38424</v>
      </c>
    </row>
    <row r="32" spans="1:13" ht="19.5" customHeight="1">
      <c r="B32" s="18" t="s">
        <v>355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12757.8</v>
      </c>
      <c r="I32" s="20">
        <v>13321.3</v>
      </c>
      <c r="J32" s="20">
        <v>13020.9</v>
      </c>
      <c r="K32" s="20">
        <v>12134.4</v>
      </c>
      <c r="L32" s="20">
        <v>13058</v>
      </c>
      <c r="M32" s="20">
        <v>12888</v>
      </c>
    </row>
    <row r="33" spans="1:13" ht="19.5" customHeight="1">
      <c r="B33" s="18" t="s">
        <v>353</v>
      </c>
      <c r="C33" s="20">
        <v>0</v>
      </c>
      <c r="D33" s="20">
        <v>0</v>
      </c>
      <c r="E33" s="20">
        <v>1010.6</v>
      </c>
      <c r="F33" s="20">
        <v>2370.9</v>
      </c>
      <c r="G33" s="20">
        <v>2081.1999999999998</v>
      </c>
      <c r="H33" s="20">
        <v>2265.9</v>
      </c>
      <c r="I33" s="20">
        <v>1970.7</v>
      </c>
      <c r="J33" s="20">
        <v>1896.8</v>
      </c>
      <c r="K33" s="20">
        <v>791.9</v>
      </c>
      <c r="L33" s="20">
        <v>363</v>
      </c>
      <c r="M33" s="20">
        <v>344</v>
      </c>
    </row>
    <row r="34" spans="1:13" ht="19.5" customHeight="1">
      <c r="B34" s="18" t="s">
        <v>354</v>
      </c>
      <c r="C34" s="20">
        <v>0</v>
      </c>
      <c r="D34" s="20">
        <v>0</v>
      </c>
      <c r="E34" s="20">
        <v>0</v>
      </c>
      <c r="F34" s="20">
        <v>0</v>
      </c>
      <c r="G34" s="20">
        <v>627.79999999999995</v>
      </c>
      <c r="H34" s="20">
        <v>660.6</v>
      </c>
      <c r="I34" s="20">
        <v>702</v>
      </c>
      <c r="J34" s="20">
        <v>738.3</v>
      </c>
      <c r="K34" s="20">
        <v>757.8</v>
      </c>
      <c r="L34" s="20">
        <v>790</v>
      </c>
      <c r="M34" s="20">
        <v>778</v>
      </c>
    </row>
    <row r="35" spans="1:13" ht="19.5" customHeight="1">
      <c r="B35" t="s">
        <v>10</v>
      </c>
      <c r="C35" s="20">
        <v>2065.9</v>
      </c>
      <c r="D35" s="20">
        <v>2074</v>
      </c>
      <c r="E35" s="20">
        <v>1053.7</v>
      </c>
      <c r="F35" s="20">
        <v>1154.4000000000001</v>
      </c>
      <c r="G35" s="20">
        <v>1096.3</v>
      </c>
      <c r="H35" s="20">
        <v>979.6</v>
      </c>
      <c r="I35" s="20">
        <v>1054.0999999999999</v>
      </c>
      <c r="J35" s="41">
        <v>1081</v>
      </c>
      <c r="K35" s="20">
        <v>1051.8</v>
      </c>
      <c r="L35" s="20">
        <v>950</v>
      </c>
      <c r="M35" s="20">
        <v>771</v>
      </c>
    </row>
    <row r="36" spans="1:13" ht="19.5" customHeight="1">
      <c r="B36" t="s">
        <v>346</v>
      </c>
      <c r="C36" s="20">
        <v>1624.5</v>
      </c>
      <c r="D36" s="20">
        <v>1704.3</v>
      </c>
      <c r="E36" s="20">
        <v>1817.1</v>
      </c>
      <c r="F36" s="20">
        <v>1119.4000000000001</v>
      </c>
      <c r="G36" s="20">
        <v>1215.5</v>
      </c>
      <c r="H36" s="20">
        <v>1318.1</v>
      </c>
      <c r="I36" s="20">
        <v>2025.6</v>
      </c>
      <c r="J36" s="41">
        <v>2075.6</v>
      </c>
      <c r="K36" s="20">
        <v>1997.5</v>
      </c>
      <c r="L36" s="20">
        <v>1681</v>
      </c>
      <c r="M36" s="20">
        <v>1914</v>
      </c>
    </row>
    <row r="37" spans="1:13" ht="19.5" customHeight="1">
      <c r="A37" s="9" t="s">
        <v>7</v>
      </c>
      <c r="B37" s="8" t="s">
        <v>11</v>
      </c>
      <c r="C37" s="13">
        <f t="shared" ref="C37:L37" si="4">SUM(C30:C36)</f>
        <v>21374.000000000004</v>
      </c>
      <c r="D37" s="13">
        <f t="shared" si="4"/>
        <v>30850.799999999999</v>
      </c>
      <c r="E37" s="13">
        <f t="shared" si="4"/>
        <v>33228.199999999997</v>
      </c>
      <c r="F37" s="13">
        <f t="shared" si="4"/>
        <v>37071.700000000004</v>
      </c>
      <c r="G37" s="13">
        <f t="shared" si="4"/>
        <v>39069.600000000006</v>
      </c>
      <c r="H37" s="13">
        <f t="shared" si="4"/>
        <v>55721.099999999991</v>
      </c>
      <c r="I37" s="13">
        <f t="shared" si="4"/>
        <v>60451.7</v>
      </c>
      <c r="J37" s="13">
        <f>SUM(J30:J36)</f>
        <v>58455.3</v>
      </c>
      <c r="K37" s="13">
        <f t="shared" si="4"/>
        <v>56439.000000000007</v>
      </c>
      <c r="L37" s="13">
        <f t="shared" si="4"/>
        <v>60854</v>
      </c>
      <c r="M37" s="13">
        <f>SUM(M30:M36)</f>
        <v>58980</v>
      </c>
    </row>
    <row r="38" spans="1:13" ht="19.5" customHeight="1"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3" ht="19.5" customHeight="1">
      <c r="B39" s="1" t="s">
        <v>26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3" ht="19.5" customHeight="1">
      <c r="B40" t="s">
        <v>348</v>
      </c>
      <c r="C40" s="19">
        <v>16.600000000000001</v>
      </c>
      <c r="D40" s="20">
        <v>16.600000000000001</v>
      </c>
      <c r="E40" s="20">
        <v>16.600000000000001</v>
      </c>
      <c r="F40" s="20">
        <v>16.600000000000001</v>
      </c>
      <c r="G40" s="20">
        <v>16.600000000000001</v>
      </c>
      <c r="H40" s="20">
        <v>16.600000000000001</v>
      </c>
      <c r="I40" s="20">
        <v>16.600000000000001</v>
      </c>
      <c r="J40" s="20">
        <v>16.600000000000001</v>
      </c>
      <c r="K40" s="20">
        <v>16.600000000000001</v>
      </c>
      <c r="L40" s="20">
        <v>17</v>
      </c>
      <c r="M40" s="12">
        <v>17</v>
      </c>
    </row>
    <row r="41" spans="1:13" ht="19.5" customHeight="1">
      <c r="B41" t="s">
        <v>12</v>
      </c>
      <c r="C41" s="20">
        <v>6239.1</v>
      </c>
      <c r="D41" s="20">
        <v>6533.4</v>
      </c>
      <c r="E41" s="20">
        <v>6757.9</v>
      </c>
      <c r="F41" s="20">
        <v>7072.4</v>
      </c>
      <c r="G41" s="20">
        <v>7376</v>
      </c>
      <c r="H41" s="20">
        <v>7653.9</v>
      </c>
      <c r="I41" s="20">
        <v>7903.6</v>
      </c>
      <c r="J41" s="20">
        <v>8231.6</v>
      </c>
      <c r="K41" s="20">
        <v>8547.1</v>
      </c>
      <c r="L41" s="20">
        <v>8893</v>
      </c>
      <c r="M41" s="12">
        <v>9281</v>
      </c>
    </row>
    <row r="42" spans="1:13" ht="19.5" customHeight="1">
      <c r="B42" t="s">
        <v>13</v>
      </c>
      <c r="C42" s="20">
        <v>43294.5</v>
      </c>
      <c r="D42" s="20">
        <v>44594.5</v>
      </c>
      <c r="E42" s="20">
        <v>46222.7</v>
      </c>
      <c r="F42" s="20">
        <v>48325.8</v>
      </c>
      <c r="G42" s="20">
        <v>50487</v>
      </c>
      <c r="H42" s="20">
        <v>52930.5</v>
      </c>
      <c r="I42" s="20">
        <v>53908.1</v>
      </c>
      <c r="J42" s="20">
        <v>57534.7</v>
      </c>
      <c r="K42" s="20">
        <v>59543.9</v>
      </c>
      <c r="L42" s="20">
        <v>63480</v>
      </c>
      <c r="M42" s="12">
        <v>66834</v>
      </c>
    </row>
    <row r="43" spans="1:13" ht="19.5" customHeight="1">
      <c r="B43" t="s">
        <v>347</v>
      </c>
      <c r="C43" s="20">
        <v>-1519.7</v>
      </c>
      <c r="D43" s="20">
        <v>-2879.8</v>
      </c>
      <c r="E43" s="20">
        <v>-3092.9</v>
      </c>
      <c r="F43" s="20">
        <v>-2178.4</v>
      </c>
      <c r="G43" s="20">
        <v>-2609.5</v>
      </c>
      <c r="H43" s="20">
        <v>-2482.6999999999998</v>
      </c>
      <c r="I43" s="20">
        <v>-2586.8000000000002</v>
      </c>
      <c r="J43" s="20">
        <v>-2573.6999999999998</v>
      </c>
      <c r="K43" s="20">
        <v>-2486.6</v>
      </c>
      <c r="L43" s="20">
        <v>-2456</v>
      </c>
      <c r="M43" s="12">
        <v>-2553</v>
      </c>
    </row>
    <row r="44" spans="1:13" ht="19.5" customHeight="1">
      <c r="B44" t="s">
        <v>350</v>
      </c>
      <c r="C44" s="20">
        <v>-35177.1</v>
      </c>
      <c r="D44" s="20">
        <v>-41176.800000000003</v>
      </c>
      <c r="E44" s="20">
        <v>-52108.6</v>
      </c>
      <c r="F44" s="20">
        <v>-56504.4</v>
      </c>
      <c r="G44" s="20">
        <v>-61528.5</v>
      </c>
      <c r="H44" s="20">
        <v>-66328.600000000006</v>
      </c>
      <c r="I44" s="20">
        <v>-67066.399999999994</v>
      </c>
      <c r="J44" s="20">
        <v>-67810.2</v>
      </c>
      <c r="K44" s="20">
        <v>-71624.399999999994</v>
      </c>
      <c r="L44" s="20">
        <v>-74640</v>
      </c>
      <c r="M44" s="12">
        <v>-77375</v>
      </c>
    </row>
    <row r="45" spans="1:13" ht="19.5" customHeight="1">
      <c r="A45" s="9" t="s">
        <v>7</v>
      </c>
      <c r="B45" s="8" t="s">
        <v>349</v>
      </c>
      <c r="C45" s="13">
        <f>SUM(C40:C44)</f>
        <v>12853.400000000001</v>
      </c>
      <c r="D45" s="13">
        <f t="shared" ref="D45:K45" si="5">SUM(D40:D44)</f>
        <v>7087.8999999999942</v>
      </c>
      <c r="E45" s="13">
        <f t="shared" si="5"/>
        <v>-2204.3000000000029</v>
      </c>
      <c r="F45" s="13">
        <f t="shared" si="5"/>
        <v>-3268</v>
      </c>
      <c r="G45" s="13">
        <f t="shared" si="5"/>
        <v>-6258.4000000000015</v>
      </c>
      <c r="H45" s="13">
        <f t="shared" si="5"/>
        <v>-8210.3000000000029</v>
      </c>
      <c r="I45" s="13">
        <f t="shared" si="5"/>
        <v>-7824.8999999999942</v>
      </c>
      <c r="J45" s="13">
        <f t="shared" si="5"/>
        <v>-4601</v>
      </c>
      <c r="K45" s="13">
        <f t="shared" si="5"/>
        <v>-6003.3999999999942</v>
      </c>
      <c r="L45" s="13">
        <f>SUM(L40:L44)-1</f>
        <v>-4707</v>
      </c>
      <c r="M45" s="13">
        <f>SUM(M40:M44)-1</f>
        <v>-3797</v>
      </c>
    </row>
    <row r="46" spans="1:13" ht="19.5" customHeight="1" thickBot="1"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3" ht="19.5" customHeight="1" thickTop="1">
      <c r="A47" s="9" t="s">
        <v>7</v>
      </c>
      <c r="B47" s="1" t="s">
        <v>14</v>
      </c>
      <c r="C47" s="14">
        <f>C37+C45</f>
        <v>34227.400000000009</v>
      </c>
      <c r="D47" s="14">
        <f>D37+D45</f>
        <v>37938.699999999997</v>
      </c>
      <c r="E47" s="14">
        <f t="shared" ref="E47:L47" si="6">E37+E45</f>
        <v>31023.899999999994</v>
      </c>
      <c r="F47" s="14">
        <f t="shared" si="6"/>
        <v>33803.700000000004</v>
      </c>
      <c r="G47" s="14">
        <f t="shared" si="6"/>
        <v>32811.200000000004</v>
      </c>
      <c r="H47" s="14">
        <f t="shared" si="6"/>
        <v>47510.799999999988</v>
      </c>
      <c r="I47" s="14">
        <f t="shared" si="6"/>
        <v>52626.8</v>
      </c>
      <c r="J47" s="14">
        <f t="shared" si="6"/>
        <v>53854.3</v>
      </c>
      <c r="K47" s="14">
        <f t="shared" si="6"/>
        <v>50435.600000000013</v>
      </c>
      <c r="L47" s="14">
        <f t="shared" si="6"/>
        <v>56147</v>
      </c>
      <c r="M47" s="14">
        <f>M37+M45-1</f>
        <v>55182</v>
      </c>
    </row>
    <row r="48" spans="1:13" ht="19.5" customHeight="1">
      <c r="B48" s="10" t="s">
        <v>15</v>
      </c>
      <c r="C48" s="15">
        <f t="shared" ref="C48:M48" si="7">C19-C47</f>
        <v>0</v>
      </c>
      <c r="D48" s="15">
        <f t="shared" si="7"/>
        <v>0</v>
      </c>
      <c r="E48" s="15">
        <f t="shared" si="7"/>
        <v>0</v>
      </c>
      <c r="F48" s="15">
        <f t="shared" si="7"/>
        <v>0</v>
      </c>
      <c r="G48" s="15">
        <f t="shared" si="7"/>
        <v>0</v>
      </c>
      <c r="H48" s="15">
        <f t="shared" si="7"/>
        <v>0</v>
      </c>
      <c r="I48" s="15">
        <f t="shared" si="7"/>
        <v>0</v>
      </c>
      <c r="J48" s="15">
        <f t="shared" si="7"/>
        <v>0</v>
      </c>
      <c r="K48" s="15">
        <f t="shared" si="7"/>
        <v>0</v>
      </c>
      <c r="L48" s="15">
        <f t="shared" si="7"/>
        <v>0</v>
      </c>
      <c r="M48" s="15">
        <f t="shared" si="7"/>
        <v>0</v>
      </c>
    </row>
    <row r="50" spans="2:18" hidden="1" outlineLevel="1">
      <c r="B50" s="1" t="s">
        <v>112</v>
      </c>
      <c r="C50" s="36">
        <f t="shared" ref="C50:H50" si="8">SUM(C26:C27,C31:C36)</f>
        <v>20017.100000000002</v>
      </c>
      <c r="D50" s="36">
        <f t="shared" si="8"/>
        <v>29512.3</v>
      </c>
      <c r="E50" s="36">
        <f t="shared" si="8"/>
        <v>31166.699999999997</v>
      </c>
      <c r="F50" s="36">
        <f t="shared" si="8"/>
        <v>35605.700000000004</v>
      </c>
      <c r="G50" s="36">
        <f t="shared" si="8"/>
        <v>37379.700000000004</v>
      </c>
      <c r="H50" s="36">
        <f t="shared" si="8"/>
        <v>53473.599999999991</v>
      </c>
      <c r="I50" s="36">
        <f>SUM(I25:I26,I31:I36)</f>
        <v>54885.899999999994</v>
      </c>
      <c r="J50" s="36">
        <f>SUM(J26:J27,J31:J36)</f>
        <v>56145.600000000006</v>
      </c>
      <c r="K50" s="36">
        <f>SUM(K25:K26,K31:K36)</f>
        <v>53285.400000000009</v>
      </c>
      <c r="L50" s="36">
        <f t="shared" ref="L50:R50" si="9">SUM(L26:L27,L31:L36)</f>
        <v>55898</v>
      </c>
      <c r="M50" s="36">
        <f t="shared" si="9"/>
        <v>56730</v>
      </c>
      <c r="N50" s="36">
        <f t="shared" si="9"/>
        <v>0</v>
      </c>
      <c r="O50" s="36">
        <f t="shared" si="9"/>
        <v>0</v>
      </c>
      <c r="P50" s="36">
        <f t="shared" si="9"/>
        <v>0</v>
      </c>
      <c r="Q50" s="36">
        <f t="shared" si="9"/>
        <v>0</v>
      </c>
      <c r="R50" s="36">
        <f t="shared" si="9"/>
        <v>0</v>
      </c>
    </row>
    <row r="51" spans="2:18" hidden="1" outlineLevel="1">
      <c r="B51" s="18"/>
    </row>
    <row r="52" spans="2:18" hidden="1" outlineLevel="1">
      <c r="B52" s="18" t="s">
        <v>131</v>
      </c>
      <c r="C52" s="37">
        <f>'Income Statement'!C29</f>
        <v>4.8238872553989633</v>
      </c>
      <c r="D52" s="37">
        <f>'Income Statement'!D29</f>
        <v>4.7949396569976717</v>
      </c>
      <c r="E52" s="37">
        <f>'Income Statement'!E29</f>
        <v>5.4418253599628441</v>
      </c>
      <c r="F52" s="37">
        <f>'Income Statement'!F29</f>
        <v>6.3670141017780546</v>
      </c>
      <c r="G52" s="37">
        <f>'Income Statement'!G29</f>
        <v>7.5413696537678216</v>
      </c>
      <c r="H52" s="37">
        <f>'Income Statement'!H29</f>
        <v>7.8775003268401127</v>
      </c>
      <c r="I52" s="37">
        <f>'Income Statement'!I29</f>
        <v>6.3071590454606028</v>
      </c>
      <c r="J52" s="37">
        <f>'Income Statement'!J29</f>
        <v>10.035514764565045</v>
      </c>
      <c r="K52" s="37">
        <f>'Income Statement'!K29</f>
        <v>8.3326588425738564</v>
      </c>
      <c r="L52" s="37">
        <f>'Income Statement'!L29</f>
        <v>11.564249624470841</v>
      </c>
      <c r="M52" s="37">
        <f>'Income Statement'!M29</f>
        <v>11.392159578889043</v>
      </c>
    </row>
    <row r="53" spans="2:18" hidden="1" outlineLevel="1">
      <c r="B53" s="18" t="s">
        <v>132</v>
      </c>
      <c r="C53" s="79">
        <v>68.7</v>
      </c>
      <c r="D53" s="79">
        <v>83.74</v>
      </c>
      <c r="E53" s="79">
        <v>118.35</v>
      </c>
      <c r="F53" s="79">
        <v>108.95</v>
      </c>
      <c r="G53" s="79">
        <v>177.45</v>
      </c>
      <c r="H53" s="79">
        <v>182.3</v>
      </c>
      <c r="I53" s="79">
        <v>204.38</v>
      </c>
      <c r="J53" s="79">
        <v>239.63</v>
      </c>
      <c r="K53" s="79">
        <v>189.16</v>
      </c>
      <c r="L53" s="79">
        <v>214.87</v>
      </c>
      <c r="M53" s="79">
        <v>262.83999999999997</v>
      </c>
    </row>
    <row r="54" spans="2:18" hidden="1" outlineLevel="1">
      <c r="B54" s="8" t="s">
        <v>124</v>
      </c>
      <c r="C54" s="13">
        <f>C52*C53</f>
        <v>331.40105444590881</v>
      </c>
      <c r="D54" s="13">
        <f t="shared" ref="D54:M54" si="10">D52*D53</f>
        <v>401.52824687698501</v>
      </c>
      <c r="E54" s="13">
        <f t="shared" si="10"/>
        <v>644.04003135160258</v>
      </c>
      <c r="F54" s="13">
        <f t="shared" si="10"/>
        <v>693.68618638871908</v>
      </c>
      <c r="G54" s="13">
        <f t="shared" si="10"/>
        <v>1338.2160450611</v>
      </c>
      <c r="H54" s="13">
        <f t="shared" si="10"/>
        <v>1436.0683095829527</v>
      </c>
      <c r="I54" s="13">
        <f t="shared" si="10"/>
        <v>1289.057165711238</v>
      </c>
      <c r="J54" s="13">
        <f t="shared" si="10"/>
        <v>2404.8104030327218</v>
      </c>
      <c r="K54" s="13">
        <f t="shared" si="10"/>
        <v>1576.2057466612707</v>
      </c>
      <c r="L54" s="13">
        <f t="shared" si="10"/>
        <v>2484.8103168100497</v>
      </c>
      <c r="M54" s="13">
        <f t="shared" si="10"/>
        <v>2994.3152237151958</v>
      </c>
    </row>
    <row r="55" spans="2:18" hidden="1" outlineLevel="1">
      <c r="B55" s="18"/>
    </row>
    <row r="56" spans="2:18" hidden="1" outlineLevel="1">
      <c r="B56" s="18" t="s">
        <v>133</v>
      </c>
      <c r="C56" s="36">
        <f>C50+C54</f>
        <v>20348.501054445911</v>
      </c>
      <c r="D56" s="36">
        <f t="shared" ref="D56:M56" si="11">D50+D54</f>
        <v>29913.828246876983</v>
      </c>
      <c r="E56" s="36">
        <f t="shared" si="11"/>
        <v>31810.740031351601</v>
      </c>
      <c r="F56" s="36">
        <f t="shared" si="11"/>
        <v>36299.386186388721</v>
      </c>
      <c r="G56" s="36">
        <f t="shared" si="11"/>
        <v>38717.916045061102</v>
      </c>
      <c r="H56" s="36">
        <f t="shared" si="11"/>
        <v>54909.668309582943</v>
      </c>
      <c r="I56" s="36">
        <f t="shared" si="11"/>
        <v>56174.957165711232</v>
      </c>
      <c r="J56" s="36">
        <f t="shared" si="11"/>
        <v>58550.410403032729</v>
      </c>
      <c r="K56" s="36">
        <f t="shared" si="11"/>
        <v>54861.605746661276</v>
      </c>
      <c r="L56" s="36">
        <f t="shared" si="11"/>
        <v>58382.81031681005</v>
      </c>
      <c r="M56" s="36">
        <f t="shared" si="11"/>
        <v>59724.315223715195</v>
      </c>
    </row>
    <row r="57" spans="2:18" hidden="1" outlineLevel="1">
      <c r="B57" s="18" t="s">
        <v>134</v>
      </c>
      <c r="C57" s="24">
        <f>C50/C56</f>
        <v>0.98371373628164605</v>
      </c>
      <c r="D57" s="24">
        <f t="shared" ref="D57:M57" si="12">D50/D56</f>
        <v>0.98657716947616347</v>
      </c>
      <c r="E57" s="24">
        <f t="shared" si="12"/>
        <v>0.97975400664313816</v>
      </c>
      <c r="F57" s="24">
        <f t="shared" si="12"/>
        <v>0.98088986456060712</v>
      </c>
      <c r="G57" s="24">
        <f t="shared" si="12"/>
        <v>0.96543677496733971</v>
      </c>
      <c r="H57" s="24">
        <f t="shared" si="12"/>
        <v>0.97384671308727744</v>
      </c>
      <c r="I57" s="24">
        <f t="shared" si="12"/>
        <v>0.97705281444347825</v>
      </c>
      <c r="J57" s="24">
        <f t="shared" si="12"/>
        <v>0.95892752268550863</v>
      </c>
      <c r="K57" s="24">
        <f t="shared" si="12"/>
        <v>0.97126942011249473</v>
      </c>
      <c r="L57" s="24">
        <f t="shared" si="12"/>
        <v>0.9574393506697193</v>
      </c>
      <c r="M57" s="24">
        <f t="shared" si="12"/>
        <v>0.94986438584521071</v>
      </c>
    </row>
    <row r="58" spans="2:18" hidden="1" outlineLevel="1">
      <c r="L58" s="1" t="s">
        <v>135</v>
      </c>
      <c r="M58" s="80">
        <f>AVERAGE(K57:M57)</f>
        <v>0.95952438554247488</v>
      </c>
    </row>
    <row r="59" spans="2:18" hidden="1" outlineLevel="1">
      <c r="L59" s="1" t="s">
        <v>136</v>
      </c>
      <c r="M59" s="80">
        <f>AVERAGE(I57:M57)</f>
        <v>0.96291069875128232</v>
      </c>
    </row>
    <row r="60" spans="2:18" hidden="1" outlineLevel="1">
      <c r="L60" s="1" t="s">
        <v>137</v>
      </c>
      <c r="M60" s="80">
        <f>AVERAGE(G57:M57)</f>
        <v>0.96483385454443271</v>
      </c>
    </row>
    <row r="61" spans="2:18" hidden="1" outlineLevel="1">
      <c r="L61" s="1" t="s">
        <v>138</v>
      </c>
      <c r="M61" s="80">
        <f>AVERAGE(D57:M57)</f>
        <v>0.97010580224909371</v>
      </c>
    </row>
    <row r="62" spans="2:18" hidden="1" outlineLevel="1">
      <c r="L62" s="1" t="s">
        <v>139</v>
      </c>
      <c r="M62" s="80">
        <f>MIN(C57:M57)</f>
        <v>0.94986438584521071</v>
      </c>
    </row>
    <row r="63" spans="2:18" hidden="1" outlineLevel="1">
      <c r="L63" s="1" t="s">
        <v>140</v>
      </c>
      <c r="M63" s="80">
        <f>MAX(C57:M57)</f>
        <v>0.98657716947616347</v>
      </c>
    </row>
    <row r="64" spans="2:18" collapsed="1"/>
  </sheetData>
  <pageMargins left="0.7" right="0.7" top="0.75" bottom="0.75" header="0.3" footer="0.3"/>
  <pageSetup scale="50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751-FF36-4FD6-926C-57F08293B051}">
  <dimension ref="A1:N114"/>
  <sheetViews>
    <sheetView topLeftCell="A22" workbookViewId="0">
      <selection activeCell="F7" sqref="F7"/>
    </sheetView>
    <sheetView topLeftCell="A74" workbookViewId="1">
      <selection activeCell="E87" sqref="E87"/>
    </sheetView>
  </sheetViews>
  <sheetFormatPr defaultRowHeight="14"/>
  <cols>
    <col min="1" max="1" width="30.4140625" bestFit="1" customWidth="1"/>
    <col min="4" max="4" width="9.4140625" bestFit="1" customWidth="1"/>
    <col min="5" max="5" width="9.58203125" bestFit="1" customWidth="1"/>
  </cols>
  <sheetData>
    <row r="1" spans="1:9" ht="30">
      <c r="A1" s="4" t="s">
        <v>312</v>
      </c>
      <c r="B1" s="5"/>
      <c r="C1" s="5"/>
      <c r="D1" s="5"/>
      <c r="E1" s="5"/>
      <c r="F1" s="5"/>
      <c r="G1" s="5"/>
      <c r="H1" s="5"/>
      <c r="I1" s="5"/>
    </row>
    <row r="2" spans="1:9" ht="14.5">
      <c r="A2" s="6" t="s">
        <v>328</v>
      </c>
    </row>
    <row r="3" spans="1:9" ht="14.5" thickBot="1"/>
    <row r="4" spans="1:9" ht="14.5" thickBot="1">
      <c r="B4" s="43" t="s">
        <v>68</v>
      </c>
      <c r="C4" s="44"/>
      <c r="D4" s="45"/>
      <c r="E4" s="43" t="s">
        <v>69</v>
      </c>
      <c r="F4" s="44"/>
      <c r="G4" s="44"/>
      <c r="H4" s="44"/>
      <c r="I4" s="45"/>
    </row>
    <row r="5" spans="1:9" ht="14.5" thickBot="1">
      <c r="B5" s="47">
        <v>44926</v>
      </c>
      <c r="C5" s="47">
        <v>45291</v>
      </c>
      <c r="D5" s="47">
        <v>45657</v>
      </c>
      <c r="E5" s="47">
        <v>46022</v>
      </c>
      <c r="F5" s="47">
        <v>46387</v>
      </c>
      <c r="G5" s="47">
        <v>46752</v>
      </c>
      <c r="H5" s="47">
        <v>47118</v>
      </c>
      <c r="I5" s="47">
        <v>47483</v>
      </c>
    </row>
    <row r="6" spans="1:9" ht="14.5" thickBot="1">
      <c r="A6" s="56" t="s">
        <v>70</v>
      </c>
      <c r="B6" s="55"/>
      <c r="C6" s="48"/>
      <c r="D6" s="49"/>
      <c r="E6" s="48"/>
      <c r="F6" s="48"/>
      <c r="G6" s="48"/>
      <c r="H6" s="48"/>
      <c r="I6" s="48"/>
    </row>
    <row r="7" spans="1:9">
      <c r="A7" t="s">
        <v>416</v>
      </c>
      <c r="D7" s="158"/>
      <c r="E7" s="37">
        <f ca="1">'Balance Sheet PROJECTED'!N29</f>
        <v>2192.2453089120654</v>
      </c>
      <c r="F7" s="37">
        <f ca="1">'Balance Sheet PROJECTED'!O29</f>
        <v>1575.7343813021957</v>
      </c>
      <c r="G7" s="37">
        <f ca="1">'Balance Sheet PROJECTED'!P29</f>
        <v>728.46233082290246</v>
      </c>
      <c r="H7" s="37">
        <f ca="1">'Balance Sheet PROJECTED'!Q29</f>
        <v>0</v>
      </c>
      <c r="I7" s="37">
        <f ca="1">'Balance Sheet PROJECTED'!R29</f>
        <v>0</v>
      </c>
    </row>
    <row r="8" spans="1:9">
      <c r="D8" s="158"/>
      <c r="E8" s="37"/>
      <c r="F8" s="37"/>
      <c r="G8" s="37"/>
      <c r="H8" s="37"/>
      <c r="I8" s="37"/>
    </row>
    <row r="9" spans="1:9">
      <c r="A9" t="s">
        <v>71</v>
      </c>
      <c r="E9" s="159">
        <f>Assumptions!T56</f>
        <v>6.0278100000000001E-2</v>
      </c>
      <c r="F9" s="159">
        <f>Assumptions!U56</f>
        <v>6.0278100000000001E-2</v>
      </c>
      <c r="G9" s="159">
        <f>Assumptions!V56</f>
        <v>6.0278100000000001E-2</v>
      </c>
      <c r="H9" s="159">
        <f>Assumptions!W56</f>
        <v>6.0278100000000001E-2</v>
      </c>
      <c r="I9" s="159">
        <f>Assumptions!X56</f>
        <v>6.0278100000000001E-2</v>
      </c>
    </row>
    <row r="10" spans="1:9" ht="18" customHeight="1">
      <c r="A10" s="29" t="s">
        <v>73</v>
      </c>
      <c r="E10" s="33">
        <f ca="1">E7*E9</f>
        <v>132.14438195513236</v>
      </c>
      <c r="F10" s="33">
        <f ca="1">F7*F9</f>
        <v>94.982274609571888</v>
      </c>
      <c r="G10" s="33">
        <f ca="1">G7*G9</f>
        <v>43.910325223575995</v>
      </c>
      <c r="H10" s="33">
        <f ca="1">H7*H9</f>
        <v>0</v>
      </c>
      <c r="I10" s="33">
        <f ca="1">I7*I9</f>
        <v>0</v>
      </c>
    </row>
    <row r="11" spans="1:9" ht="14.5" thickBot="1"/>
    <row r="12" spans="1:9" ht="14.5" thickBot="1">
      <c r="A12" s="56" t="s">
        <v>74</v>
      </c>
    </row>
    <row r="13" spans="1:9" ht="18" customHeight="1">
      <c r="A13" s="18" t="s">
        <v>401</v>
      </c>
      <c r="E13" s="35">
        <f>D15</f>
        <v>24134</v>
      </c>
      <c r="F13" s="35">
        <f>E15</f>
        <v>23301.793103448275</v>
      </c>
      <c r="G13" s="35">
        <f t="shared" ref="G13:I13" si="0">F15</f>
        <v>22469.586206896551</v>
      </c>
      <c r="H13" s="35">
        <f t="shared" si="0"/>
        <v>21637.379310344826</v>
      </c>
      <c r="I13" s="35">
        <f t="shared" si="0"/>
        <v>20805.172413793101</v>
      </c>
    </row>
    <row r="14" spans="1:9" ht="18" customHeight="1">
      <c r="A14" s="18" t="s">
        <v>426</v>
      </c>
      <c r="B14" s="20"/>
      <c r="C14" s="20"/>
      <c r="D14" s="20"/>
      <c r="E14" s="17">
        <f>$E$13/29</f>
        <v>832.20689655172418</v>
      </c>
      <c r="F14" s="17">
        <f>$E$13/29</f>
        <v>832.20689655172418</v>
      </c>
      <c r="G14" s="17">
        <f t="shared" ref="G14:I14" si="1">$E$13/29</f>
        <v>832.20689655172418</v>
      </c>
      <c r="H14" s="17">
        <f t="shared" si="1"/>
        <v>832.20689655172418</v>
      </c>
      <c r="I14" s="17">
        <f t="shared" si="1"/>
        <v>832.20689655172418</v>
      </c>
    </row>
    <row r="15" spans="1:9" ht="18" customHeight="1">
      <c r="A15" s="18" t="s">
        <v>417</v>
      </c>
      <c r="B15" s="35">
        <v>22382</v>
      </c>
      <c r="C15" s="35">
        <v>23383</v>
      </c>
      <c r="D15" s="35">
        <v>24134</v>
      </c>
      <c r="E15" s="13">
        <f>E13-E14</f>
        <v>23301.793103448275</v>
      </c>
      <c r="F15" s="13">
        <f t="shared" ref="F15:I15" si="2">F13-F14</f>
        <v>22469.586206896551</v>
      </c>
      <c r="G15" s="13">
        <f t="shared" si="2"/>
        <v>21637.379310344826</v>
      </c>
      <c r="H15" s="13">
        <f t="shared" si="2"/>
        <v>20805.172413793101</v>
      </c>
      <c r="I15" s="13">
        <f t="shared" si="2"/>
        <v>19972.965517241377</v>
      </c>
    </row>
    <row r="16" spans="1:9" ht="18" customHeight="1">
      <c r="A16" s="18"/>
      <c r="B16" s="35"/>
      <c r="C16" s="35"/>
      <c r="D16" s="35"/>
      <c r="F16" s="20"/>
      <c r="G16" s="20"/>
      <c r="H16" s="20"/>
    </row>
    <row r="17" spans="1:9" ht="18" customHeight="1">
      <c r="A17" s="18" t="s">
        <v>71</v>
      </c>
      <c r="B17" s="35"/>
      <c r="C17" s="35"/>
      <c r="D17" s="35"/>
      <c r="E17" s="159">
        <f>Assumptions!T57</f>
        <v>4.2000000000000003E-2</v>
      </c>
      <c r="F17" s="159">
        <f>Assumptions!U57</f>
        <v>4.2000000000000003E-2</v>
      </c>
      <c r="G17" s="159">
        <f>Assumptions!V57</f>
        <v>4.2000000000000003E-2</v>
      </c>
      <c r="H17" s="159">
        <f>Assumptions!W57</f>
        <v>4.2000000000000003E-2</v>
      </c>
      <c r="I17" s="159">
        <f>Assumptions!X57</f>
        <v>4.2000000000000003E-2</v>
      </c>
    </row>
    <row r="18" spans="1:9" ht="18" customHeight="1">
      <c r="A18" s="18" t="s">
        <v>72</v>
      </c>
      <c r="B18" s="35"/>
      <c r="C18" s="35"/>
      <c r="D18" s="35"/>
      <c r="E18" s="36">
        <f>AVERAGE(E13,E15)</f>
        <v>23717.896551724138</v>
      </c>
      <c r="F18" s="36">
        <f t="shared" ref="F18:I18" si="3">AVERAGE(F13,F15)</f>
        <v>22885.689655172413</v>
      </c>
      <c r="G18" s="36">
        <f t="shared" si="3"/>
        <v>22053.482758620688</v>
      </c>
      <c r="H18" s="36">
        <f t="shared" si="3"/>
        <v>21221.275862068964</v>
      </c>
      <c r="I18" s="36">
        <f t="shared" si="3"/>
        <v>20389.068965517239</v>
      </c>
    </row>
    <row r="19" spans="1:9" ht="18" customHeight="1">
      <c r="A19" s="18" t="s">
        <v>73</v>
      </c>
      <c r="B19" s="35"/>
      <c r="C19" s="35"/>
      <c r="D19" s="35"/>
      <c r="E19" s="17">
        <f>E18*E17</f>
        <v>996.15165517241383</v>
      </c>
      <c r="F19" s="17">
        <f t="shared" ref="F19:I19" si="4">F18*F17</f>
        <v>961.19896551724139</v>
      </c>
      <c r="G19" s="17">
        <f t="shared" si="4"/>
        <v>926.24627586206896</v>
      </c>
      <c r="H19" s="17">
        <f t="shared" si="4"/>
        <v>891.29358620689652</v>
      </c>
      <c r="I19" s="17">
        <f t="shared" si="4"/>
        <v>856.34089655172409</v>
      </c>
    </row>
    <row r="20" spans="1:9" ht="18" customHeight="1">
      <c r="A20" s="18"/>
      <c r="B20" s="35"/>
      <c r="C20" s="35"/>
      <c r="D20" s="35"/>
      <c r="F20" s="20"/>
      <c r="G20" s="20"/>
      <c r="H20" s="20"/>
    </row>
    <row r="21" spans="1:9" ht="18" customHeight="1">
      <c r="A21" s="18" t="s">
        <v>402</v>
      </c>
      <c r="B21" s="35"/>
      <c r="C21" s="35"/>
      <c r="D21" s="35"/>
      <c r="E21" s="35">
        <f>D23</f>
        <v>1290</v>
      </c>
      <c r="F21" s="35">
        <f t="shared" ref="F21:I21" si="5">E23</f>
        <v>1245.5172413793102</v>
      </c>
      <c r="G21" s="35">
        <f t="shared" si="5"/>
        <v>1201.0344827586205</v>
      </c>
      <c r="H21" s="35">
        <f t="shared" si="5"/>
        <v>1156.5517241379307</v>
      </c>
      <c r="I21" s="35">
        <f t="shared" si="5"/>
        <v>1112.0689655172409</v>
      </c>
    </row>
    <row r="22" spans="1:9" ht="18" customHeight="1">
      <c r="A22" s="18" t="s">
        <v>426</v>
      </c>
      <c r="B22" s="35"/>
      <c r="C22" s="35"/>
      <c r="D22" s="35"/>
      <c r="E22" s="17">
        <f>$E$21/29</f>
        <v>44.482758620689658</v>
      </c>
      <c r="F22" s="17">
        <f t="shared" ref="F22:I22" si="6">$E$21/29</f>
        <v>44.482758620689658</v>
      </c>
      <c r="G22" s="17">
        <f t="shared" si="6"/>
        <v>44.482758620689658</v>
      </c>
      <c r="H22" s="17">
        <f t="shared" si="6"/>
        <v>44.482758620689658</v>
      </c>
      <c r="I22" s="17">
        <f t="shared" si="6"/>
        <v>44.482758620689658</v>
      </c>
    </row>
    <row r="23" spans="1:9" ht="18" customHeight="1">
      <c r="A23" s="18" t="s">
        <v>418</v>
      </c>
      <c r="B23" s="35">
        <v>750</v>
      </c>
      <c r="C23" s="35">
        <v>1097</v>
      </c>
      <c r="D23" s="35">
        <v>1290</v>
      </c>
      <c r="E23" s="13">
        <f>E21-E22</f>
        <v>1245.5172413793102</v>
      </c>
      <c r="F23" s="13">
        <f t="shared" ref="F23:I23" si="7">F21-F22</f>
        <v>1201.0344827586205</v>
      </c>
      <c r="G23" s="13">
        <f t="shared" si="7"/>
        <v>1156.5517241379307</v>
      </c>
      <c r="H23" s="13">
        <f t="shared" si="7"/>
        <v>1112.0689655172409</v>
      </c>
      <c r="I23" s="13">
        <f t="shared" si="7"/>
        <v>1067.5862068965512</v>
      </c>
    </row>
    <row r="24" spans="1:9" ht="18" customHeight="1">
      <c r="A24" s="18"/>
      <c r="B24" s="35"/>
      <c r="C24" s="35"/>
      <c r="D24" s="35"/>
      <c r="F24" s="20"/>
      <c r="G24" s="20"/>
      <c r="H24" s="20"/>
    </row>
    <row r="25" spans="1:9" ht="18" customHeight="1">
      <c r="A25" s="18" t="s">
        <v>71</v>
      </c>
      <c r="B25" s="35"/>
      <c r="C25" s="35"/>
      <c r="D25" s="35"/>
      <c r="E25" s="159">
        <f>Assumptions!T58</f>
        <v>5.7000000000000002E-2</v>
      </c>
      <c r="F25" s="159">
        <f>Assumptions!U58</f>
        <v>5.7000000000000002E-2</v>
      </c>
      <c r="G25" s="159">
        <f>Assumptions!V58</f>
        <v>5.7000000000000002E-2</v>
      </c>
      <c r="H25" s="159">
        <f>Assumptions!W58</f>
        <v>5.7000000000000002E-2</v>
      </c>
      <c r="I25" s="159">
        <f>Assumptions!X58</f>
        <v>5.7000000000000002E-2</v>
      </c>
    </row>
    <row r="26" spans="1:9" ht="18" customHeight="1">
      <c r="A26" s="18" t="s">
        <v>72</v>
      </c>
      <c r="B26" s="35"/>
      <c r="C26" s="35"/>
      <c r="D26" s="35"/>
      <c r="E26" s="36">
        <f>AVERAGE(E21,E23)</f>
        <v>1267.7586206896551</v>
      </c>
      <c r="F26" s="36">
        <f t="shared" ref="F26:I26" si="8">AVERAGE(F21,F23)</f>
        <v>1223.2758620689654</v>
      </c>
      <c r="G26" s="36">
        <f t="shared" si="8"/>
        <v>1178.7931034482756</v>
      </c>
      <c r="H26" s="36">
        <f t="shared" si="8"/>
        <v>1134.3103448275858</v>
      </c>
      <c r="I26" s="36">
        <f t="shared" si="8"/>
        <v>1089.8275862068961</v>
      </c>
    </row>
    <row r="27" spans="1:9" ht="18" customHeight="1">
      <c r="A27" s="18" t="s">
        <v>73</v>
      </c>
      <c r="B27" s="35"/>
      <c r="C27" s="35"/>
      <c r="D27" s="35"/>
      <c r="E27" s="17">
        <f>E26*E25</f>
        <v>72.262241379310339</v>
      </c>
      <c r="F27" s="17">
        <f t="shared" ref="F27:I27" si="9">F26*F25</f>
        <v>69.726724137931029</v>
      </c>
      <c r="G27" s="17">
        <f t="shared" si="9"/>
        <v>67.191206896551705</v>
      </c>
      <c r="H27" s="17">
        <f t="shared" si="9"/>
        <v>64.655689655172395</v>
      </c>
      <c r="I27" s="17">
        <f t="shared" si="9"/>
        <v>62.120172413793078</v>
      </c>
    </row>
    <row r="28" spans="1:9" ht="18" customHeight="1">
      <c r="A28" s="18"/>
      <c r="B28" s="35"/>
      <c r="C28" s="35"/>
      <c r="D28" s="35"/>
    </row>
    <row r="29" spans="1:9" ht="18" customHeight="1">
      <c r="A29" s="18" t="s">
        <v>403</v>
      </c>
      <c r="B29" s="35"/>
      <c r="C29" s="35"/>
      <c r="D29" s="35"/>
      <c r="E29" s="35">
        <f>D31</f>
        <v>8875</v>
      </c>
      <c r="F29" s="35">
        <f t="shared" ref="F29:I29" si="10">E31</f>
        <v>8068.181818181818</v>
      </c>
      <c r="G29" s="35">
        <f t="shared" si="10"/>
        <v>7261.363636363636</v>
      </c>
      <c r="H29" s="35">
        <f t="shared" si="10"/>
        <v>6454.545454545454</v>
      </c>
      <c r="I29" s="35">
        <f t="shared" si="10"/>
        <v>5647.7272727272721</v>
      </c>
    </row>
    <row r="30" spans="1:9" ht="18" customHeight="1">
      <c r="A30" s="18" t="s">
        <v>427</v>
      </c>
      <c r="B30" s="35"/>
      <c r="C30" s="35"/>
      <c r="D30" s="35"/>
      <c r="E30" s="17">
        <f>$E$29/11</f>
        <v>806.81818181818187</v>
      </c>
      <c r="F30" s="17">
        <f t="shared" ref="F30:I30" si="11">$E$29/11</f>
        <v>806.81818181818187</v>
      </c>
      <c r="G30" s="17">
        <f t="shared" si="11"/>
        <v>806.81818181818187</v>
      </c>
      <c r="H30" s="17">
        <f t="shared" si="11"/>
        <v>806.81818181818187</v>
      </c>
      <c r="I30" s="17">
        <f t="shared" si="11"/>
        <v>806.81818181818187</v>
      </c>
    </row>
    <row r="31" spans="1:9" ht="18" customHeight="1">
      <c r="A31" s="18" t="s">
        <v>417</v>
      </c>
      <c r="B31" s="35">
        <v>8704.1</v>
      </c>
      <c r="C31" s="35">
        <v>10781</v>
      </c>
      <c r="D31" s="35">
        <v>8875</v>
      </c>
      <c r="E31" s="13">
        <f>E29-E30</f>
        <v>8068.181818181818</v>
      </c>
      <c r="F31" s="13">
        <f t="shared" ref="F31:I31" si="12">F29-F30</f>
        <v>7261.363636363636</v>
      </c>
      <c r="G31" s="13">
        <f t="shared" si="12"/>
        <v>6454.545454545454</v>
      </c>
      <c r="H31" s="13">
        <f t="shared" si="12"/>
        <v>5647.7272727272721</v>
      </c>
      <c r="I31" s="13">
        <f t="shared" si="12"/>
        <v>4840.9090909090901</v>
      </c>
    </row>
    <row r="32" spans="1:9" ht="18" customHeight="1">
      <c r="A32" s="18"/>
      <c r="B32" s="35"/>
      <c r="C32" s="35"/>
      <c r="D32" s="35"/>
    </row>
    <row r="33" spans="1:9" ht="18" customHeight="1">
      <c r="A33" s="18" t="s">
        <v>71</v>
      </c>
      <c r="B33" s="35"/>
      <c r="C33" s="35"/>
      <c r="D33" s="35"/>
      <c r="E33" s="159">
        <f>Assumptions!T59</f>
        <v>2.5000000000000001E-2</v>
      </c>
      <c r="F33" s="159">
        <f>Assumptions!U59</f>
        <v>2.5000000000000001E-2</v>
      </c>
      <c r="G33" s="159">
        <f>Assumptions!V59</f>
        <v>2.5000000000000001E-2</v>
      </c>
      <c r="H33" s="159">
        <f>Assumptions!W59</f>
        <v>2.5000000000000001E-2</v>
      </c>
      <c r="I33" s="159">
        <f>Assumptions!X59</f>
        <v>2.5000000000000001E-2</v>
      </c>
    </row>
    <row r="34" spans="1:9" ht="18" customHeight="1">
      <c r="A34" s="18" t="s">
        <v>72</v>
      </c>
      <c r="B34" s="35"/>
      <c r="C34" s="35"/>
      <c r="D34" s="35"/>
      <c r="E34" s="36">
        <f>AVERAGE(E29,E31)</f>
        <v>8471.5909090909081</v>
      </c>
      <c r="F34" s="36">
        <f t="shared" ref="F34:I34" si="13">AVERAGE(F29,F31)</f>
        <v>7664.772727272727</v>
      </c>
      <c r="G34" s="36">
        <f t="shared" si="13"/>
        <v>6857.954545454545</v>
      </c>
      <c r="H34" s="36">
        <f t="shared" si="13"/>
        <v>6051.1363636363631</v>
      </c>
      <c r="I34" s="36">
        <f t="shared" si="13"/>
        <v>5244.3181818181811</v>
      </c>
    </row>
    <row r="35" spans="1:9" ht="18" customHeight="1">
      <c r="A35" s="18" t="s">
        <v>73</v>
      </c>
      <c r="B35" s="35"/>
      <c r="C35" s="35"/>
      <c r="D35" s="35"/>
      <c r="E35" s="17">
        <f>E34*E33</f>
        <v>211.78977272727272</v>
      </c>
      <c r="F35" s="17">
        <f t="shared" ref="F35:I35" si="14">F34*F33</f>
        <v>191.61931818181819</v>
      </c>
      <c r="G35" s="17">
        <f t="shared" si="14"/>
        <v>171.44886363636363</v>
      </c>
      <c r="H35" s="17">
        <f t="shared" si="14"/>
        <v>151.27840909090909</v>
      </c>
      <c r="I35" s="17">
        <f t="shared" si="14"/>
        <v>131.10795454545453</v>
      </c>
    </row>
    <row r="36" spans="1:9" ht="18" customHeight="1">
      <c r="A36" s="18"/>
      <c r="B36" s="35"/>
      <c r="C36" s="35"/>
      <c r="D36" s="35"/>
    </row>
    <row r="37" spans="1:9" ht="18" customHeight="1">
      <c r="A37" s="18" t="s">
        <v>404</v>
      </c>
      <c r="B37" s="35"/>
      <c r="C37" s="35"/>
      <c r="D37" s="35"/>
      <c r="E37" s="35">
        <f>D39</f>
        <v>311</v>
      </c>
      <c r="F37" s="35">
        <f t="shared" ref="F37:I37" si="15">E39</f>
        <v>282.72727272727275</v>
      </c>
      <c r="G37" s="35">
        <f t="shared" si="15"/>
        <v>254.45454545454547</v>
      </c>
      <c r="H37" s="35">
        <f t="shared" si="15"/>
        <v>226.18181818181819</v>
      </c>
      <c r="I37" s="35">
        <f t="shared" si="15"/>
        <v>197.90909090909091</v>
      </c>
    </row>
    <row r="38" spans="1:9" ht="18" customHeight="1">
      <c r="A38" s="18" t="s">
        <v>427</v>
      </c>
      <c r="B38" s="35"/>
      <c r="C38" s="35"/>
      <c r="D38" s="35"/>
      <c r="E38" s="17">
        <f>$E$37/11</f>
        <v>28.272727272727273</v>
      </c>
      <c r="F38" s="17">
        <f t="shared" ref="F38:I38" si="16">$E$37/11</f>
        <v>28.272727272727273</v>
      </c>
      <c r="G38" s="17">
        <f t="shared" si="16"/>
        <v>28.272727272727273</v>
      </c>
      <c r="H38" s="17">
        <f t="shared" si="16"/>
        <v>28.272727272727273</v>
      </c>
      <c r="I38" s="17">
        <f t="shared" si="16"/>
        <v>28.272727272727273</v>
      </c>
    </row>
    <row r="39" spans="1:9" ht="18" customHeight="1">
      <c r="A39" s="18" t="s">
        <v>420</v>
      </c>
      <c r="B39" s="35">
        <v>321.2</v>
      </c>
      <c r="C39" s="35">
        <v>331</v>
      </c>
      <c r="D39" s="35">
        <v>311</v>
      </c>
      <c r="E39" s="13">
        <f>E37-E38</f>
        <v>282.72727272727275</v>
      </c>
      <c r="F39" s="13">
        <f t="shared" ref="F39:I39" si="17">F37-F38</f>
        <v>254.45454545454547</v>
      </c>
      <c r="G39" s="13">
        <f t="shared" si="17"/>
        <v>226.18181818181819</v>
      </c>
      <c r="H39" s="13">
        <f t="shared" si="17"/>
        <v>197.90909090909091</v>
      </c>
      <c r="I39" s="13">
        <f t="shared" si="17"/>
        <v>169.63636363636363</v>
      </c>
    </row>
    <row r="40" spans="1:9" ht="18" customHeight="1">
      <c r="A40" s="18"/>
      <c r="B40" s="35"/>
      <c r="C40" s="35"/>
      <c r="D40" s="35"/>
    </row>
    <row r="41" spans="1:9" ht="18" customHeight="1">
      <c r="A41" s="18" t="s">
        <v>71</v>
      </c>
      <c r="B41" s="35"/>
      <c r="C41" s="35"/>
      <c r="D41" s="35"/>
      <c r="E41" s="159">
        <f>Assumptions!T60</f>
        <v>5.2999999999999999E-2</v>
      </c>
      <c r="F41" s="159">
        <f>Assumptions!U60</f>
        <v>5.2999999999999999E-2</v>
      </c>
      <c r="G41" s="159">
        <f>Assumptions!V60</f>
        <v>5.2999999999999999E-2</v>
      </c>
      <c r="H41" s="159">
        <f>Assumptions!W60</f>
        <v>5.2999999999999999E-2</v>
      </c>
      <c r="I41" s="159">
        <f>Assumptions!X60</f>
        <v>5.2999999999999999E-2</v>
      </c>
    </row>
    <row r="42" spans="1:9" ht="18" customHeight="1">
      <c r="A42" s="18" t="s">
        <v>72</v>
      </c>
      <c r="B42" s="35"/>
      <c r="C42" s="35"/>
      <c r="D42" s="35"/>
      <c r="E42" s="36">
        <f>AVERAGE(E37,E39)</f>
        <v>296.86363636363637</v>
      </c>
      <c r="F42" s="36">
        <f t="shared" ref="F42:I42" si="18">AVERAGE(F37,F39)</f>
        <v>268.59090909090912</v>
      </c>
      <c r="G42" s="36">
        <f t="shared" si="18"/>
        <v>240.31818181818181</v>
      </c>
      <c r="H42" s="36">
        <f t="shared" si="18"/>
        <v>212.04545454545456</v>
      </c>
      <c r="I42" s="36">
        <f t="shared" si="18"/>
        <v>183.77272727272725</v>
      </c>
    </row>
    <row r="43" spans="1:9" ht="18" customHeight="1">
      <c r="A43" s="18" t="s">
        <v>73</v>
      </c>
      <c r="B43" s="35"/>
      <c r="C43" s="35"/>
      <c r="D43" s="35"/>
      <c r="E43" s="17">
        <f>E42*E41</f>
        <v>15.733772727272727</v>
      </c>
      <c r="F43" s="17">
        <f t="shared" ref="F43:I43" si="19">F42*F41</f>
        <v>14.235318181818183</v>
      </c>
      <c r="G43" s="17">
        <f t="shared" si="19"/>
        <v>12.736863636363635</v>
      </c>
      <c r="H43" s="17">
        <f t="shared" si="19"/>
        <v>11.238409090909091</v>
      </c>
      <c r="I43" s="17">
        <f t="shared" si="19"/>
        <v>9.7399545454545446</v>
      </c>
    </row>
    <row r="44" spans="1:9" ht="18" customHeight="1">
      <c r="A44" s="18"/>
      <c r="B44" s="35"/>
      <c r="C44" s="35"/>
      <c r="D44" s="35"/>
      <c r="F44" s="20"/>
      <c r="G44" s="20"/>
      <c r="H44" s="20"/>
    </row>
    <row r="45" spans="1:9" ht="18" customHeight="1">
      <c r="A45" s="18" t="s">
        <v>405</v>
      </c>
      <c r="B45" s="35"/>
      <c r="C45" s="35"/>
      <c r="D45" s="35"/>
      <c r="E45" s="35">
        <f>D47</f>
        <v>371</v>
      </c>
      <c r="F45" s="35">
        <f t="shared" ref="F45:I45" si="20">E47</f>
        <v>371</v>
      </c>
      <c r="G45" s="35">
        <f t="shared" si="20"/>
        <v>278.25</v>
      </c>
      <c r="H45" s="35">
        <f t="shared" si="20"/>
        <v>185.5</v>
      </c>
      <c r="I45" s="35">
        <f t="shared" si="20"/>
        <v>92.75</v>
      </c>
    </row>
    <row r="46" spans="1:9" ht="18" customHeight="1">
      <c r="A46" s="18" t="s">
        <v>428</v>
      </c>
      <c r="B46" s="35"/>
      <c r="C46" s="35"/>
      <c r="D46" s="35"/>
      <c r="F46" s="17">
        <f>$E$45/4</f>
        <v>92.75</v>
      </c>
      <c r="G46" s="17">
        <f t="shared" ref="G46:I46" si="21">$E$45/4</f>
        <v>92.75</v>
      </c>
      <c r="H46" s="17">
        <f t="shared" si="21"/>
        <v>92.75</v>
      </c>
      <c r="I46" s="17">
        <f t="shared" si="21"/>
        <v>92.75</v>
      </c>
    </row>
    <row r="47" spans="1:9" ht="18" customHeight="1">
      <c r="A47" s="18" t="s">
        <v>419</v>
      </c>
      <c r="B47" s="35">
        <v>748.7</v>
      </c>
      <c r="C47" s="35">
        <v>749</v>
      </c>
      <c r="D47" s="35">
        <v>371</v>
      </c>
      <c r="E47" s="13">
        <f>E45-E46</f>
        <v>371</v>
      </c>
      <c r="F47" s="13">
        <f t="shared" ref="F47:I47" si="22">F45-F46</f>
        <v>278.25</v>
      </c>
      <c r="G47" s="13">
        <f t="shared" si="22"/>
        <v>185.5</v>
      </c>
      <c r="H47" s="13">
        <f t="shared" si="22"/>
        <v>92.75</v>
      </c>
      <c r="I47" s="13">
        <f t="shared" si="22"/>
        <v>0</v>
      </c>
    </row>
    <row r="48" spans="1:9" ht="18" customHeight="1">
      <c r="A48" s="18"/>
      <c r="B48" s="35"/>
      <c r="C48" s="35"/>
      <c r="D48" s="35"/>
    </row>
    <row r="49" spans="1:9" ht="18" customHeight="1">
      <c r="A49" s="18" t="s">
        <v>71</v>
      </c>
      <c r="B49" s="35"/>
      <c r="C49" s="35"/>
      <c r="D49" s="35"/>
      <c r="E49" s="159">
        <f>Assumptions!T61</f>
        <v>3.6999999999999998E-2</v>
      </c>
      <c r="F49" s="159">
        <f>Assumptions!U61</f>
        <v>3.6999999999999998E-2</v>
      </c>
      <c r="G49" s="159">
        <f>Assumptions!V61</f>
        <v>3.6999999999999998E-2</v>
      </c>
      <c r="H49" s="159">
        <f>Assumptions!W61</f>
        <v>3.6999999999999998E-2</v>
      </c>
      <c r="I49" s="159">
        <f>Assumptions!X61</f>
        <v>3.6999999999999998E-2</v>
      </c>
    </row>
    <row r="50" spans="1:9" ht="18" customHeight="1">
      <c r="A50" s="18" t="s">
        <v>72</v>
      </c>
      <c r="B50" s="35"/>
      <c r="C50" s="35"/>
      <c r="D50" s="35"/>
      <c r="E50" s="36">
        <f>AVERAGE(E45,E47)</f>
        <v>371</v>
      </c>
      <c r="F50" s="36">
        <f t="shared" ref="F50:I50" si="23">AVERAGE(F45,F47)</f>
        <v>324.625</v>
      </c>
      <c r="G50" s="36">
        <f t="shared" si="23"/>
        <v>231.875</v>
      </c>
      <c r="H50" s="36">
        <f t="shared" si="23"/>
        <v>139.125</v>
      </c>
      <c r="I50" s="36">
        <f t="shared" si="23"/>
        <v>46.375</v>
      </c>
    </row>
    <row r="51" spans="1:9" ht="18" customHeight="1">
      <c r="A51" s="18" t="s">
        <v>73</v>
      </c>
      <c r="B51" s="35"/>
      <c r="C51" s="35"/>
      <c r="D51" s="35"/>
      <c r="E51" s="17">
        <f>E50*E49</f>
        <v>13.726999999999999</v>
      </c>
      <c r="F51" s="17">
        <f t="shared" ref="F51:I51" si="24">F50*F49</f>
        <v>12.011125</v>
      </c>
      <c r="G51" s="17">
        <f t="shared" si="24"/>
        <v>8.5793749999999989</v>
      </c>
      <c r="H51" s="17">
        <f t="shared" si="24"/>
        <v>5.1476249999999997</v>
      </c>
      <c r="I51" s="17">
        <f t="shared" si="24"/>
        <v>1.7158749999999998</v>
      </c>
    </row>
    <row r="52" spans="1:9" ht="18" customHeight="1">
      <c r="A52" s="18"/>
      <c r="B52" s="35"/>
      <c r="C52" s="35"/>
      <c r="D52" s="35"/>
    </row>
    <row r="53" spans="1:9" ht="18" customHeight="1">
      <c r="A53" s="18" t="s">
        <v>407</v>
      </c>
      <c r="B53" s="35"/>
      <c r="C53" s="35"/>
      <c r="D53" s="35"/>
      <c r="E53" s="35">
        <f>D55</f>
        <v>1559</v>
      </c>
      <c r="F53" s="35">
        <f t="shared" ref="F53:I53" si="25">E55</f>
        <v>1559</v>
      </c>
      <c r="G53" s="35">
        <f t="shared" si="25"/>
        <v>1559</v>
      </c>
      <c r="H53" s="35">
        <f t="shared" si="25"/>
        <v>1559</v>
      </c>
      <c r="I53" s="35">
        <f t="shared" si="25"/>
        <v>1559</v>
      </c>
    </row>
    <row r="54" spans="1:9" ht="18" customHeight="1">
      <c r="A54" s="18" t="s">
        <v>429</v>
      </c>
      <c r="B54" s="35"/>
      <c r="C54" s="35"/>
      <c r="D54" s="35"/>
      <c r="E54" s="17"/>
      <c r="F54" s="17"/>
      <c r="G54" s="17"/>
      <c r="H54" s="17"/>
      <c r="I54" s="17"/>
    </row>
    <row r="55" spans="1:9" ht="18" customHeight="1">
      <c r="A55" s="18" t="s">
        <v>425</v>
      </c>
      <c r="B55" s="35">
        <v>1504.1</v>
      </c>
      <c r="C55" s="35">
        <v>1585</v>
      </c>
      <c r="D55" s="35">
        <v>1559</v>
      </c>
      <c r="E55" s="13">
        <f>E53-E54</f>
        <v>1559</v>
      </c>
      <c r="F55" s="13">
        <f t="shared" ref="F55:I55" si="26">F53-F54</f>
        <v>1559</v>
      </c>
      <c r="G55" s="13">
        <f t="shared" si="26"/>
        <v>1559</v>
      </c>
      <c r="H55" s="13">
        <f t="shared" si="26"/>
        <v>1559</v>
      </c>
      <c r="I55" s="13">
        <f t="shared" si="26"/>
        <v>1559</v>
      </c>
    </row>
    <row r="56" spans="1:9" ht="18" customHeight="1">
      <c r="A56" s="18"/>
      <c r="B56" s="35"/>
      <c r="C56" s="35"/>
      <c r="D56" s="35"/>
    </row>
    <row r="57" spans="1:9" ht="18" customHeight="1">
      <c r="A57" s="18" t="s">
        <v>71</v>
      </c>
      <c r="B57" s="35"/>
      <c r="C57" s="35"/>
      <c r="D57" s="35"/>
      <c r="E57" s="159">
        <f>Assumptions!T62</f>
        <v>4.1000000000000002E-2</v>
      </c>
      <c r="F57" s="159">
        <f>Assumptions!U62</f>
        <v>4.1000000000000002E-2</v>
      </c>
      <c r="G57" s="159">
        <f>Assumptions!V62</f>
        <v>4.1000000000000002E-2</v>
      </c>
      <c r="H57" s="159">
        <f>Assumptions!W62</f>
        <v>4.1000000000000002E-2</v>
      </c>
      <c r="I57" s="159">
        <f>Assumptions!X62</f>
        <v>4.1000000000000002E-2</v>
      </c>
    </row>
    <row r="58" spans="1:9" ht="18" customHeight="1">
      <c r="A58" s="18" t="s">
        <v>72</v>
      </c>
      <c r="B58" s="35"/>
      <c r="C58" s="35"/>
      <c r="D58" s="35"/>
      <c r="E58" s="36">
        <f>AVERAGE(E53,E55)</f>
        <v>1559</v>
      </c>
      <c r="F58" s="36">
        <f t="shared" ref="F58:I58" si="27">AVERAGE(F53,F55)</f>
        <v>1559</v>
      </c>
      <c r="G58" s="36">
        <f t="shared" si="27"/>
        <v>1559</v>
      </c>
      <c r="H58" s="36">
        <f t="shared" si="27"/>
        <v>1559</v>
      </c>
      <c r="I58" s="36">
        <f t="shared" si="27"/>
        <v>1559</v>
      </c>
    </row>
    <row r="59" spans="1:9" ht="18" customHeight="1">
      <c r="A59" s="18" t="s">
        <v>73</v>
      </c>
      <c r="B59" s="35"/>
      <c r="C59" s="35"/>
      <c r="D59" s="35"/>
      <c r="E59" s="17">
        <f>E58*E57</f>
        <v>63.919000000000004</v>
      </c>
      <c r="F59" s="17">
        <f t="shared" ref="F59:I59" si="28">F58*F57</f>
        <v>63.919000000000004</v>
      </c>
      <c r="G59" s="17">
        <f t="shared" si="28"/>
        <v>63.919000000000004</v>
      </c>
      <c r="H59" s="17">
        <f t="shared" si="28"/>
        <v>63.919000000000004</v>
      </c>
      <c r="I59" s="17">
        <f t="shared" si="28"/>
        <v>63.919000000000004</v>
      </c>
    </row>
    <row r="60" spans="1:9" ht="18" customHeight="1">
      <c r="A60" s="18"/>
      <c r="B60" s="35"/>
      <c r="C60" s="35"/>
      <c r="D60" s="35"/>
    </row>
    <row r="61" spans="1:9" ht="18" customHeight="1">
      <c r="A61" s="18" t="s">
        <v>409</v>
      </c>
      <c r="B61" s="35"/>
      <c r="C61" s="35"/>
      <c r="D61" s="35"/>
      <c r="E61" s="35">
        <f>D63</f>
        <v>1390</v>
      </c>
      <c r="F61" s="35">
        <f t="shared" ref="F61:I61" si="29">E63</f>
        <v>1158.3333333333333</v>
      </c>
      <c r="G61" s="35">
        <f t="shared" si="29"/>
        <v>926.66666666666663</v>
      </c>
      <c r="H61" s="35">
        <f t="shared" si="29"/>
        <v>695</v>
      </c>
      <c r="I61" s="35">
        <f t="shared" si="29"/>
        <v>463.33333333333337</v>
      </c>
    </row>
    <row r="62" spans="1:9" ht="18" customHeight="1">
      <c r="A62" s="18" t="s">
        <v>430</v>
      </c>
      <c r="B62" s="35"/>
      <c r="C62" s="35"/>
      <c r="D62" s="35"/>
      <c r="E62" s="17">
        <f>$E$61/6</f>
        <v>231.66666666666666</v>
      </c>
      <c r="F62" s="17">
        <f t="shared" ref="F62:I62" si="30">$E$61/6</f>
        <v>231.66666666666666</v>
      </c>
      <c r="G62" s="17">
        <f t="shared" si="30"/>
        <v>231.66666666666666</v>
      </c>
      <c r="H62" s="17">
        <f t="shared" si="30"/>
        <v>231.66666666666666</v>
      </c>
      <c r="I62" s="17">
        <f t="shared" si="30"/>
        <v>231.66666666666666</v>
      </c>
    </row>
    <row r="63" spans="1:9" ht="18" customHeight="1">
      <c r="A63" s="18" t="s">
        <v>424</v>
      </c>
      <c r="B63" s="35">
        <v>737.3</v>
      </c>
      <c r="C63" s="35">
        <v>755</v>
      </c>
      <c r="D63" s="35">
        <v>1390</v>
      </c>
      <c r="E63" s="13">
        <f>E61-E62</f>
        <v>1158.3333333333333</v>
      </c>
      <c r="F63" s="13">
        <f t="shared" ref="F63:I63" si="31">F61-F62</f>
        <v>926.66666666666663</v>
      </c>
      <c r="G63" s="13">
        <f t="shared" si="31"/>
        <v>695</v>
      </c>
      <c r="H63" s="13">
        <f t="shared" si="31"/>
        <v>463.33333333333337</v>
      </c>
      <c r="I63" s="13">
        <f t="shared" si="31"/>
        <v>231.66666666666671</v>
      </c>
    </row>
    <row r="64" spans="1:9" ht="18" customHeight="1">
      <c r="A64" s="18"/>
      <c r="B64" s="35"/>
      <c r="C64" s="35"/>
      <c r="D64" s="35"/>
    </row>
    <row r="65" spans="1:9" ht="18" customHeight="1">
      <c r="A65" s="18" t="s">
        <v>71</v>
      </c>
      <c r="B65" s="35"/>
      <c r="C65" s="35"/>
      <c r="D65" s="35"/>
      <c r="E65" s="159">
        <f>Assumptions!T63</f>
        <v>0.04</v>
      </c>
      <c r="F65" s="159">
        <f>Assumptions!U63</f>
        <v>0.04</v>
      </c>
      <c r="G65" s="159">
        <f>Assumptions!V63</f>
        <v>0.04</v>
      </c>
      <c r="H65" s="159">
        <f>Assumptions!W63</f>
        <v>0.04</v>
      </c>
      <c r="I65" s="159">
        <f>Assumptions!X63</f>
        <v>0.04</v>
      </c>
    </row>
    <row r="66" spans="1:9" ht="18" customHeight="1">
      <c r="A66" s="18" t="s">
        <v>72</v>
      </c>
      <c r="B66" s="35"/>
      <c r="C66" s="35"/>
      <c r="D66" s="35"/>
      <c r="E66" s="36">
        <f>AVERAGE(E61,E63)</f>
        <v>1274.1666666666665</v>
      </c>
      <c r="F66" s="36">
        <f t="shared" ref="F66:I66" si="32">AVERAGE(F61,F63)</f>
        <v>1042.5</v>
      </c>
      <c r="G66" s="36">
        <f t="shared" si="32"/>
        <v>810.83333333333326</v>
      </c>
      <c r="H66" s="36">
        <f t="shared" si="32"/>
        <v>579.16666666666674</v>
      </c>
      <c r="I66" s="36">
        <f t="shared" si="32"/>
        <v>347.50000000000006</v>
      </c>
    </row>
    <row r="67" spans="1:9" ht="18" customHeight="1">
      <c r="A67" s="18" t="s">
        <v>73</v>
      </c>
      <c r="B67" s="35"/>
      <c r="C67" s="35"/>
      <c r="D67" s="35"/>
      <c r="E67" s="17">
        <f>E66*E65</f>
        <v>50.966666666666661</v>
      </c>
      <c r="F67" s="17">
        <f t="shared" ref="F67:I67" si="33">F66*F65</f>
        <v>41.7</v>
      </c>
      <c r="G67" s="17">
        <f t="shared" si="33"/>
        <v>32.43333333333333</v>
      </c>
      <c r="H67" s="17">
        <f t="shared" si="33"/>
        <v>23.166666666666671</v>
      </c>
      <c r="I67" s="17">
        <f t="shared" si="33"/>
        <v>13.900000000000002</v>
      </c>
    </row>
    <row r="68" spans="1:9" ht="18" customHeight="1">
      <c r="A68" s="18"/>
      <c r="B68" s="35"/>
      <c r="C68" s="35"/>
      <c r="D68" s="35"/>
    </row>
    <row r="69" spans="1:9" ht="18" customHeight="1">
      <c r="A69" s="18" t="s">
        <v>408</v>
      </c>
      <c r="B69" s="35"/>
      <c r="C69" s="35"/>
      <c r="D69" s="35"/>
      <c r="E69" s="35">
        <f>D71</f>
        <v>79</v>
      </c>
      <c r="F69" s="35">
        <f t="shared" ref="F69:I69" si="34">E71</f>
        <v>79</v>
      </c>
      <c r="G69" s="35">
        <f t="shared" si="34"/>
        <v>79</v>
      </c>
      <c r="H69" s="35">
        <f t="shared" si="34"/>
        <v>79</v>
      </c>
      <c r="I69" s="35">
        <f t="shared" si="34"/>
        <v>79</v>
      </c>
    </row>
    <row r="70" spans="1:9" ht="18" customHeight="1">
      <c r="A70" s="18" t="s">
        <v>431</v>
      </c>
      <c r="B70" s="35"/>
      <c r="C70" s="35"/>
      <c r="D70" s="35"/>
      <c r="E70" s="36"/>
      <c r="F70" s="36"/>
      <c r="G70" s="36"/>
      <c r="H70" s="36"/>
      <c r="I70" s="36"/>
    </row>
    <row r="71" spans="1:9" ht="18" customHeight="1">
      <c r="A71" s="18" t="s">
        <v>423</v>
      </c>
      <c r="B71" s="35">
        <v>95.3</v>
      </c>
      <c r="C71" s="35">
        <v>89</v>
      </c>
      <c r="D71" s="35">
        <v>79</v>
      </c>
      <c r="E71" s="13">
        <f>E69-E70</f>
        <v>79</v>
      </c>
      <c r="F71" s="13">
        <f t="shared" ref="F71:I71" si="35">F69-F70</f>
        <v>79</v>
      </c>
      <c r="G71" s="13">
        <f t="shared" si="35"/>
        <v>79</v>
      </c>
      <c r="H71" s="13">
        <f t="shared" si="35"/>
        <v>79</v>
      </c>
      <c r="I71" s="13">
        <f t="shared" si="35"/>
        <v>79</v>
      </c>
    </row>
    <row r="72" spans="1:9" ht="18" customHeight="1">
      <c r="A72" s="18"/>
      <c r="B72" s="35"/>
      <c r="C72" s="35"/>
      <c r="D72" s="35"/>
    </row>
    <row r="73" spans="1:9" ht="18" customHeight="1">
      <c r="A73" s="18" t="s">
        <v>71</v>
      </c>
      <c r="B73" s="35"/>
      <c r="C73" s="35"/>
      <c r="D73" s="35"/>
      <c r="E73" s="159">
        <f>Assumptions!T64</f>
        <v>2.9000000000000001E-2</v>
      </c>
      <c r="F73" s="159">
        <f>Assumptions!U64</f>
        <v>2.9000000000000001E-2</v>
      </c>
      <c r="G73" s="159">
        <f>Assumptions!V64</f>
        <v>2.9000000000000001E-2</v>
      </c>
      <c r="H73" s="159">
        <f>Assumptions!W64</f>
        <v>2.9000000000000001E-2</v>
      </c>
      <c r="I73" s="159">
        <f>Assumptions!X64</f>
        <v>2.9000000000000001E-2</v>
      </c>
    </row>
    <row r="74" spans="1:9" ht="18" customHeight="1">
      <c r="A74" s="18" t="s">
        <v>72</v>
      </c>
      <c r="B74" s="35"/>
      <c r="C74" s="35"/>
      <c r="D74" s="35"/>
      <c r="E74" s="36">
        <f>AVERAGE(E69,E71)</f>
        <v>79</v>
      </c>
      <c r="F74" s="36">
        <f t="shared" ref="F74:I74" si="36">AVERAGE(F69,F71)</f>
        <v>79</v>
      </c>
      <c r="G74" s="36">
        <f t="shared" si="36"/>
        <v>79</v>
      </c>
      <c r="H74" s="36">
        <f t="shared" si="36"/>
        <v>79</v>
      </c>
      <c r="I74" s="36">
        <f t="shared" si="36"/>
        <v>79</v>
      </c>
    </row>
    <row r="75" spans="1:9" ht="18" customHeight="1">
      <c r="A75" s="18" t="s">
        <v>73</v>
      </c>
      <c r="B75" s="35"/>
      <c r="C75" s="35"/>
      <c r="D75" s="35"/>
      <c r="E75" s="17">
        <f>E74*E73</f>
        <v>2.2909999999999999</v>
      </c>
      <c r="F75" s="17">
        <f t="shared" ref="F75:I75" si="37">F74*F73</f>
        <v>2.2909999999999999</v>
      </c>
      <c r="G75" s="17">
        <f t="shared" si="37"/>
        <v>2.2909999999999999</v>
      </c>
      <c r="H75" s="17">
        <f t="shared" si="37"/>
        <v>2.2909999999999999</v>
      </c>
      <c r="I75" s="17">
        <f t="shared" si="37"/>
        <v>2.2909999999999999</v>
      </c>
    </row>
    <row r="76" spans="1:9" ht="18" customHeight="1">
      <c r="A76" s="18"/>
      <c r="B76" s="35"/>
      <c r="C76" s="35"/>
      <c r="D76" s="35"/>
      <c r="F76" s="20"/>
      <c r="G76" s="20"/>
      <c r="H76" s="20"/>
    </row>
    <row r="77" spans="1:9" ht="18" customHeight="1">
      <c r="A77" s="18" t="s">
        <v>411</v>
      </c>
      <c r="B77" s="35"/>
      <c r="C77" s="35"/>
      <c r="D77" s="35"/>
      <c r="E77" s="35">
        <f>D79</f>
        <v>605</v>
      </c>
      <c r="F77" s="35">
        <f t="shared" ref="F77:I77" si="38">E79</f>
        <v>529.375</v>
      </c>
      <c r="G77" s="35">
        <f t="shared" si="38"/>
        <v>453.75</v>
      </c>
      <c r="H77" s="35">
        <f t="shared" si="38"/>
        <v>378.125</v>
      </c>
      <c r="I77" s="35">
        <f t="shared" si="38"/>
        <v>302.5</v>
      </c>
    </row>
    <row r="78" spans="1:9" ht="18" customHeight="1">
      <c r="A78" s="18" t="s">
        <v>432</v>
      </c>
      <c r="B78" s="35"/>
      <c r="C78" s="35"/>
      <c r="D78" s="35"/>
      <c r="E78" s="17">
        <f>$E$77/8</f>
        <v>75.625</v>
      </c>
      <c r="F78" s="17">
        <f t="shared" ref="F78:I78" si="39">$E$77/8</f>
        <v>75.625</v>
      </c>
      <c r="G78" s="17">
        <f t="shared" si="39"/>
        <v>75.625</v>
      </c>
      <c r="H78" s="17">
        <f t="shared" si="39"/>
        <v>75.625</v>
      </c>
      <c r="I78" s="17">
        <f t="shared" si="39"/>
        <v>75.625</v>
      </c>
    </row>
    <row r="79" spans="1:9" ht="18" customHeight="1">
      <c r="A79" s="18" t="s">
        <v>422</v>
      </c>
      <c r="B79" s="35">
        <v>438.2</v>
      </c>
      <c r="C79" s="35">
        <v>475</v>
      </c>
      <c r="D79" s="35">
        <v>605</v>
      </c>
      <c r="E79" s="13">
        <f>E77-E78</f>
        <v>529.375</v>
      </c>
      <c r="F79" s="13">
        <f t="shared" ref="F79:I79" si="40">F77-F78</f>
        <v>453.75</v>
      </c>
      <c r="G79" s="13">
        <f t="shared" si="40"/>
        <v>378.125</v>
      </c>
      <c r="H79" s="13">
        <f t="shared" si="40"/>
        <v>302.5</v>
      </c>
      <c r="I79" s="13">
        <f t="shared" si="40"/>
        <v>226.875</v>
      </c>
    </row>
    <row r="80" spans="1:9" ht="18" customHeight="1">
      <c r="A80" s="18"/>
      <c r="B80" s="35"/>
      <c r="C80" s="35"/>
      <c r="D80" s="35"/>
    </row>
    <row r="81" spans="1:9" ht="18" customHeight="1">
      <c r="A81" s="18" t="s">
        <v>71</v>
      </c>
      <c r="B81" s="35"/>
      <c r="C81" s="35"/>
      <c r="D81" s="35"/>
      <c r="E81" s="159">
        <f>Assumptions!T65</f>
        <v>1.2E-2</v>
      </c>
      <c r="F81" s="159">
        <f>Assumptions!U65</f>
        <v>1.2E-2</v>
      </c>
      <c r="G81" s="159">
        <f>Assumptions!V65</f>
        <v>1.2E-2</v>
      </c>
      <c r="H81" s="159">
        <f>Assumptions!W65</f>
        <v>1.2E-2</v>
      </c>
      <c r="I81" s="159">
        <f>Assumptions!X65</f>
        <v>1.2E-2</v>
      </c>
    </row>
    <row r="82" spans="1:9" ht="18" customHeight="1">
      <c r="A82" s="18" t="s">
        <v>72</v>
      </c>
      <c r="B82" s="35"/>
      <c r="C82" s="35"/>
      <c r="D82" s="35"/>
      <c r="E82" s="36">
        <f>AVERAGE(E77,E79)</f>
        <v>567.1875</v>
      </c>
      <c r="F82" s="36">
        <f t="shared" ref="F82:I82" si="41">AVERAGE(F77,F79)</f>
        <v>491.5625</v>
      </c>
      <c r="G82" s="36">
        <f t="shared" si="41"/>
        <v>415.9375</v>
      </c>
      <c r="H82" s="36">
        <f t="shared" si="41"/>
        <v>340.3125</v>
      </c>
      <c r="I82" s="36">
        <f t="shared" si="41"/>
        <v>264.6875</v>
      </c>
    </row>
    <row r="83" spans="1:9" ht="18" customHeight="1">
      <c r="A83" s="18" t="s">
        <v>73</v>
      </c>
      <c r="B83" s="35"/>
      <c r="C83" s="35"/>
      <c r="D83" s="35"/>
      <c r="E83" s="17">
        <f>E82*E81</f>
        <v>6.8062500000000004</v>
      </c>
      <c r="F83" s="17">
        <f t="shared" ref="F83:I83" si="42">F82*F81</f>
        <v>5.8987499999999997</v>
      </c>
      <c r="G83" s="17">
        <f t="shared" si="42"/>
        <v>4.99125</v>
      </c>
      <c r="H83" s="17">
        <f t="shared" si="42"/>
        <v>4.0837500000000002</v>
      </c>
      <c r="I83" s="17">
        <f t="shared" si="42"/>
        <v>3.17625</v>
      </c>
    </row>
    <row r="84" spans="1:9" ht="18" customHeight="1">
      <c r="A84" s="18"/>
      <c r="B84" s="35"/>
      <c r="C84" s="35"/>
      <c r="D84" s="35"/>
    </row>
    <row r="85" spans="1:9" ht="18" customHeight="1">
      <c r="A85" s="18" t="s">
        <v>412</v>
      </c>
      <c r="B85" s="35"/>
      <c r="C85" s="35"/>
      <c r="D85" s="35"/>
      <c r="E85" s="35">
        <f>D87</f>
        <v>2</v>
      </c>
      <c r="F85" s="35">
        <f t="shared" ref="F85:I85" si="43">E87</f>
        <v>1.75</v>
      </c>
      <c r="G85" s="35">
        <f t="shared" si="43"/>
        <v>1.5</v>
      </c>
      <c r="H85" s="35">
        <f t="shared" si="43"/>
        <v>1.25</v>
      </c>
      <c r="I85" s="35">
        <f t="shared" si="43"/>
        <v>1</v>
      </c>
    </row>
    <row r="86" spans="1:9" ht="18" customHeight="1">
      <c r="A86" s="18" t="s">
        <v>432</v>
      </c>
      <c r="B86" s="35"/>
      <c r="C86" s="35"/>
      <c r="D86" s="35"/>
      <c r="E86" s="17">
        <f>$E$85/8</f>
        <v>0.25</v>
      </c>
      <c r="F86" s="17">
        <f t="shared" ref="F86:I86" si="44">$E$85/8</f>
        <v>0.25</v>
      </c>
      <c r="G86" s="17">
        <f t="shared" si="44"/>
        <v>0.25</v>
      </c>
      <c r="H86" s="17">
        <f t="shared" si="44"/>
        <v>0.25</v>
      </c>
      <c r="I86" s="17">
        <f t="shared" si="44"/>
        <v>0.25</v>
      </c>
    </row>
    <row r="87" spans="1:9" ht="18" customHeight="1">
      <c r="A87" s="18" t="s">
        <v>421</v>
      </c>
      <c r="B87" s="35">
        <v>257.10000000000002</v>
      </c>
      <c r="C87" s="35">
        <v>118</v>
      </c>
      <c r="D87" s="35">
        <v>2</v>
      </c>
      <c r="E87" s="13">
        <f>E85-E86</f>
        <v>1.75</v>
      </c>
      <c r="F87" s="13">
        <f t="shared" ref="F87:I87" si="45">F85-F86</f>
        <v>1.5</v>
      </c>
      <c r="G87" s="13">
        <f t="shared" si="45"/>
        <v>1.25</v>
      </c>
      <c r="H87" s="13">
        <f t="shared" si="45"/>
        <v>1</v>
      </c>
      <c r="I87" s="13">
        <f t="shared" si="45"/>
        <v>0.75</v>
      </c>
    </row>
    <row r="88" spans="1:9" ht="18" customHeight="1">
      <c r="A88" s="18"/>
      <c r="B88" s="20"/>
      <c r="C88" s="20"/>
      <c r="D88" s="20"/>
    </row>
    <row r="89" spans="1:9" ht="18" customHeight="1">
      <c r="A89" s="18" t="s">
        <v>71</v>
      </c>
      <c r="B89" s="20"/>
      <c r="C89" s="20"/>
      <c r="D89" s="20"/>
      <c r="E89" s="159">
        <f>Assumptions!T66</f>
        <v>7.0000000000000001E-3</v>
      </c>
      <c r="F89" s="159">
        <f>Assumptions!U66</f>
        <v>7.0000000000000001E-3</v>
      </c>
      <c r="G89" s="159">
        <f>Assumptions!V66</f>
        <v>7.0000000000000001E-3</v>
      </c>
      <c r="H89" s="159">
        <f>Assumptions!W66</f>
        <v>7.0000000000000001E-3</v>
      </c>
      <c r="I89" s="159">
        <f>Assumptions!X66</f>
        <v>7.0000000000000001E-3</v>
      </c>
    </row>
    <row r="90" spans="1:9" ht="18" customHeight="1">
      <c r="A90" s="18" t="s">
        <v>72</v>
      </c>
      <c r="B90" s="20"/>
      <c r="C90" s="20"/>
      <c r="D90" s="20"/>
      <c r="E90" s="36">
        <f>AVERAGE(E85,E87)</f>
        <v>1.875</v>
      </c>
      <c r="F90" s="36">
        <f t="shared" ref="F90:I90" si="46">AVERAGE(F85,F87)</f>
        <v>1.625</v>
      </c>
      <c r="G90" s="36">
        <f t="shared" si="46"/>
        <v>1.375</v>
      </c>
      <c r="H90" s="36">
        <f t="shared" si="46"/>
        <v>1.125</v>
      </c>
      <c r="I90" s="36">
        <f t="shared" si="46"/>
        <v>0.875</v>
      </c>
    </row>
    <row r="91" spans="1:9" ht="18" customHeight="1">
      <c r="A91" s="18" t="s">
        <v>73</v>
      </c>
      <c r="B91" s="20"/>
      <c r="C91" s="20"/>
      <c r="D91" s="20"/>
      <c r="E91" s="17">
        <f>E90*E89</f>
        <v>1.3125E-2</v>
      </c>
      <c r="F91" s="17">
        <f t="shared" ref="F91:I91" si="47">F90*F89</f>
        <v>1.1375E-2</v>
      </c>
      <c r="G91" s="17">
        <f t="shared" si="47"/>
        <v>9.6249999999999999E-3</v>
      </c>
      <c r="H91" s="17">
        <f t="shared" si="47"/>
        <v>7.8750000000000001E-3</v>
      </c>
      <c r="I91" s="17">
        <f t="shared" si="47"/>
        <v>6.1250000000000002E-3</v>
      </c>
    </row>
    <row r="92" spans="1:9" ht="18" customHeight="1">
      <c r="A92" s="18"/>
      <c r="B92" s="20"/>
      <c r="C92" s="20"/>
      <c r="D92" s="20"/>
      <c r="F92" s="20"/>
      <c r="G92" s="20"/>
      <c r="H92" s="20"/>
    </row>
    <row r="93" spans="1:9">
      <c r="A93" s="18" t="s">
        <v>415</v>
      </c>
      <c r="D93" s="35">
        <v>-192</v>
      </c>
      <c r="E93" s="35">
        <v>-192</v>
      </c>
      <c r="F93" s="35">
        <v>-192</v>
      </c>
      <c r="G93" s="35">
        <v>-192</v>
      </c>
      <c r="H93" s="35">
        <v>-192</v>
      </c>
      <c r="I93" s="35">
        <v>-192</v>
      </c>
    </row>
    <row r="95" spans="1:9">
      <c r="A95" s="34" t="s">
        <v>76</v>
      </c>
    </row>
    <row r="96" spans="1:9" ht="18" customHeight="1">
      <c r="A96" s="29" t="s">
        <v>81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4" ht="18" customHeight="1">
      <c r="A97" s="29" t="s">
        <v>82</v>
      </c>
      <c r="D97" s="22">
        <f>D87+D79+D71+D63+D55+D47+D39+D31+D23+D15+D93</f>
        <v>38424</v>
      </c>
      <c r="E97" s="22">
        <f t="shared" ref="E97:I97" si="48">E87+E79+E71+E63+E55+E47+E39+E31+E23+E15+E93</f>
        <v>36404.677769070011</v>
      </c>
      <c r="F97" s="22">
        <f t="shared" si="48"/>
        <v>34292.605538140022</v>
      </c>
      <c r="G97" s="22">
        <f t="shared" si="48"/>
        <v>32180.533307210029</v>
      </c>
      <c r="H97" s="22">
        <f t="shared" si="48"/>
        <v>30068.461076280037</v>
      </c>
      <c r="I97" s="22">
        <f t="shared" si="48"/>
        <v>27956.388845350048</v>
      </c>
    </row>
    <row r="98" spans="1:14">
      <c r="A98" s="58" t="s">
        <v>83</v>
      </c>
      <c r="D98" s="13">
        <f>SUM(D96:D97)</f>
        <v>38424</v>
      </c>
      <c r="E98" s="13">
        <f>SUM(E96:E97)</f>
        <v>36404.677769070011</v>
      </c>
      <c r="F98" s="13">
        <f t="shared" ref="F98:I98" si="49">SUM(F96:F97)</f>
        <v>34292.605538140022</v>
      </c>
      <c r="G98" s="13">
        <f t="shared" si="49"/>
        <v>32180.533307210029</v>
      </c>
      <c r="H98" s="13">
        <f t="shared" si="49"/>
        <v>30068.461076280037</v>
      </c>
      <c r="I98" s="13">
        <f t="shared" si="49"/>
        <v>27956.388845350048</v>
      </c>
      <c r="N98" s="36"/>
    </row>
    <row r="99" spans="1:14">
      <c r="A99" s="34"/>
      <c r="N99" s="36"/>
    </row>
    <row r="100" spans="1:14">
      <c r="A100" s="34" t="s">
        <v>79</v>
      </c>
      <c r="M100" s="36"/>
    </row>
    <row r="101" spans="1:14" ht="18" customHeight="1">
      <c r="A101" s="29" t="s">
        <v>78</v>
      </c>
      <c r="D101">
        <v>0</v>
      </c>
      <c r="E101" s="22">
        <f ca="1">E10</f>
        <v>132.14438195513236</v>
      </c>
      <c r="F101" s="22">
        <f t="shared" ref="F101:I101" ca="1" si="50">F10</f>
        <v>94.982274609571888</v>
      </c>
      <c r="G101" s="22">
        <f t="shared" ca="1" si="50"/>
        <v>43.910325223575995</v>
      </c>
      <c r="H101" s="22">
        <f t="shared" ca="1" si="50"/>
        <v>0</v>
      </c>
      <c r="I101" s="22">
        <f t="shared" ca="1" si="50"/>
        <v>0</v>
      </c>
      <c r="M101" s="36"/>
    </row>
    <row r="102" spans="1:14" ht="18" customHeight="1">
      <c r="A102" s="29" t="s">
        <v>77</v>
      </c>
      <c r="D102">
        <v>0</v>
      </c>
      <c r="E102" s="22">
        <f>E91+E83+E75+E67+E59+E51+E43+E35+E27+E19</f>
        <v>1433.6604836729362</v>
      </c>
      <c r="F102" s="22">
        <f t="shared" ref="F102:I102" si="51">F91+F83+F75+F67+F59+F51+F43+F35+F27+F19</f>
        <v>1362.6115760188088</v>
      </c>
      <c r="G102" s="22">
        <f t="shared" si="51"/>
        <v>1289.8467933646812</v>
      </c>
      <c r="H102" s="22">
        <f t="shared" si="51"/>
        <v>1217.0820107105537</v>
      </c>
      <c r="I102" s="22">
        <f t="shared" si="51"/>
        <v>1144.3172280564263</v>
      </c>
      <c r="M102" s="36"/>
    </row>
    <row r="103" spans="1:14">
      <c r="A103" s="58" t="s">
        <v>80</v>
      </c>
      <c r="D103" s="13">
        <f>SUM(D101:D102)</f>
        <v>0</v>
      </c>
      <c r="E103" s="13">
        <f t="shared" ref="E103:I103" ca="1" si="52">SUM(E101:E102)</f>
        <v>1565.8048656280685</v>
      </c>
      <c r="F103" s="13">
        <f t="shared" ca="1" si="52"/>
        <v>1457.5938506283808</v>
      </c>
      <c r="G103" s="13">
        <f t="shared" ca="1" si="52"/>
        <v>1333.7571185882571</v>
      </c>
      <c r="H103" s="13">
        <f t="shared" ca="1" si="52"/>
        <v>1217.0820107105537</v>
      </c>
      <c r="I103" s="13">
        <f t="shared" ca="1" si="52"/>
        <v>1144.3172280564263</v>
      </c>
    </row>
    <row r="104" spans="1:14">
      <c r="A104" s="58"/>
      <c r="D104" s="61"/>
      <c r="E104" s="61"/>
      <c r="F104" s="61"/>
      <c r="G104" s="61"/>
      <c r="H104" s="61"/>
      <c r="I104" s="61"/>
    </row>
    <row r="105" spans="1:14" ht="14.5" thickBot="1"/>
    <row r="106" spans="1:14" ht="14.5" thickBot="1">
      <c r="A106" s="59" t="s">
        <v>75</v>
      </c>
    </row>
    <row r="107" spans="1:14" ht="18" customHeight="1">
      <c r="A107" s="29" t="s">
        <v>84</v>
      </c>
      <c r="B107" s="104">
        <v>2583.8000000000002</v>
      </c>
      <c r="C107" s="104">
        <v>4579</v>
      </c>
      <c r="D107" s="104">
        <v>1085</v>
      </c>
      <c r="E107" s="36">
        <f>'Balance Sheet PROJECTED'!N6</f>
        <v>3234.8159999999998</v>
      </c>
      <c r="F107" s="36">
        <f>'Balance Sheet PROJECTED'!O6</f>
        <v>3364.2086400000003</v>
      </c>
      <c r="G107" s="36">
        <f>'Balance Sheet PROJECTED'!P6</f>
        <v>3498.7769856</v>
      </c>
      <c r="H107" s="36">
        <f>'Balance Sheet PROJECTED'!Q6</f>
        <v>3638.7280650240004</v>
      </c>
      <c r="I107" s="36">
        <f>'Balance Sheet PROJECTED'!R6</f>
        <v>3784.2771876249603</v>
      </c>
    </row>
    <row r="108" spans="1:14" ht="18" customHeight="1">
      <c r="A108" s="29" t="s">
        <v>85</v>
      </c>
      <c r="D108" s="36"/>
      <c r="E108" s="104">
        <f ca="1">'Cash Flow Statement'!F49</f>
        <v>-2192.2453089120654</v>
      </c>
      <c r="F108" s="104">
        <f ca="1">'Cash Flow Statement'!G49</f>
        <v>-1575.7343813021957</v>
      </c>
      <c r="G108" s="104">
        <f ca="1">'Cash Flow Statement'!H49</f>
        <v>-728.46233082290246</v>
      </c>
      <c r="H108" s="104">
        <f ca="1">'Cash Flow Statement'!I49</f>
        <v>359.99642208392333</v>
      </c>
      <c r="I108" s="104">
        <f ca="1">'Cash Flow Statement'!J49</f>
        <v>1689.2294203777897</v>
      </c>
    </row>
    <row r="109" spans="1:14" ht="18" customHeight="1">
      <c r="A109" s="58" t="s">
        <v>86</v>
      </c>
      <c r="D109" s="13">
        <f>SUM(D107:D108)</f>
        <v>1085</v>
      </c>
      <c r="E109" s="13">
        <f t="shared" ref="E109" ca="1" si="53">SUM(E107:E108)</f>
        <v>1042.5706910879344</v>
      </c>
      <c r="F109" s="13">
        <f t="shared" ref="F109:H109" ca="1" si="54">SUM(F107:F108)</f>
        <v>1788.4742586978045</v>
      </c>
      <c r="G109" s="13">
        <f t="shared" ca="1" si="54"/>
        <v>2770.3146547770975</v>
      </c>
      <c r="H109" s="13">
        <f t="shared" ca="1" si="54"/>
        <v>3998.7244871079238</v>
      </c>
      <c r="I109" s="13">
        <f ca="1">SUM(I107:I108)</f>
        <v>5473.50660800275</v>
      </c>
    </row>
    <row r="111" spans="1:14" ht="18" customHeight="1">
      <c r="A111" s="29" t="s">
        <v>71</v>
      </c>
      <c r="E111" s="159">
        <f>Assumptions!T67</f>
        <v>4.3999999999999997E-2</v>
      </c>
      <c r="F111" s="159">
        <f>Assumptions!U67</f>
        <v>4.3999999999999997E-2</v>
      </c>
      <c r="G111" s="159">
        <f>Assumptions!V67</f>
        <v>4.3999999999999997E-2</v>
      </c>
      <c r="H111" s="159">
        <f>Assumptions!W67</f>
        <v>4.3999999999999997E-2</v>
      </c>
      <c r="I111" s="159">
        <f>Assumptions!X67</f>
        <v>4.3999999999999997E-2</v>
      </c>
    </row>
    <row r="113" spans="1:9" ht="18" customHeight="1">
      <c r="A113" s="29" t="s">
        <v>72</v>
      </c>
      <c r="E113" s="36">
        <f ca="1">AVERAGE(D109:E109)</f>
        <v>1063.7853455439672</v>
      </c>
      <c r="F113" s="36">
        <f t="shared" ref="F113:I113" si="55">AVERAGE(E107:F107)</f>
        <v>3299.5123199999998</v>
      </c>
      <c r="G113" s="36">
        <f t="shared" si="55"/>
        <v>3431.4928128000001</v>
      </c>
      <c r="H113" s="36">
        <f t="shared" si="55"/>
        <v>3568.7525253120002</v>
      </c>
      <c r="I113" s="36">
        <f t="shared" si="55"/>
        <v>3711.5026263244804</v>
      </c>
    </row>
    <row r="114" spans="1:9" ht="18" customHeight="1">
      <c r="A114" s="29" t="s">
        <v>87</v>
      </c>
      <c r="E114" s="33">
        <f ca="1">E113*E111</f>
        <v>46.80655520393455</v>
      </c>
      <c r="F114" s="33">
        <f t="shared" ref="F114:I114" si="56">F113*F111</f>
        <v>145.17854207999997</v>
      </c>
      <c r="G114" s="33">
        <f t="shared" si="56"/>
        <v>150.9856837632</v>
      </c>
      <c r="H114" s="33">
        <f t="shared" si="56"/>
        <v>157.025111113728</v>
      </c>
      <c r="I114" s="33">
        <f t="shared" si="56"/>
        <v>163.30611555827713</v>
      </c>
    </row>
  </sheetData>
  <pageMargins left="0.7" right="0.7" top="0.75" bottom="0.75" header="0.3" footer="0.3"/>
  <pageSetup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5BD1-900B-44D0-9492-98499A4BB029}">
  <dimension ref="A1:U75"/>
  <sheetViews>
    <sheetView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N17" sqref="N17"/>
    </sheetView>
    <sheetView workbookViewId="1">
      <pane xSplit="2" ySplit="3" topLeftCell="J4" activePane="bottomRight" state="frozen"/>
      <selection pane="topRight" activeCell="C1" sqref="C1"/>
      <selection pane="bottomLeft" activeCell="A4" sqref="A4"/>
      <selection pane="bottomRight" activeCell="N21" sqref="N21"/>
    </sheetView>
  </sheetViews>
  <sheetFormatPr defaultRowHeight="14" outlineLevelCol="1"/>
  <cols>
    <col min="1" max="1" width="3.4140625" customWidth="1"/>
    <col min="2" max="2" width="36.33203125" customWidth="1"/>
    <col min="3" max="3" width="11.4140625" customWidth="1" outlineLevel="1"/>
    <col min="4" max="4" width="12" customWidth="1" outlineLevel="1"/>
    <col min="5" max="5" width="11.4140625" customWidth="1" outlineLevel="1"/>
    <col min="6" max="7" width="11.08203125" customWidth="1" outlineLevel="1"/>
    <col min="8" max="8" width="11.6640625" customWidth="1" outlineLevel="1"/>
    <col min="9" max="9" width="11.08203125" customWidth="1" outlineLevel="1"/>
    <col min="10" max="10" width="11.6640625" customWidth="1" outlineLevel="1"/>
    <col min="11" max="11" width="11.6640625" bestFit="1" customWidth="1"/>
    <col min="12" max="12" width="11.4140625" bestFit="1" customWidth="1"/>
    <col min="13" max="13" width="11.1640625" bestFit="1" customWidth="1"/>
    <col min="14" max="18" width="11.6640625" customWidth="1"/>
  </cols>
  <sheetData>
    <row r="1" spans="1:18" ht="30.5" thickBot="1">
      <c r="A1" s="4" t="s">
        <v>314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thickBot="1">
      <c r="B2" s="6" t="s">
        <v>328</v>
      </c>
      <c r="K2" s="43" t="s">
        <v>68</v>
      </c>
      <c r="L2" s="44"/>
      <c r="M2" s="45"/>
      <c r="N2" s="43" t="s">
        <v>69</v>
      </c>
      <c r="O2" s="44"/>
      <c r="P2" s="44"/>
      <c r="Q2" s="44"/>
      <c r="R2" s="45"/>
    </row>
    <row r="3" spans="1:18">
      <c r="C3" s="7">
        <v>42004</v>
      </c>
      <c r="D3" s="7">
        <v>42369</v>
      </c>
      <c r="E3" s="7">
        <v>42735</v>
      </c>
      <c r="F3" s="7">
        <v>43100</v>
      </c>
      <c r="G3" s="7">
        <v>43465</v>
      </c>
      <c r="H3" s="7">
        <v>43830</v>
      </c>
      <c r="I3" s="7">
        <v>44196</v>
      </c>
      <c r="J3" s="46">
        <v>44561</v>
      </c>
      <c r="K3" s="47">
        <v>44926</v>
      </c>
      <c r="L3" s="47">
        <v>45291</v>
      </c>
      <c r="M3" s="47">
        <v>45657</v>
      </c>
      <c r="N3" s="47">
        <v>46022</v>
      </c>
      <c r="O3" s="47">
        <v>46387</v>
      </c>
      <c r="P3" s="47">
        <v>46752</v>
      </c>
      <c r="Q3" s="47">
        <v>47118</v>
      </c>
      <c r="R3" s="47">
        <v>47483</v>
      </c>
    </row>
    <row r="4" spans="1:18">
      <c r="A4" s="1" t="s">
        <v>46</v>
      </c>
      <c r="K4" s="48"/>
      <c r="L4" s="48"/>
      <c r="M4" s="49"/>
      <c r="N4" s="48"/>
      <c r="O4" s="48"/>
      <c r="P4" s="48"/>
      <c r="Q4" s="48"/>
      <c r="R4" s="48"/>
    </row>
    <row r="5" spans="1:18">
      <c r="B5" t="s">
        <v>47</v>
      </c>
      <c r="D5" s="35">
        <f>C11</f>
        <v>43294.5</v>
      </c>
      <c r="E5" s="35">
        <f t="shared" ref="E5:M5" si="0">D11</f>
        <v>44594.5</v>
      </c>
      <c r="F5" s="35">
        <f t="shared" si="0"/>
        <v>46222.7</v>
      </c>
      <c r="G5" s="35">
        <f t="shared" si="0"/>
        <v>48325.8</v>
      </c>
      <c r="H5" s="35">
        <f t="shared" si="0"/>
        <v>50487</v>
      </c>
      <c r="I5" s="35">
        <f t="shared" si="0"/>
        <v>52930.5</v>
      </c>
      <c r="J5" s="35">
        <f t="shared" si="0"/>
        <v>53908.1</v>
      </c>
      <c r="K5" s="35">
        <f t="shared" si="0"/>
        <v>57534.7</v>
      </c>
      <c r="L5" s="35">
        <f t="shared" si="0"/>
        <v>59543.9</v>
      </c>
      <c r="M5" s="35">
        <f t="shared" si="0"/>
        <v>63480</v>
      </c>
      <c r="N5" s="35">
        <f t="shared" ref="N5" si="1">M11</f>
        <v>66834</v>
      </c>
      <c r="O5" s="35">
        <f ca="1">N10</f>
        <v>70068.328186017927</v>
      </c>
      <c r="P5" s="35">
        <f t="shared" ref="P5:R5" ca="1" si="2">O10</f>
        <v>73428.218035117781</v>
      </c>
      <c r="Q5" s="35">
        <f t="shared" ca="1" si="2"/>
        <v>76950.958573909462</v>
      </c>
      <c r="R5" s="35">
        <f t="shared" ca="1" si="2"/>
        <v>80636.805948559981</v>
      </c>
    </row>
    <row r="6" spans="1:18">
      <c r="B6" t="s">
        <v>48</v>
      </c>
      <c r="D6" s="37">
        <f>'Income Statement'!D24</f>
        <v>4529.3000000000011</v>
      </c>
      <c r="E6" s="37">
        <f>'Income Statement'!E24</f>
        <v>4686.5000000000018</v>
      </c>
      <c r="F6" s="37">
        <f>'Income Statement'!F24</f>
        <v>5192.3000000000038</v>
      </c>
      <c r="G6" s="37">
        <f>'Income Statement'!G24</f>
        <v>5924.5000000000009</v>
      </c>
      <c r="H6" s="37">
        <f>'Income Statement'!H24</f>
        <v>6025.5000000000018</v>
      </c>
      <c r="I6" s="37">
        <f>'Income Statement'!I24</f>
        <v>4730.9999999999982</v>
      </c>
      <c r="J6" s="37">
        <f>'Income Statement'!J24</f>
        <v>7544.7</v>
      </c>
      <c r="K6" s="37">
        <f>'Income Statement'!K24</f>
        <v>6177</v>
      </c>
      <c r="L6" s="37">
        <f>'Income Statement'!L24</f>
        <v>8468.4999999999964</v>
      </c>
      <c r="M6" s="37">
        <f>'Income Statement'!M24</f>
        <v>8224</v>
      </c>
      <c r="N6" s="37">
        <f ca="1">'Income Statement'!N24</f>
        <v>8293.149194917758</v>
      </c>
      <c r="O6" s="37">
        <f ca="1">'Income Statement'!O24</f>
        <v>8615.1021771791311</v>
      </c>
      <c r="P6" s="37">
        <f ca="1">'Income Statement'!P24</f>
        <v>9032.668048183803</v>
      </c>
      <c r="Q6" s="37">
        <f ca="1">'Income Statement'!Q24</f>
        <v>9450.8907042320898</v>
      </c>
      <c r="R6" s="37">
        <f ca="1">'Income Statement'!R24</f>
        <v>9839.4084652743077</v>
      </c>
    </row>
    <row r="7" spans="1:18">
      <c r="B7" t="s">
        <v>49</v>
      </c>
      <c r="D7" s="12">
        <v>3230.3</v>
      </c>
      <c r="E7" s="12">
        <v>3058</v>
      </c>
      <c r="F7" s="12">
        <v>3089.2</v>
      </c>
      <c r="G7" s="12">
        <v>3255.9</v>
      </c>
      <c r="H7" s="12">
        <v>3581.9</v>
      </c>
      <c r="I7" s="12">
        <v>3752.9</v>
      </c>
      <c r="J7" s="12">
        <v>3918.6</v>
      </c>
      <c r="K7" s="12">
        <v>4168.2</v>
      </c>
      <c r="L7" s="12">
        <v>4532.8</v>
      </c>
      <c r="M7" s="12">
        <v>4870</v>
      </c>
      <c r="N7" s="12">
        <f ca="1">Assumptions!T19*'Income Statement'!N24</f>
        <v>5058.8210088998321</v>
      </c>
      <c r="O7" s="12">
        <f ca="1">Assumptions!U19*'Income Statement'!O24</f>
        <v>5255.2123280792703</v>
      </c>
      <c r="P7" s="12">
        <f ca="1">Assumptions!V19*'Income Statement'!P24</f>
        <v>5509.9275093921196</v>
      </c>
      <c r="Q7" s="12">
        <f ca="1">Assumptions!W19*'Income Statement'!Q24</f>
        <v>5765.0433295815747</v>
      </c>
      <c r="R7" s="12">
        <f ca="1">Assumptions!X19*'Income Statement'!R24</f>
        <v>6002.0391638173278</v>
      </c>
    </row>
    <row r="8" spans="1:18">
      <c r="B8" t="s">
        <v>358</v>
      </c>
      <c r="D8" s="12">
        <v>1</v>
      </c>
      <c r="E8" s="12">
        <v>-0.1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>
      <c r="B9" t="s">
        <v>359</v>
      </c>
      <c r="D9" s="12">
        <v>0</v>
      </c>
      <c r="E9" s="12">
        <v>0</v>
      </c>
      <c r="F9" s="12">
        <v>0</v>
      </c>
      <c r="G9" s="12">
        <f>-450.2-57</f>
        <v>-507.2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>
      <c r="B10" s="8" t="s">
        <v>50</v>
      </c>
      <c r="C10" s="39">
        <f>'Balance Sheet Historical'!C42</f>
        <v>43294.5</v>
      </c>
      <c r="D10" s="13">
        <f>D5+D6-D7+D8</f>
        <v>44594.5</v>
      </c>
      <c r="E10" s="13">
        <f>E5+E6-E7+E8</f>
        <v>46222.9</v>
      </c>
      <c r="F10" s="13">
        <f>F5+F6-F7+F8</f>
        <v>48325.8</v>
      </c>
      <c r="G10" s="13">
        <f>G5+G6-G7+G8+G9</f>
        <v>50487.200000000004</v>
      </c>
      <c r="H10" s="13">
        <f t="shared" ref="H10" si="3">H5+H6-H7+H8</f>
        <v>52930.6</v>
      </c>
      <c r="I10" s="13">
        <f t="shared" ref="I10" si="4">I5+I6-I7+I8</f>
        <v>53908.6</v>
      </c>
      <c r="J10" s="13">
        <f t="shared" ref="J10" si="5">J5+J6-J7+J8</f>
        <v>57534.2</v>
      </c>
      <c r="K10" s="13">
        <f t="shared" ref="K10" si="6">K5+K6-K7+K8</f>
        <v>59543.5</v>
      </c>
      <c r="L10" s="13">
        <f t="shared" ref="L10" si="7">L5+L6-L7+L8</f>
        <v>63479.599999999991</v>
      </c>
      <c r="M10" s="13">
        <f t="shared" ref="M10:R10" si="8">M5+M6-M7+M8</f>
        <v>66834</v>
      </c>
      <c r="N10" s="13">
        <f t="shared" ca="1" si="8"/>
        <v>70068.328186017927</v>
      </c>
      <c r="O10" s="13">
        <f t="shared" ca="1" si="8"/>
        <v>73428.218035117781</v>
      </c>
      <c r="P10" s="13">
        <f t="shared" ca="1" si="8"/>
        <v>76950.958573909462</v>
      </c>
      <c r="Q10" s="13">
        <f t="shared" ca="1" si="8"/>
        <v>80636.805948559981</v>
      </c>
      <c r="R10" s="13">
        <f t="shared" ca="1" si="8"/>
        <v>84474.175250016953</v>
      </c>
    </row>
    <row r="11" spans="1:18" ht="14.5">
      <c r="B11" s="10" t="s">
        <v>51</v>
      </c>
      <c r="C11" s="39">
        <f>'Balance Sheet Historical'!$C$42</f>
        <v>43294.5</v>
      </c>
      <c r="D11" s="37">
        <f>'Balance Sheet Historical'!D42</f>
        <v>44594.5</v>
      </c>
      <c r="E11" s="37">
        <f>'Balance Sheet Historical'!E42</f>
        <v>46222.7</v>
      </c>
      <c r="F11" s="37">
        <f>'Balance Sheet Historical'!F42</f>
        <v>48325.8</v>
      </c>
      <c r="G11" s="37">
        <f>'Balance Sheet Historical'!G42</f>
        <v>50487</v>
      </c>
      <c r="H11" s="37">
        <f>'Balance Sheet Historical'!H42</f>
        <v>52930.5</v>
      </c>
      <c r="I11" s="37">
        <f>'Balance Sheet Historical'!I42</f>
        <v>53908.1</v>
      </c>
      <c r="J11" s="37">
        <f>'Balance Sheet Historical'!J42</f>
        <v>57534.7</v>
      </c>
      <c r="K11" s="37">
        <f>'Balance Sheet Historical'!K42</f>
        <v>59543.9</v>
      </c>
      <c r="L11" s="37">
        <f>'Balance Sheet Historical'!L42</f>
        <v>63480</v>
      </c>
      <c r="M11" s="37">
        <f>'Balance Sheet Historical'!M42</f>
        <v>66834</v>
      </c>
      <c r="N11" s="37"/>
      <c r="O11" s="37"/>
      <c r="P11" s="37"/>
      <c r="Q11" s="37"/>
      <c r="R11" s="37"/>
    </row>
    <row r="12" spans="1:18" ht="14.5"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8" ht="14.5"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8">
      <c r="A14" s="1" t="s">
        <v>52</v>
      </c>
    </row>
    <row r="15" spans="1:18">
      <c r="B15" t="s">
        <v>47</v>
      </c>
      <c r="D15" s="35" t="str">
        <f>C18</f>
        <v xml:space="preserve"> </v>
      </c>
      <c r="E15" s="35">
        <f>D18</f>
        <v>23117.600000000002</v>
      </c>
      <c r="F15" s="35">
        <f t="shared" ref="F15:M15" si="9">E18</f>
        <v>21257.600000000002</v>
      </c>
      <c r="G15" s="35">
        <f t="shared" si="9"/>
        <v>22448.300000000003</v>
      </c>
      <c r="H15" s="35">
        <f t="shared" si="9"/>
        <v>22842.699999999997</v>
      </c>
      <c r="I15" s="35">
        <f t="shared" si="9"/>
        <v>24160</v>
      </c>
      <c r="J15" s="35">
        <f t="shared" si="9"/>
        <v>24958.2</v>
      </c>
      <c r="K15" s="35">
        <f t="shared" si="9"/>
        <v>24720.6</v>
      </c>
      <c r="L15" s="35">
        <f t="shared" si="9"/>
        <v>23773.599999999999</v>
      </c>
      <c r="M15" s="35">
        <f t="shared" si="9"/>
        <v>24908</v>
      </c>
      <c r="N15" s="35">
        <f t="shared" ref="N15" si="10">M18</f>
        <v>25295</v>
      </c>
      <c r="O15" s="35">
        <f t="shared" ref="O15" si="11">N18</f>
        <v>25645.438399999999</v>
      </c>
      <c r="P15" s="35">
        <f t="shared" ref="P15" si="12">O18</f>
        <v>25923.632576</v>
      </c>
      <c r="Q15" s="35">
        <f t="shared" ref="Q15" si="13">P18</f>
        <v>26119.791818239999</v>
      </c>
      <c r="R15" s="35">
        <f t="shared" ref="R15" si="14">Q18</f>
        <v>26223.181713305599</v>
      </c>
    </row>
    <row r="16" spans="1:18">
      <c r="B16" t="s">
        <v>53</v>
      </c>
      <c r="D16" s="12">
        <v>1813.9</v>
      </c>
      <c r="E16" s="12">
        <v>1821.1</v>
      </c>
      <c r="F16" s="12">
        <v>1853.7</v>
      </c>
      <c r="G16" s="12">
        <v>2741.7</v>
      </c>
      <c r="H16" s="12">
        <v>2393.6999999999998</v>
      </c>
      <c r="I16" s="12">
        <v>1640.8</v>
      </c>
      <c r="J16" s="12">
        <v>2040</v>
      </c>
      <c r="K16" s="12">
        <v>1889.2</v>
      </c>
      <c r="L16" s="12">
        <v>2357.4</v>
      </c>
      <c r="M16" s="12">
        <v>2775</v>
      </c>
      <c r="N16" s="12">
        <f>Assumptions!T28*'Income Statement'!N9</f>
        <v>2506.9823999999999</v>
      </c>
      <c r="O16" s="12">
        <f>Assumptions!U28*'Income Statement'!O9</f>
        <v>2607.2616960000005</v>
      </c>
      <c r="P16" s="12">
        <f>Assumptions!V28*'Income Statement'!P9</f>
        <v>2711.55216384</v>
      </c>
      <c r="Q16" s="12">
        <f>Assumptions!W28*'Income Statement'!Q9</f>
        <v>2820.0142503936004</v>
      </c>
      <c r="R16" s="12">
        <f>Assumptions!X28*'Income Statement'!R9</f>
        <v>2932.8148204093441</v>
      </c>
    </row>
    <row r="17" spans="2:18">
      <c r="B17" t="s">
        <v>247</v>
      </c>
      <c r="D17" s="37">
        <f>D21</f>
        <v>1555.7</v>
      </c>
      <c r="E17" s="37">
        <f t="shared" ref="E17:M17" si="15">E21</f>
        <v>1516.5</v>
      </c>
      <c r="F17" s="37">
        <f t="shared" si="15"/>
        <v>1363.4</v>
      </c>
      <c r="G17" s="37">
        <f t="shared" si="15"/>
        <v>1482</v>
      </c>
      <c r="H17" s="37">
        <f t="shared" si="15"/>
        <v>1617.9</v>
      </c>
      <c r="I17" s="37">
        <f t="shared" si="15"/>
        <v>1751.4</v>
      </c>
      <c r="J17" s="37">
        <f t="shared" si="15"/>
        <v>1868.1</v>
      </c>
      <c r="K17" s="37">
        <f t="shared" si="15"/>
        <v>1871</v>
      </c>
      <c r="L17" s="37">
        <f t="shared" si="15"/>
        <v>1978</v>
      </c>
      <c r="M17" s="37">
        <f t="shared" si="15"/>
        <v>2097</v>
      </c>
      <c r="N17" s="37">
        <f t="shared" ref="N17:R17" si="16">N21</f>
        <v>2156.5439999999999</v>
      </c>
      <c r="O17" s="37">
        <f t="shared" si="16"/>
        <v>2329.0675200000001</v>
      </c>
      <c r="P17" s="37">
        <f t="shared" si="16"/>
        <v>2515.3929216000001</v>
      </c>
      <c r="Q17" s="37">
        <f t="shared" si="16"/>
        <v>2716.6243553280005</v>
      </c>
      <c r="R17" s="37">
        <f t="shared" si="16"/>
        <v>2933.9543037542408</v>
      </c>
    </row>
    <row r="18" spans="2:18">
      <c r="B18" s="8" t="s">
        <v>54</v>
      </c>
      <c r="C18" s="39" t="s">
        <v>437</v>
      </c>
      <c r="D18" s="39">
        <f>'Balance Sheet Historical'!D18</f>
        <v>23117.600000000002</v>
      </c>
      <c r="E18" s="39">
        <f>'Balance Sheet Historical'!E18</f>
        <v>21257.600000000002</v>
      </c>
      <c r="F18" s="39">
        <f>'Balance Sheet Historical'!F18</f>
        <v>22448.300000000003</v>
      </c>
      <c r="G18" s="39">
        <f>'Balance Sheet Historical'!G18</f>
        <v>22842.699999999997</v>
      </c>
      <c r="H18" s="39">
        <f>'Balance Sheet Historical'!H18</f>
        <v>24160</v>
      </c>
      <c r="I18" s="39">
        <f>'Balance Sheet Historical'!I18</f>
        <v>24958.2</v>
      </c>
      <c r="J18" s="39">
        <f>'Balance Sheet Historical'!J18</f>
        <v>24720.6</v>
      </c>
      <c r="K18" s="39">
        <f>'Balance Sheet Historical'!K18</f>
        <v>23773.599999999999</v>
      </c>
      <c r="L18" s="39">
        <f>'Balance Sheet Historical'!L18</f>
        <v>24908</v>
      </c>
      <c r="M18" s="39">
        <f>'Balance Sheet Historical'!M18</f>
        <v>25295</v>
      </c>
      <c r="N18" s="156">
        <f>N15+N16-N17</f>
        <v>25645.438399999999</v>
      </c>
      <c r="O18" s="156">
        <f t="shared" ref="O18:R18" si="17">O15+O16-O17</f>
        <v>25923.632576</v>
      </c>
      <c r="P18" s="156">
        <f t="shared" si="17"/>
        <v>26119.791818239999</v>
      </c>
      <c r="Q18" s="156">
        <f t="shared" si="17"/>
        <v>26223.181713305599</v>
      </c>
      <c r="R18" s="156">
        <f t="shared" si="17"/>
        <v>26222.042229960702</v>
      </c>
    </row>
    <row r="19" spans="2:18">
      <c r="B19" t="s">
        <v>369</v>
      </c>
      <c r="D19" s="36" t="e">
        <f>D15+D16-D17</f>
        <v>#VALUE!</v>
      </c>
      <c r="E19" s="36">
        <f t="shared" ref="E19:M19" si="18">E15+E16-E17</f>
        <v>23422.2</v>
      </c>
      <c r="F19" s="36">
        <f t="shared" si="18"/>
        <v>21747.9</v>
      </c>
      <c r="G19" s="36">
        <f t="shared" si="18"/>
        <v>23708.000000000004</v>
      </c>
      <c r="H19" s="36">
        <f t="shared" si="18"/>
        <v>23618.499999999996</v>
      </c>
      <c r="I19" s="36">
        <f t="shared" si="18"/>
        <v>24049.399999999998</v>
      </c>
      <c r="J19" s="36">
        <f t="shared" si="18"/>
        <v>25130.100000000002</v>
      </c>
      <c r="K19" s="36">
        <f t="shared" si="18"/>
        <v>24738.799999999999</v>
      </c>
      <c r="L19" s="36">
        <f t="shared" si="18"/>
        <v>24153</v>
      </c>
      <c r="M19" s="36">
        <f t="shared" si="18"/>
        <v>25586</v>
      </c>
      <c r="N19" s="36"/>
      <c r="O19" s="36"/>
      <c r="P19" s="36"/>
      <c r="Q19" s="36"/>
      <c r="R19" s="36"/>
    </row>
    <row r="20" spans="2:18">
      <c r="D20" s="36"/>
      <c r="K20" s="36"/>
      <c r="L20" s="36"/>
      <c r="M20" s="36"/>
    </row>
    <row r="21" spans="2:18">
      <c r="B21" t="s">
        <v>365</v>
      </c>
      <c r="C21" s="11">
        <v>1644.5</v>
      </c>
      <c r="D21" s="11">
        <v>1555.7</v>
      </c>
      <c r="E21" s="12">
        <v>1516.5</v>
      </c>
      <c r="F21" s="12">
        <v>1363.4</v>
      </c>
      <c r="G21" s="12">
        <v>1482</v>
      </c>
      <c r="H21" s="12">
        <v>1617.9</v>
      </c>
      <c r="I21" s="12">
        <v>1751.4</v>
      </c>
      <c r="J21" s="11">
        <v>1868.1</v>
      </c>
      <c r="K21" s="11">
        <v>1871</v>
      </c>
      <c r="L21" s="11">
        <v>1978</v>
      </c>
      <c r="M21" s="11">
        <v>2097</v>
      </c>
      <c r="N21" s="17">
        <f>Assumptions!T33*'Income Statement'!N9</f>
        <v>2156.5439999999999</v>
      </c>
      <c r="O21" s="17">
        <f>(1+Assumptions!U33)*N21</f>
        <v>2329.0675200000001</v>
      </c>
      <c r="P21" s="17">
        <f>(1+Assumptions!V33)*O21</f>
        <v>2515.3929216000001</v>
      </c>
      <c r="Q21" s="17">
        <f>(1+Assumptions!W33)*P21</f>
        <v>2716.6243553280005</v>
      </c>
      <c r="R21" s="17">
        <f>(1+Assumptions!X33)*Q21</f>
        <v>2933.9543037542408</v>
      </c>
    </row>
    <row r="22" spans="2:18">
      <c r="B22" t="s">
        <v>362</v>
      </c>
      <c r="C22" s="37">
        <f>C47</f>
        <v>210.09841836341693</v>
      </c>
      <c r="D22" s="37">
        <f t="shared" ref="D22:M22" si="19">D47</f>
        <v>221.68480349538433</v>
      </c>
      <c r="E22" s="37">
        <f t="shared" si="19"/>
        <v>233.38770779147353</v>
      </c>
      <c r="F22" s="37">
        <f t="shared" si="19"/>
        <v>254.27193383642046</v>
      </c>
      <c r="G22" s="37">
        <f t="shared" si="19"/>
        <v>214.8</v>
      </c>
      <c r="H22" s="37">
        <f t="shared" si="19"/>
        <v>262.5</v>
      </c>
      <c r="I22" s="37">
        <f t="shared" si="19"/>
        <v>300.60000000000002</v>
      </c>
      <c r="J22" s="37">
        <f t="shared" si="19"/>
        <v>329.7</v>
      </c>
      <c r="K22" s="37">
        <f t="shared" si="19"/>
        <v>370</v>
      </c>
      <c r="L22" s="37">
        <f t="shared" si="19"/>
        <v>382</v>
      </c>
      <c r="M22" s="37">
        <f t="shared" si="19"/>
        <v>447</v>
      </c>
      <c r="N22" s="17"/>
      <c r="O22" s="17"/>
      <c r="P22" s="17"/>
      <c r="Q22" s="17"/>
      <c r="R22" s="17"/>
    </row>
    <row r="23" spans="2:18">
      <c r="B23" s="8" t="s">
        <v>366</v>
      </c>
      <c r="C23" s="13">
        <f>C21-C22</f>
        <v>1434.4015816365832</v>
      </c>
      <c r="D23" s="13">
        <f t="shared" ref="D23:M23" si="20">D21-D22</f>
        <v>1334.0151965046157</v>
      </c>
      <c r="E23" s="13">
        <f t="shared" si="20"/>
        <v>1283.1122922085265</v>
      </c>
      <c r="F23" s="13">
        <f t="shared" si="20"/>
        <v>1109.1280661635797</v>
      </c>
      <c r="G23" s="13">
        <f t="shared" si="20"/>
        <v>1267.2</v>
      </c>
      <c r="H23" s="13">
        <f t="shared" si="20"/>
        <v>1355.4</v>
      </c>
      <c r="I23" s="13">
        <f t="shared" si="20"/>
        <v>1450.8000000000002</v>
      </c>
      <c r="J23" s="13">
        <f t="shared" si="20"/>
        <v>1538.3999999999999</v>
      </c>
      <c r="K23" s="13">
        <f t="shared" si="20"/>
        <v>1501</v>
      </c>
      <c r="L23" s="13">
        <f t="shared" si="20"/>
        <v>1596</v>
      </c>
      <c r="M23" s="13">
        <f t="shared" si="20"/>
        <v>1650</v>
      </c>
      <c r="N23" s="13"/>
      <c r="O23" s="13"/>
      <c r="P23" s="13"/>
      <c r="Q23" s="13"/>
      <c r="R23" s="13"/>
    </row>
    <row r="24" spans="2:18">
      <c r="B24" s="8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</row>
    <row r="25" spans="2:18">
      <c r="B25" t="s">
        <v>16</v>
      </c>
      <c r="C25" s="40">
        <f>C45</f>
        <v>16985.600000000002</v>
      </c>
      <c r="D25" s="40">
        <f t="shared" ref="D25:F25" si="21">D45</f>
        <v>15623.800000000001</v>
      </c>
      <c r="E25" s="40">
        <f t="shared" si="21"/>
        <v>14417.199999999999</v>
      </c>
      <c r="F25" s="40">
        <f t="shared" si="21"/>
        <v>12199.6</v>
      </c>
    </row>
    <row r="26" spans="2:18">
      <c r="B26" t="s">
        <v>17</v>
      </c>
      <c r="C26" s="20">
        <v>2487.9</v>
      </c>
      <c r="D26" s="20">
        <v>2434.3000000000002</v>
      </c>
      <c r="E26" s="20">
        <v>2384.5</v>
      </c>
      <c r="F26" s="20">
        <v>2231.3000000000002</v>
      </c>
    </row>
    <row r="27" spans="2:18">
      <c r="B27" s="8" t="s">
        <v>55</v>
      </c>
      <c r="C27" s="13">
        <f>SUM(C25:C26)</f>
        <v>19473.500000000004</v>
      </c>
      <c r="D27" s="13">
        <f t="shared" ref="D27:F27" si="22">SUM(D25:D26)</f>
        <v>18058.100000000002</v>
      </c>
      <c r="E27" s="13">
        <f t="shared" si="22"/>
        <v>16801.699999999997</v>
      </c>
      <c r="F27" s="13">
        <f t="shared" si="22"/>
        <v>14430.900000000001</v>
      </c>
    </row>
    <row r="28" spans="2:18">
      <c r="N28" s="22"/>
    </row>
    <row r="29" spans="2:18">
      <c r="B29" t="s">
        <v>56</v>
      </c>
      <c r="C29" s="24">
        <f>C25/C27</f>
        <v>0.87224176444912316</v>
      </c>
      <c r="D29" s="24">
        <f t="shared" ref="D29:F29" si="23">D25/D27</f>
        <v>0.86519622773159965</v>
      </c>
      <c r="E29" s="24">
        <f t="shared" si="23"/>
        <v>0.85807983715933511</v>
      </c>
      <c r="F29" s="24">
        <f t="shared" si="23"/>
        <v>0.84538039900491302</v>
      </c>
      <c r="G29" s="24"/>
      <c r="H29" s="24"/>
      <c r="I29" s="24"/>
      <c r="J29" s="24"/>
      <c r="K29" s="24"/>
      <c r="L29" s="24"/>
      <c r="M29" s="24"/>
    </row>
    <row r="30" spans="2:18">
      <c r="B30" t="s">
        <v>57</v>
      </c>
      <c r="C30" s="24">
        <f>C26/C27</f>
        <v>0.12775823555087681</v>
      </c>
      <c r="D30" s="24">
        <f t="shared" ref="D30:F30" si="24">D26/D27</f>
        <v>0.13480377226840032</v>
      </c>
      <c r="E30" s="24">
        <f t="shared" si="24"/>
        <v>0.14192016284066497</v>
      </c>
      <c r="F30" s="24">
        <f t="shared" si="24"/>
        <v>0.15461960099508693</v>
      </c>
      <c r="G30" s="24"/>
      <c r="H30" s="24"/>
      <c r="I30" s="24"/>
      <c r="J30" s="24"/>
      <c r="K30" s="24"/>
      <c r="L30" s="24"/>
      <c r="M30" s="24"/>
    </row>
    <row r="32" spans="2:18">
      <c r="B32" t="s">
        <v>58</v>
      </c>
      <c r="C32" s="17">
        <f>C29*C34</f>
        <v>1434.4015816365829</v>
      </c>
      <c r="D32" s="17">
        <f t="shared" ref="D32:F32" si="25">D29*D34</f>
        <v>1422.8151965046156</v>
      </c>
      <c r="E32" s="17">
        <f t="shared" si="25"/>
        <v>1411.1122922085267</v>
      </c>
      <c r="F32" s="17">
        <f t="shared" si="25"/>
        <v>1390.2280661635796</v>
      </c>
    </row>
    <row r="33" spans="2:18">
      <c r="B33" t="s">
        <v>59</v>
      </c>
      <c r="C33" s="17">
        <f>C30*C34</f>
        <v>210.09841836341693</v>
      </c>
      <c r="D33" s="17">
        <f t="shared" ref="D33:F33" si="26">D30*D34</f>
        <v>221.68480349538433</v>
      </c>
      <c r="E33" s="17">
        <f t="shared" si="26"/>
        <v>233.38770779147353</v>
      </c>
      <c r="F33" s="17">
        <f t="shared" si="26"/>
        <v>254.27193383642046</v>
      </c>
    </row>
    <row r="34" spans="2:18">
      <c r="B34" s="8" t="s">
        <v>60</v>
      </c>
      <c r="C34" s="155">
        <v>1644.5</v>
      </c>
      <c r="D34" s="155">
        <v>1644.5</v>
      </c>
      <c r="E34" s="155">
        <v>1644.5</v>
      </c>
      <c r="F34" s="155">
        <v>1644.5</v>
      </c>
    </row>
    <row r="36" spans="2:18">
      <c r="B36" t="s">
        <v>17</v>
      </c>
      <c r="C36" s="37">
        <f>C26</f>
        <v>2487.9</v>
      </c>
      <c r="D36" s="37">
        <f t="shared" ref="D36:F36" si="27">D26</f>
        <v>2434.3000000000002</v>
      </c>
      <c r="E36" s="37">
        <f t="shared" si="27"/>
        <v>2384.5</v>
      </c>
      <c r="F36" s="37">
        <f t="shared" si="27"/>
        <v>2231.3000000000002</v>
      </c>
    </row>
    <row r="37" spans="2:18">
      <c r="B37" t="s">
        <v>362</v>
      </c>
      <c r="C37" s="35">
        <f>C33</f>
        <v>210.09841836341693</v>
      </c>
      <c r="D37" s="35">
        <f t="shared" ref="D37:F37" si="28">D33</f>
        <v>221.68480349538433</v>
      </c>
      <c r="E37" s="35">
        <f t="shared" si="28"/>
        <v>233.38770779147353</v>
      </c>
      <c r="F37" s="35">
        <f t="shared" si="28"/>
        <v>254.27193383642046</v>
      </c>
    </row>
    <row r="38" spans="2:18">
      <c r="B38" s="8" t="s">
        <v>62</v>
      </c>
      <c r="C38" s="13">
        <f>C36-C37</f>
        <v>2277.8015816365833</v>
      </c>
      <c r="D38" s="13">
        <f t="shared" ref="D38:F38" si="29">D36-D37</f>
        <v>2212.6151965046161</v>
      </c>
      <c r="E38" s="13">
        <f t="shared" si="29"/>
        <v>2151.1122922085265</v>
      </c>
      <c r="F38" s="13">
        <f t="shared" si="29"/>
        <v>1977.0280661635798</v>
      </c>
    </row>
    <row r="40" spans="2:18">
      <c r="B40" t="s">
        <v>322</v>
      </c>
      <c r="C40" s="19">
        <v>6129.7</v>
      </c>
      <c r="D40" s="19">
        <v>5552.2</v>
      </c>
      <c r="E40" s="19">
        <v>4896.8999999999996</v>
      </c>
      <c r="F40" s="19">
        <v>4033.5</v>
      </c>
      <c r="G40" s="19">
        <v>3153.8</v>
      </c>
      <c r="H40" s="19">
        <v>2980.3</v>
      </c>
      <c r="I40" s="19">
        <v>2564.1999999999998</v>
      </c>
      <c r="J40" s="19">
        <v>3096.8</v>
      </c>
      <c r="K40" s="19">
        <v>2350</v>
      </c>
      <c r="L40" s="19">
        <v>2474.6</v>
      </c>
      <c r="M40" s="19">
        <v>2536</v>
      </c>
    </row>
    <row r="41" spans="2:18">
      <c r="B41" t="s">
        <v>323</v>
      </c>
      <c r="C41" s="20">
        <v>4756</v>
      </c>
      <c r="D41" s="20">
        <v>4400</v>
      </c>
      <c r="E41" s="20">
        <v>4134.2</v>
      </c>
      <c r="F41" s="20">
        <v>3528.5</v>
      </c>
      <c r="G41" s="20">
        <v>2937.9</v>
      </c>
      <c r="H41" s="20">
        <v>2704.4</v>
      </c>
      <c r="I41" s="20">
        <v>2416.4</v>
      </c>
      <c r="J41" s="20">
        <v>2677.2</v>
      </c>
      <c r="K41" s="20">
        <v>2737</v>
      </c>
      <c r="L41" s="20">
        <v>3039</v>
      </c>
      <c r="M41" s="20">
        <v>2995</v>
      </c>
    </row>
    <row r="42" spans="2:18">
      <c r="B42" t="s">
        <v>324</v>
      </c>
      <c r="C42" s="20">
        <v>4402.6000000000004</v>
      </c>
      <c r="D42" s="20">
        <v>4024.7</v>
      </c>
      <c r="E42" s="20">
        <v>3667.7</v>
      </c>
      <c r="F42" s="20">
        <v>2847.6</v>
      </c>
      <c r="G42" s="20">
        <v>2174.1999999999998</v>
      </c>
      <c r="H42" s="20">
        <v>2075.9</v>
      </c>
      <c r="I42" s="20">
        <v>2000.6</v>
      </c>
      <c r="J42" s="20">
        <v>2273.3000000000002</v>
      </c>
      <c r="K42" s="20">
        <v>2617</v>
      </c>
      <c r="L42" s="20">
        <v>2885.8</v>
      </c>
      <c r="M42" s="20">
        <v>2959</v>
      </c>
    </row>
    <row r="43" spans="2:18">
      <c r="B43" t="s">
        <v>325</v>
      </c>
      <c r="C43" s="20">
        <v>1697.3</v>
      </c>
      <c r="D43" s="20">
        <v>1646.9</v>
      </c>
      <c r="E43" s="20">
        <v>1718.4</v>
      </c>
      <c r="F43" s="20">
        <v>1790</v>
      </c>
      <c r="G43" s="20">
        <v>1973.3</v>
      </c>
      <c r="H43" s="20">
        <v>2200.6</v>
      </c>
      <c r="I43" s="20">
        <v>2207.5</v>
      </c>
      <c r="J43" s="20">
        <v>2335</v>
      </c>
      <c r="K43" s="20">
        <v>2026</v>
      </c>
      <c r="L43" s="20">
        <v>2299.3000000000002</v>
      </c>
      <c r="M43" s="20">
        <v>2381</v>
      </c>
    </row>
    <row r="44" spans="2:18">
      <c r="B44" t="s">
        <v>326</v>
      </c>
      <c r="C44" s="20">
        <v>0</v>
      </c>
      <c r="D44" s="20">
        <v>0</v>
      </c>
      <c r="E44" s="20">
        <v>0</v>
      </c>
      <c r="F44" s="20">
        <v>0</v>
      </c>
      <c r="G44" s="20">
        <v>186.1</v>
      </c>
      <c r="H44" s="20">
        <v>223.8</v>
      </c>
      <c r="I44" s="20">
        <v>267</v>
      </c>
      <c r="J44" s="20">
        <v>260.39999999999998</v>
      </c>
      <c r="K44" s="20">
        <v>245</v>
      </c>
      <c r="L44" s="20">
        <v>232.5</v>
      </c>
      <c r="M44" s="20">
        <v>339</v>
      </c>
    </row>
    <row r="45" spans="2:18">
      <c r="B45" t="s">
        <v>360</v>
      </c>
      <c r="C45" s="22">
        <f>SUM(C40:C44)</f>
        <v>16985.600000000002</v>
      </c>
      <c r="D45" s="22">
        <f t="shared" ref="D45:M45" si="30">SUM(D40:D44)</f>
        <v>15623.800000000001</v>
      </c>
      <c r="E45" s="22">
        <f t="shared" si="30"/>
        <v>14417.199999999999</v>
      </c>
      <c r="F45" s="22">
        <f t="shared" si="30"/>
        <v>12199.6</v>
      </c>
      <c r="G45" s="22">
        <f t="shared" si="30"/>
        <v>10425.300000000001</v>
      </c>
      <c r="H45" s="22">
        <f t="shared" si="30"/>
        <v>10185</v>
      </c>
      <c r="I45" s="22">
        <f t="shared" si="30"/>
        <v>9455.7000000000007</v>
      </c>
      <c r="J45" s="22">
        <f t="shared" si="30"/>
        <v>10642.699999999999</v>
      </c>
      <c r="K45" s="22">
        <f t="shared" si="30"/>
        <v>9975</v>
      </c>
      <c r="L45" s="22">
        <f t="shared" si="30"/>
        <v>10931.2</v>
      </c>
      <c r="M45" s="22">
        <f t="shared" si="30"/>
        <v>11210</v>
      </c>
    </row>
    <row r="46" spans="2:18">
      <c r="B46" t="s">
        <v>361</v>
      </c>
      <c r="C46" s="32">
        <f t="shared" ref="C46:M46" si="31">C21</f>
        <v>1644.5</v>
      </c>
      <c r="D46" s="32">
        <f t="shared" si="31"/>
        <v>1555.7</v>
      </c>
      <c r="E46" s="32">
        <f t="shared" si="31"/>
        <v>1516.5</v>
      </c>
      <c r="F46" s="32">
        <f t="shared" si="31"/>
        <v>1363.4</v>
      </c>
      <c r="G46" s="32">
        <f t="shared" si="31"/>
        <v>1482</v>
      </c>
      <c r="H46" s="32">
        <f t="shared" si="31"/>
        <v>1617.9</v>
      </c>
      <c r="I46" s="32">
        <f t="shared" si="31"/>
        <v>1751.4</v>
      </c>
      <c r="J46" s="32">
        <f t="shared" si="31"/>
        <v>1868.1</v>
      </c>
      <c r="K46" s="32">
        <f t="shared" si="31"/>
        <v>1871</v>
      </c>
      <c r="L46" s="32">
        <f t="shared" si="31"/>
        <v>1978</v>
      </c>
      <c r="M46" s="32">
        <f t="shared" si="31"/>
        <v>2097</v>
      </c>
    </row>
    <row r="47" spans="2:18">
      <c r="B47" t="s">
        <v>362</v>
      </c>
      <c r="C47" s="32">
        <f>C33</f>
        <v>210.09841836341693</v>
      </c>
      <c r="D47" s="32">
        <f>D33</f>
        <v>221.68480349538433</v>
      </c>
      <c r="E47" s="32">
        <f>E33</f>
        <v>233.38770779147353</v>
      </c>
      <c r="F47" s="32">
        <f>F33</f>
        <v>254.27193383642046</v>
      </c>
      <c r="G47" s="32">
        <f>'Income Statement'!G15</f>
        <v>214.8</v>
      </c>
      <c r="H47" s="32">
        <f>'Income Statement'!H15</f>
        <v>262.5</v>
      </c>
      <c r="I47" s="32">
        <f>'Income Statement'!I15</f>
        <v>300.60000000000002</v>
      </c>
      <c r="J47" s="32">
        <f>'Income Statement'!J15</f>
        <v>329.7</v>
      </c>
      <c r="K47" s="32">
        <f>'Income Statement'!K15</f>
        <v>370</v>
      </c>
      <c r="L47" s="32">
        <f>'Income Statement'!L15</f>
        <v>382</v>
      </c>
      <c r="M47" s="32">
        <f>'Income Statement'!M15</f>
        <v>447</v>
      </c>
    </row>
    <row r="48" spans="2:18">
      <c r="B48" s="8" t="s">
        <v>61</v>
      </c>
      <c r="C48" s="13">
        <f>C45-C46+C47</f>
        <v>15551.198418363419</v>
      </c>
      <c r="D48" s="13">
        <f t="shared" ref="D48:M48" si="32">D45-D46+D47</f>
        <v>14289.784803495384</v>
      </c>
      <c r="E48" s="13">
        <f t="shared" si="32"/>
        <v>13134.087707791472</v>
      </c>
      <c r="F48" s="13">
        <f t="shared" si="32"/>
        <v>11090.471933836421</v>
      </c>
      <c r="G48" s="13">
        <f t="shared" si="32"/>
        <v>9158.1</v>
      </c>
      <c r="H48" s="13">
        <f t="shared" si="32"/>
        <v>8829.6</v>
      </c>
      <c r="I48" s="13">
        <f t="shared" si="32"/>
        <v>8004.9000000000015</v>
      </c>
      <c r="J48" s="13">
        <f t="shared" si="32"/>
        <v>9104.2999999999993</v>
      </c>
      <c r="K48" s="13">
        <f t="shared" si="32"/>
        <v>8474</v>
      </c>
      <c r="L48" s="13">
        <f t="shared" si="32"/>
        <v>9335.2000000000007</v>
      </c>
      <c r="M48" s="13">
        <f t="shared" si="32"/>
        <v>9560</v>
      </c>
      <c r="N48" s="160">
        <f>'Income Statement'!N10</f>
        <v>10243.584000000001</v>
      </c>
      <c r="O48" s="160">
        <f>'Income Statement'!O10</f>
        <v>10653.327360000001</v>
      </c>
      <c r="P48" s="160">
        <f>'Income Statement'!P10</f>
        <v>11079.460454400001</v>
      </c>
      <c r="Q48" s="160">
        <f>'Income Statement'!Q10</f>
        <v>11522.638872576001</v>
      </c>
      <c r="R48" s="160">
        <f>'Income Statement'!R10</f>
        <v>11983.544427479041</v>
      </c>
    </row>
    <row r="50" spans="1:21">
      <c r="A50" s="1" t="s">
        <v>91</v>
      </c>
    </row>
    <row r="51" spans="1:21" ht="18" customHeight="1">
      <c r="B51" t="s">
        <v>334</v>
      </c>
      <c r="C51" s="31">
        <f>'Balance Sheet PROJECTED'!C8</f>
        <v>1214.4000000000001</v>
      </c>
      <c r="D51" s="31">
        <f>'Balance Sheet PROJECTED'!D8</f>
        <v>1298.7</v>
      </c>
      <c r="E51" s="31">
        <f>'Balance Sheet PROJECTED'!E8</f>
        <v>1474.1</v>
      </c>
      <c r="F51" s="31">
        <f>'Balance Sheet PROJECTED'!F8</f>
        <v>1976.2</v>
      </c>
      <c r="G51" s="31">
        <f>'Balance Sheet PROJECTED'!G8</f>
        <v>2441.5</v>
      </c>
      <c r="H51" s="31">
        <f>'Balance Sheet PROJECTED'!H8</f>
        <v>2224.1999999999998</v>
      </c>
      <c r="I51" s="31">
        <f>'Balance Sheet PROJECTED'!I8</f>
        <v>2110.3000000000002</v>
      </c>
      <c r="J51" s="31">
        <f>'Balance Sheet PROJECTED'!J8</f>
        <v>1872.4</v>
      </c>
      <c r="K51" s="31">
        <f>'Balance Sheet PROJECTED'!K8</f>
        <v>2115</v>
      </c>
      <c r="L51" s="31">
        <f>'Balance Sheet PROJECTED'!L8</f>
        <v>2488</v>
      </c>
      <c r="M51" s="31">
        <f>'Balance Sheet PROJECTED'!M8</f>
        <v>2383</v>
      </c>
      <c r="N51" s="31">
        <f>'Balance Sheet PROJECTED'!N8</f>
        <v>2506.9823999999999</v>
      </c>
      <c r="O51" s="31">
        <f>'Balance Sheet PROJECTED'!O8</f>
        <v>2607.2616960000005</v>
      </c>
      <c r="P51" s="31">
        <f>'Balance Sheet PROJECTED'!P8</f>
        <v>2711.55216384</v>
      </c>
      <c r="Q51" s="31">
        <f>'Balance Sheet PROJECTED'!Q8</f>
        <v>2820.0142503936004</v>
      </c>
      <c r="R51" s="31">
        <f>'Balance Sheet PROJECTED'!R8</f>
        <v>2932.8148204093441</v>
      </c>
      <c r="T51" s="36">
        <f>N51-M51</f>
        <v>123.98239999999987</v>
      </c>
    </row>
    <row r="52" spans="1:21" ht="18" customHeight="1">
      <c r="B52" t="s">
        <v>335</v>
      </c>
      <c r="C52" s="32">
        <f>'Balance Sheet PROJECTED'!C9</f>
        <v>110</v>
      </c>
      <c r="D52" s="32">
        <f>'Balance Sheet PROJECTED'!D9</f>
        <v>100.1</v>
      </c>
      <c r="E52" s="32">
        <f>'Balance Sheet PROJECTED'!E9</f>
        <v>58.9</v>
      </c>
      <c r="F52" s="32">
        <f>'Balance Sheet PROJECTED'!F9</f>
        <v>58.8</v>
      </c>
      <c r="G52" s="32">
        <f>'Balance Sheet PROJECTED'!G9</f>
        <v>51.1</v>
      </c>
      <c r="H52" s="32">
        <f>'Balance Sheet PROJECTED'!H9</f>
        <v>50.2</v>
      </c>
      <c r="I52" s="32">
        <f>'Balance Sheet PROJECTED'!I9</f>
        <v>51.1</v>
      </c>
      <c r="J52" s="32">
        <f>'Balance Sheet PROJECTED'!J9</f>
        <v>55.6</v>
      </c>
      <c r="K52" s="32">
        <f>'Balance Sheet PROJECTED'!K9</f>
        <v>52</v>
      </c>
      <c r="L52" s="32">
        <f>'Balance Sheet PROJECTED'!L9</f>
        <v>53</v>
      </c>
      <c r="M52" s="32">
        <f>'Balance Sheet PROJECTED'!M9</f>
        <v>56</v>
      </c>
      <c r="N52" s="31">
        <f>'Balance Sheet PROJECTED'!N9</f>
        <v>61.461504000000005</v>
      </c>
      <c r="O52" s="31">
        <f>'Balance Sheet PROJECTED'!O9</f>
        <v>63.919964160000006</v>
      </c>
      <c r="P52" s="31">
        <f>'Balance Sheet PROJECTED'!P9</f>
        <v>66.476762726400011</v>
      </c>
      <c r="Q52" s="31">
        <f>'Balance Sheet PROJECTED'!Q9</f>
        <v>69.135833235456005</v>
      </c>
      <c r="R52" s="31">
        <f>'Balance Sheet PROJECTED'!R9</f>
        <v>71.901266564874248</v>
      </c>
      <c r="T52" s="36">
        <f t="shared" ref="T52:T61" si="33">N52-M52</f>
        <v>5.461504000000005</v>
      </c>
    </row>
    <row r="53" spans="1:21" ht="18" customHeight="1">
      <c r="B53" t="s">
        <v>336</v>
      </c>
      <c r="C53" s="32">
        <f>'Balance Sheet PROJECTED'!C10</f>
        <v>783.2</v>
      </c>
      <c r="D53" s="32">
        <f>'Balance Sheet PROJECTED'!D10</f>
        <v>558.70000000000005</v>
      </c>
      <c r="E53" s="32">
        <f>'Balance Sheet PROJECTED'!E10</f>
        <v>565.20000000000005</v>
      </c>
      <c r="F53" s="32">
        <f>'Balance Sheet PROJECTED'!F10</f>
        <v>828.4</v>
      </c>
      <c r="G53" s="32">
        <f>'Balance Sheet PROJECTED'!G10</f>
        <v>694.6</v>
      </c>
      <c r="H53" s="32">
        <f>'Balance Sheet PROJECTED'!H10</f>
        <v>385</v>
      </c>
      <c r="I53" s="32">
        <f>'Balance Sheet PROJECTED'!I10</f>
        <v>632.70000000000005</v>
      </c>
      <c r="J53" s="32">
        <f>'Balance Sheet PROJECTED'!J10</f>
        <v>511.3</v>
      </c>
      <c r="K53" s="32">
        <f>'Balance Sheet PROJECTED'!K10</f>
        <v>673.4</v>
      </c>
      <c r="L53" s="32">
        <f>'Balance Sheet PROJECTED'!L10</f>
        <v>866</v>
      </c>
      <c r="M53" s="32">
        <f>'Balance Sheet PROJECTED'!M10</f>
        <v>1074</v>
      </c>
      <c r="N53" s="31">
        <f>'Balance Sheet PROJECTED'!N10</f>
        <v>889.57439999999997</v>
      </c>
      <c r="O53" s="31">
        <f>'Balance Sheet PROJECTED'!O10</f>
        <v>925.15737600000011</v>
      </c>
      <c r="P53" s="31">
        <f>'Balance Sheet PROJECTED'!P10</f>
        <v>962.16367104000005</v>
      </c>
      <c r="Q53" s="31">
        <f>'Balance Sheet PROJECTED'!Q10</f>
        <v>1000.6502178816002</v>
      </c>
      <c r="R53" s="31">
        <f>'Balance Sheet PROJECTED'!R10</f>
        <v>1040.6762265968641</v>
      </c>
      <c r="T53" s="36">
        <f t="shared" si="33"/>
        <v>-184.42560000000003</v>
      </c>
      <c r="U53" s="36">
        <f>SUM(T51:T53)</f>
        <v>-54.98169600000017</v>
      </c>
    </row>
    <row r="54" spans="1:21" ht="18" customHeight="1">
      <c r="B54" t="s">
        <v>337</v>
      </c>
      <c r="C54" s="31">
        <f>'Balance Sheet PROJECTED'!C11</f>
        <v>0</v>
      </c>
      <c r="D54" s="31">
        <f>'Balance Sheet PROJECTED'!D11</f>
        <v>0</v>
      </c>
      <c r="E54" s="31">
        <f>'Balance Sheet PROJECTED'!E11</f>
        <v>1527</v>
      </c>
      <c r="F54" s="31">
        <f>'Balance Sheet PROJECTED'!F11</f>
        <v>0</v>
      </c>
      <c r="G54" s="31">
        <f>'Balance Sheet PROJECTED'!G11</f>
        <v>0</v>
      </c>
      <c r="H54" s="31">
        <f>'Balance Sheet PROJECTED'!H11</f>
        <v>0</v>
      </c>
      <c r="I54" s="31">
        <f>'Balance Sheet PROJECTED'!I11</f>
        <v>0</v>
      </c>
      <c r="J54" s="31">
        <f>'Balance Sheet PROJECTED'!J11</f>
        <v>0</v>
      </c>
      <c r="K54" s="31">
        <f>'Balance Sheet PROJECTED'!K11</f>
        <v>0</v>
      </c>
      <c r="L54" s="31">
        <f>'Balance Sheet PROJECTED'!L11</f>
        <v>0</v>
      </c>
      <c r="M54" s="31">
        <f>'Balance Sheet PROJECTED'!M11</f>
        <v>0</v>
      </c>
      <c r="N54" s="31">
        <f>'Balance Sheet PROJECTED'!N11</f>
        <v>0</v>
      </c>
      <c r="O54" s="31">
        <f>'Balance Sheet PROJECTED'!O11</f>
        <v>0</v>
      </c>
      <c r="P54" s="31">
        <f>'Balance Sheet PROJECTED'!P11</f>
        <v>0</v>
      </c>
      <c r="Q54" s="31">
        <f>'Balance Sheet PROJECTED'!Q11</f>
        <v>0</v>
      </c>
      <c r="R54" s="31">
        <f>'Balance Sheet PROJECTED'!R11</f>
        <v>0</v>
      </c>
      <c r="T54" s="36"/>
    </row>
    <row r="55" spans="1:21">
      <c r="B55" s="8" t="s">
        <v>92</v>
      </c>
      <c r="C55" s="13">
        <f>SUM(C51:C54)</f>
        <v>2107.6000000000004</v>
      </c>
      <c r="D55" s="13">
        <f t="shared" ref="D55:N55" si="34">SUM(D51:D54)</f>
        <v>1957.5</v>
      </c>
      <c r="E55" s="13">
        <f t="shared" si="34"/>
        <v>3625.2</v>
      </c>
      <c r="F55" s="13">
        <f t="shared" si="34"/>
        <v>2863.4</v>
      </c>
      <c r="G55" s="13">
        <f t="shared" si="34"/>
        <v>3187.2</v>
      </c>
      <c r="H55" s="13">
        <f t="shared" si="34"/>
        <v>2659.3999999999996</v>
      </c>
      <c r="I55" s="13">
        <f t="shared" si="34"/>
        <v>2794.1000000000004</v>
      </c>
      <c r="J55" s="13">
        <f t="shared" si="34"/>
        <v>2439.3000000000002</v>
      </c>
      <c r="K55" s="13">
        <f t="shared" si="34"/>
        <v>2840.4</v>
      </c>
      <c r="L55" s="13">
        <f t="shared" si="34"/>
        <v>3407</v>
      </c>
      <c r="M55" s="13">
        <f t="shared" si="34"/>
        <v>3513</v>
      </c>
      <c r="N55" s="13">
        <f t="shared" si="34"/>
        <v>3458.0183039999997</v>
      </c>
      <c r="O55" s="13">
        <f t="shared" ref="O55:R55" si="35">SUM(O51:O54)</f>
        <v>3596.3390361600004</v>
      </c>
      <c r="P55" s="13">
        <f t="shared" si="35"/>
        <v>3740.1925976064003</v>
      </c>
      <c r="Q55" s="13">
        <f t="shared" si="35"/>
        <v>3889.8003015106569</v>
      </c>
      <c r="R55" s="13">
        <f t="shared" si="35"/>
        <v>4045.3923135710825</v>
      </c>
    </row>
    <row r="56" spans="1:21">
      <c r="B56" t="s">
        <v>8</v>
      </c>
      <c r="C56" s="32">
        <f>'Balance Sheet PROJECTED'!C21</f>
        <v>860.1</v>
      </c>
      <c r="D56" s="32">
        <f>'Balance Sheet PROJECTED'!D21</f>
        <v>874.7</v>
      </c>
      <c r="E56" s="32">
        <f>'Balance Sheet PROJECTED'!E21</f>
        <v>756</v>
      </c>
      <c r="F56" s="32">
        <f>'Balance Sheet PROJECTED'!F21</f>
        <v>924.8</v>
      </c>
      <c r="G56" s="32">
        <f>'Balance Sheet PROJECTED'!G21</f>
        <v>1207.9000000000001</v>
      </c>
      <c r="H56" s="32">
        <f>'Balance Sheet PROJECTED'!H21</f>
        <v>988.2</v>
      </c>
      <c r="I56" s="32">
        <f>'Balance Sheet PROJECTED'!I21</f>
        <v>741.3</v>
      </c>
      <c r="J56" s="32">
        <f>'Balance Sheet PROJECTED'!J21</f>
        <v>1006.8</v>
      </c>
      <c r="K56" s="32">
        <f>'Balance Sheet PROJECTED'!K21</f>
        <v>980.2</v>
      </c>
      <c r="L56" s="32">
        <f>'Balance Sheet PROJECTED'!L21</f>
        <v>1103</v>
      </c>
      <c r="M56" s="32">
        <f>'Balance Sheet PROJECTED'!M21</f>
        <v>1029</v>
      </c>
      <c r="N56" s="32">
        <f>'Balance Sheet PROJECTED'!N21</f>
        <v>1126.7942400000002</v>
      </c>
      <c r="O56" s="32">
        <f>'Balance Sheet PROJECTED'!O21</f>
        <v>1171.8660096000001</v>
      </c>
      <c r="P56" s="32">
        <f>'Balance Sheet PROJECTED'!P21</f>
        <v>1218.7406499840001</v>
      </c>
      <c r="Q56" s="32">
        <f>'Balance Sheet PROJECTED'!Q21</f>
        <v>1267.4902759833601</v>
      </c>
      <c r="R56" s="32">
        <f>'Balance Sheet PROJECTED'!R21</f>
        <v>1318.1898870226944</v>
      </c>
      <c r="T56" s="36">
        <f t="shared" si="33"/>
        <v>97.794240000000173</v>
      </c>
    </row>
    <row r="57" spans="1:21">
      <c r="B57" t="s">
        <v>357</v>
      </c>
      <c r="C57" s="32">
        <f>'Balance Sheet PROJECTED'!C22</f>
        <v>0</v>
      </c>
      <c r="D57" s="32">
        <f>'Balance Sheet PROJECTED'!D22</f>
        <v>0</v>
      </c>
      <c r="E57" s="32">
        <f>'Balance Sheet PROJECTED'!E22</f>
        <v>0</v>
      </c>
      <c r="F57" s="32">
        <f>'Balance Sheet PROJECTED'!F22</f>
        <v>0</v>
      </c>
      <c r="G57" s="32">
        <f>'Balance Sheet PROJECTED'!G22</f>
        <v>0</v>
      </c>
      <c r="H57" s="32">
        <f>'Balance Sheet PROJECTED'!H22</f>
        <v>621</v>
      </c>
      <c r="I57" s="32">
        <f>'Balance Sheet PROJECTED'!I22</f>
        <v>701.5</v>
      </c>
      <c r="J57" s="32">
        <f>'Balance Sheet PROJECTED'!J22</f>
        <v>705.5</v>
      </c>
      <c r="K57" s="32">
        <f>'Balance Sheet PROJECTED'!K22</f>
        <v>661.1</v>
      </c>
      <c r="L57" s="32">
        <f>'Balance Sheet PROJECTED'!L22</f>
        <v>688</v>
      </c>
      <c r="M57" s="32">
        <f>'Balance Sheet PROJECTED'!M22</f>
        <v>636</v>
      </c>
      <c r="N57" s="32">
        <f>'Balance Sheet PROJECTED'!N22</f>
        <v>727.83359999999993</v>
      </c>
      <c r="O57" s="32">
        <f>'Balance Sheet PROJECTED'!O22</f>
        <v>756.94694400000014</v>
      </c>
      <c r="P57" s="32">
        <f>'Balance Sheet PROJECTED'!P22</f>
        <v>787.22482176000005</v>
      </c>
      <c r="Q57" s="32">
        <f>'Balance Sheet PROJECTED'!Q22</f>
        <v>818.71381463040007</v>
      </c>
      <c r="R57" s="32">
        <f>'Balance Sheet PROJECTED'!R22</f>
        <v>851.46236721561604</v>
      </c>
      <c r="T57" s="36">
        <f t="shared" si="33"/>
        <v>91.833599999999933</v>
      </c>
    </row>
    <row r="58" spans="1:21" ht="18" customHeight="1">
      <c r="B58" t="s">
        <v>342</v>
      </c>
      <c r="C58" s="32">
        <f>'Balance Sheet PROJECTED'!C23</f>
        <v>166.8</v>
      </c>
      <c r="D58" s="32">
        <f>'Balance Sheet PROJECTED'!D23</f>
        <v>154.80000000000001</v>
      </c>
      <c r="E58" s="32">
        <f>'Balance Sheet PROJECTED'!E23</f>
        <v>267.2</v>
      </c>
      <c r="F58" s="32">
        <f>'Balance Sheet PROJECTED'!F23</f>
        <v>265.8</v>
      </c>
      <c r="G58" s="32">
        <f>'Balance Sheet PROJECTED'!G23</f>
        <v>228.3</v>
      </c>
      <c r="H58" s="32">
        <f>'Balance Sheet PROJECTED'!H23</f>
        <v>331.7</v>
      </c>
      <c r="I58" s="32">
        <f>'Balance Sheet PROJECTED'!I23</f>
        <v>741.1</v>
      </c>
      <c r="J58" s="32">
        <f>'Balance Sheet PROJECTED'!J23</f>
        <v>360.7</v>
      </c>
      <c r="K58" s="32">
        <f>'Balance Sheet PROJECTED'!K23</f>
        <v>274.89999999999998</v>
      </c>
      <c r="L58" s="32">
        <f>'Balance Sheet PROJECTED'!L23</f>
        <v>705</v>
      </c>
      <c r="M58" s="32">
        <f>'Balance Sheet PROJECTED'!M23</f>
        <v>361</v>
      </c>
      <c r="N58" s="32">
        <f>'Balance Sheet PROJECTED'!N23</f>
        <v>512.17919999999992</v>
      </c>
      <c r="O58" s="32">
        <f>'Balance Sheet PROJECTED'!O23</f>
        <v>532.66636800000003</v>
      </c>
      <c r="P58" s="32">
        <f>'Balance Sheet PROJECTED'!P23</f>
        <v>553.97302272000002</v>
      </c>
      <c r="Q58" s="32">
        <f>'Balance Sheet PROJECTED'!Q23</f>
        <v>576.13194362880006</v>
      </c>
      <c r="R58" s="32">
        <f>'Balance Sheet PROJECTED'!R23</f>
        <v>599.17722137395208</v>
      </c>
      <c r="T58" s="36">
        <f t="shared" si="33"/>
        <v>151.17919999999992</v>
      </c>
    </row>
    <row r="59" spans="1:21" ht="18" customHeight="1">
      <c r="B59" t="s">
        <v>343</v>
      </c>
      <c r="C59" s="32">
        <f>'Balance Sheet PROJECTED'!C24</f>
        <v>330</v>
      </c>
      <c r="D59" s="32">
        <f>'Balance Sheet PROJECTED'!D24</f>
        <v>309</v>
      </c>
      <c r="E59" s="32">
        <f>'Balance Sheet PROJECTED'!E24</f>
        <v>266.3</v>
      </c>
      <c r="F59" s="32">
        <f>'Balance Sheet PROJECTED'!F24</f>
        <v>275.39999999999998</v>
      </c>
      <c r="G59" s="32">
        <f>'Balance Sheet PROJECTED'!G24</f>
        <v>253.7</v>
      </c>
      <c r="H59" s="32">
        <f>'Balance Sheet PROJECTED'!H24</f>
        <v>247.5</v>
      </c>
      <c r="I59" s="32">
        <f>'Balance Sheet PROJECTED'!I24</f>
        <v>227</v>
      </c>
      <c r="J59" s="32">
        <f>'Balance Sheet PROJECTED'!J24</f>
        <v>236.7</v>
      </c>
      <c r="K59" s="32">
        <f>'Balance Sheet PROJECTED'!K24</f>
        <v>255.1</v>
      </c>
      <c r="L59" s="32">
        <f>'Balance Sheet PROJECTED'!L24</f>
        <v>268</v>
      </c>
      <c r="M59" s="32">
        <f>'Balance Sheet PROJECTED'!M24</f>
        <v>224</v>
      </c>
      <c r="N59" s="32">
        <f>'Balance Sheet PROJECTED'!N24</f>
        <v>269.56799999999998</v>
      </c>
      <c r="O59" s="32">
        <f>'Balance Sheet PROJECTED'!O24</f>
        <v>280.35072000000002</v>
      </c>
      <c r="P59" s="32">
        <f>'Balance Sheet PROJECTED'!P24</f>
        <v>291.56474880000002</v>
      </c>
      <c r="Q59" s="32">
        <f>'Balance Sheet PROJECTED'!Q24</f>
        <v>303.22733875200004</v>
      </c>
      <c r="R59" s="32">
        <f>'Balance Sheet PROJECTED'!R24</f>
        <v>315.35643230208001</v>
      </c>
      <c r="T59" s="36">
        <f t="shared" si="33"/>
        <v>45.567999999999984</v>
      </c>
    </row>
    <row r="60" spans="1:21" ht="18" customHeight="1">
      <c r="B60" t="s">
        <v>344</v>
      </c>
      <c r="C60" s="32">
        <f>'Balance Sheet PROJECTED'!C25</f>
        <v>233.7</v>
      </c>
      <c r="D60" s="32">
        <f>'Balance Sheet PROJECTED'!D25</f>
        <v>233.1</v>
      </c>
      <c r="E60" s="32">
        <f>'Balance Sheet PROJECTED'!E25</f>
        <v>247.5</v>
      </c>
      <c r="F60" s="32">
        <f>'Balance Sheet PROJECTED'!F25</f>
        <v>278.39999999999998</v>
      </c>
      <c r="G60" s="32">
        <f>'Balance Sheet PROJECTED'!G25</f>
        <v>297</v>
      </c>
      <c r="H60" s="32">
        <f>'Balance Sheet PROJECTED'!H25</f>
        <v>337.8</v>
      </c>
      <c r="I60" s="32">
        <f>'Balance Sheet PROJECTED'!I25</f>
        <v>388.4</v>
      </c>
      <c r="J60" s="32">
        <f>'Balance Sheet PROJECTED'!J25</f>
        <v>363.3</v>
      </c>
      <c r="K60" s="32">
        <f>'Balance Sheet PROJECTED'!K25</f>
        <v>393.4</v>
      </c>
      <c r="L60" s="32">
        <f>'Balance Sheet PROJECTED'!L25</f>
        <v>469</v>
      </c>
      <c r="M60" s="32">
        <f>'Balance Sheet PROJECTED'!M25</f>
        <v>482</v>
      </c>
      <c r="N60" s="32">
        <f>'Balance Sheet PROJECTED'!N25</f>
        <v>0</v>
      </c>
      <c r="O60" s="32">
        <f>'Balance Sheet PROJECTED'!O25</f>
        <v>0</v>
      </c>
      <c r="P60" s="32">
        <f>'Balance Sheet PROJECTED'!P25</f>
        <v>0</v>
      </c>
      <c r="Q60" s="32">
        <f>'Balance Sheet PROJECTED'!Q25</f>
        <v>0</v>
      </c>
      <c r="R60" s="32">
        <f>'Balance Sheet PROJECTED'!R25</f>
        <v>0</v>
      </c>
      <c r="T60" s="36"/>
    </row>
    <row r="61" spans="1:21" ht="18" customHeight="1">
      <c r="B61" t="s">
        <v>345</v>
      </c>
      <c r="C61" s="32">
        <f>'Balance Sheet PROJECTED'!C26</f>
        <v>1157.3</v>
      </c>
      <c r="D61" s="32">
        <f>'Balance Sheet PROJECTED'!D26</f>
        <v>1378.8</v>
      </c>
      <c r="E61" s="32">
        <f>'Balance Sheet PROJECTED'!E26</f>
        <v>1159.3</v>
      </c>
      <c r="F61" s="32">
        <f>'Balance Sheet PROJECTED'!F26</f>
        <v>1146.2</v>
      </c>
      <c r="G61" s="32">
        <f>'Balance Sheet PROJECTED'!G26</f>
        <v>986.6</v>
      </c>
      <c r="H61" s="32">
        <f>'Balance Sheet PROJECTED'!H26</f>
        <v>1035.7</v>
      </c>
      <c r="I61" s="32">
        <f>'Balance Sheet PROJECTED'!I26</f>
        <v>1138.3</v>
      </c>
      <c r="J61" s="32">
        <f>'Balance Sheet PROJECTED'!J26</f>
        <v>1347</v>
      </c>
      <c r="K61" s="32">
        <f>'Balance Sheet PROJECTED'!K26</f>
        <v>1237.4000000000001</v>
      </c>
      <c r="L61" s="32">
        <f>'Balance Sheet PROJECTED'!L26</f>
        <v>1434</v>
      </c>
      <c r="M61" s="32">
        <f>'Balance Sheet PROJECTED'!M26</f>
        <v>1129</v>
      </c>
      <c r="N61" s="32">
        <f>'Balance Sheet PROJECTED'!N26</f>
        <v>1401.7536</v>
      </c>
      <c r="O61" s="32">
        <f>'Balance Sheet PROJECTED'!O26</f>
        <v>1457.823744</v>
      </c>
      <c r="P61" s="32">
        <f>'Balance Sheet PROJECTED'!P26</f>
        <v>1516.1366937600001</v>
      </c>
      <c r="Q61" s="32">
        <f>'Balance Sheet PROJECTED'!Q26</f>
        <v>1576.7821615104001</v>
      </c>
      <c r="R61" s="32">
        <f>'Balance Sheet PROJECTED'!R26</f>
        <v>1639.853447970816</v>
      </c>
      <c r="T61" s="36">
        <f t="shared" si="33"/>
        <v>272.75360000000001</v>
      </c>
      <c r="U61" s="36">
        <f>SUM(T56:T61)</f>
        <v>659.12864000000002</v>
      </c>
    </row>
    <row r="62" spans="1:21" ht="18" customHeight="1">
      <c r="B62" t="s">
        <v>352</v>
      </c>
      <c r="C62" s="32">
        <f>'Balance Sheet PROJECTED'!C28</f>
        <v>0</v>
      </c>
      <c r="D62" s="32">
        <f>'Balance Sheet PROJECTED'!D28</f>
        <v>0</v>
      </c>
      <c r="E62" s="32">
        <f>'Balance Sheet PROJECTED'!E28</f>
        <v>694.8</v>
      </c>
      <c r="F62" s="32">
        <f>'Balance Sheet PROJECTED'!F28</f>
        <v>0</v>
      </c>
      <c r="G62" s="32">
        <f>'Balance Sheet PROJECTED'!G28</f>
        <v>0</v>
      </c>
      <c r="H62" s="32">
        <f>'Balance Sheet PROJECTED'!H28</f>
        <v>0</v>
      </c>
      <c r="I62" s="32">
        <f>'Balance Sheet PROJECTED'!I28</f>
        <v>0</v>
      </c>
      <c r="J62" s="32">
        <f>'Balance Sheet PROJECTED'!J28</f>
        <v>0</v>
      </c>
      <c r="K62" s="32">
        <f>'Balance Sheet PROJECTED'!K28</f>
        <v>0</v>
      </c>
      <c r="L62" s="32">
        <f>'Balance Sheet PROJECTED'!L28</f>
        <v>0</v>
      </c>
      <c r="M62" s="32">
        <f>'Balance Sheet PROJECTED'!M28</f>
        <v>0</v>
      </c>
      <c r="N62" s="32">
        <f>'Balance Sheet PROJECTED'!N28</f>
        <v>0</v>
      </c>
      <c r="O62" s="32">
        <f>'Balance Sheet PROJECTED'!O28</f>
        <v>0</v>
      </c>
      <c r="P62" s="32">
        <f>'Balance Sheet PROJECTED'!P28</f>
        <v>0</v>
      </c>
      <c r="Q62" s="32">
        <f>'Balance Sheet PROJECTED'!Q28</f>
        <v>0</v>
      </c>
      <c r="R62" s="32">
        <f>'Balance Sheet PROJECTED'!R28</f>
        <v>0</v>
      </c>
    </row>
    <row r="63" spans="1:21">
      <c r="B63" s="8" t="s">
        <v>93</v>
      </c>
      <c r="C63" s="13">
        <f>SUM(C56:C62)</f>
        <v>2747.9</v>
      </c>
      <c r="D63" s="13">
        <f t="shared" ref="D63:N63" si="36">SUM(D56:D62)</f>
        <v>2950.3999999999996</v>
      </c>
      <c r="E63" s="13">
        <f t="shared" si="36"/>
        <v>3391.1000000000004</v>
      </c>
      <c r="F63" s="13">
        <f t="shared" si="36"/>
        <v>2890.6000000000004</v>
      </c>
      <c r="G63" s="13">
        <f t="shared" si="36"/>
        <v>2973.5</v>
      </c>
      <c r="H63" s="13">
        <f t="shared" si="36"/>
        <v>3561.9000000000005</v>
      </c>
      <c r="I63" s="13">
        <f t="shared" si="36"/>
        <v>3937.6000000000004</v>
      </c>
      <c r="J63" s="13">
        <f t="shared" si="36"/>
        <v>4020</v>
      </c>
      <c r="K63" s="13">
        <f t="shared" si="36"/>
        <v>3802.1000000000004</v>
      </c>
      <c r="L63" s="13">
        <f t="shared" si="36"/>
        <v>4667</v>
      </c>
      <c r="M63" s="13">
        <f t="shared" si="36"/>
        <v>3861</v>
      </c>
      <c r="N63" s="13">
        <f t="shared" si="36"/>
        <v>4038.1286399999999</v>
      </c>
      <c r="O63" s="13">
        <f t="shared" ref="O63:R63" si="37">SUM(O56:O62)</f>
        <v>4199.6537856000004</v>
      </c>
      <c r="P63" s="13">
        <f t="shared" si="37"/>
        <v>4367.6399370240006</v>
      </c>
      <c r="Q63" s="13">
        <f t="shared" si="37"/>
        <v>4542.3455345049597</v>
      </c>
      <c r="R63" s="13">
        <f t="shared" si="37"/>
        <v>4724.0393558851583</v>
      </c>
    </row>
    <row r="65" spans="1:18" ht="18" customHeight="1">
      <c r="B65" s="29" t="s">
        <v>94</v>
      </c>
      <c r="D65" s="60">
        <f>-(D55-C55)</f>
        <v>150.10000000000036</v>
      </c>
      <c r="E65" s="60">
        <f t="shared" ref="E65:R65" si="38">-(E55-D55)</f>
        <v>-1667.6999999999998</v>
      </c>
      <c r="F65" s="60">
        <f t="shared" si="38"/>
        <v>761.79999999999973</v>
      </c>
      <c r="G65" s="60">
        <f t="shared" si="38"/>
        <v>-323.79999999999973</v>
      </c>
      <c r="H65" s="60">
        <f t="shared" si="38"/>
        <v>527.80000000000018</v>
      </c>
      <c r="I65" s="60">
        <f t="shared" si="38"/>
        <v>-134.70000000000073</v>
      </c>
      <c r="J65" s="60">
        <f t="shared" si="38"/>
        <v>354.80000000000018</v>
      </c>
      <c r="K65" s="60">
        <f t="shared" si="38"/>
        <v>-401.09999999999991</v>
      </c>
      <c r="L65" s="60">
        <f t="shared" si="38"/>
        <v>-566.59999999999991</v>
      </c>
      <c r="M65" s="60">
        <f t="shared" si="38"/>
        <v>-106</v>
      </c>
      <c r="N65" s="60">
        <f t="shared" si="38"/>
        <v>54.981696000000284</v>
      </c>
      <c r="O65" s="60">
        <f t="shared" si="38"/>
        <v>-138.32073216000072</v>
      </c>
      <c r="P65" s="60">
        <f t="shared" si="38"/>
        <v>-143.85356144639991</v>
      </c>
      <c r="Q65" s="60">
        <f t="shared" si="38"/>
        <v>-149.6077039042566</v>
      </c>
      <c r="R65" s="60">
        <f t="shared" si="38"/>
        <v>-155.59201206042553</v>
      </c>
    </row>
    <row r="66" spans="1:18" ht="18" customHeight="1">
      <c r="B66" s="29" t="s">
        <v>95</v>
      </c>
      <c r="D66" s="57">
        <f>D63-C63</f>
        <v>202.49999999999955</v>
      </c>
      <c r="E66" s="57">
        <f t="shared" ref="E66:R66" si="39">E63-D63</f>
        <v>440.70000000000073</v>
      </c>
      <c r="F66" s="57">
        <f t="shared" si="39"/>
        <v>-500.5</v>
      </c>
      <c r="G66" s="57">
        <f t="shared" si="39"/>
        <v>82.899999999999636</v>
      </c>
      <c r="H66" s="57">
        <f t="shared" si="39"/>
        <v>588.40000000000055</v>
      </c>
      <c r="I66" s="57">
        <f t="shared" si="39"/>
        <v>375.69999999999982</v>
      </c>
      <c r="J66" s="57">
        <f t="shared" si="39"/>
        <v>82.399999999999636</v>
      </c>
      <c r="K66" s="57">
        <f t="shared" si="39"/>
        <v>-217.89999999999964</v>
      </c>
      <c r="L66" s="57">
        <f t="shared" si="39"/>
        <v>864.89999999999964</v>
      </c>
      <c r="M66" s="57">
        <f t="shared" si="39"/>
        <v>-806</v>
      </c>
      <c r="N66" s="57">
        <f t="shared" si="39"/>
        <v>177.1286399999999</v>
      </c>
      <c r="O66" s="57">
        <f t="shared" si="39"/>
        <v>161.52514560000054</v>
      </c>
      <c r="P66" s="57">
        <f t="shared" si="39"/>
        <v>167.98615142400013</v>
      </c>
      <c r="Q66" s="57">
        <f t="shared" si="39"/>
        <v>174.70559748095911</v>
      </c>
      <c r="R66" s="57">
        <f t="shared" si="39"/>
        <v>181.69382138019864</v>
      </c>
    </row>
    <row r="67" spans="1:18" ht="18" customHeight="1">
      <c r="B67" s="8" t="s">
        <v>96</v>
      </c>
      <c r="D67" s="13">
        <f>SUM(D65:D66)</f>
        <v>352.59999999999991</v>
      </c>
      <c r="E67" s="13">
        <f t="shared" ref="E67:N67" si="40">SUM(E65:E66)</f>
        <v>-1226.9999999999991</v>
      </c>
      <c r="F67" s="13">
        <f t="shared" si="40"/>
        <v>261.29999999999973</v>
      </c>
      <c r="G67" s="13">
        <f t="shared" si="40"/>
        <v>-240.90000000000009</v>
      </c>
      <c r="H67" s="13">
        <f t="shared" si="40"/>
        <v>1116.2000000000007</v>
      </c>
      <c r="I67" s="13">
        <f t="shared" si="40"/>
        <v>240.99999999999909</v>
      </c>
      <c r="J67" s="13">
        <f t="shared" si="40"/>
        <v>437.19999999999982</v>
      </c>
      <c r="K67" s="13">
        <f t="shared" si="40"/>
        <v>-618.99999999999955</v>
      </c>
      <c r="L67" s="13">
        <f t="shared" si="40"/>
        <v>298.29999999999973</v>
      </c>
      <c r="M67" s="13">
        <f t="shared" si="40"/>
        <v>-912</v>
      </c>
      <c r="N67" s="13">
        <f t="shared" si="40"/>
        <v>232.11033600000019</v>
      </c>
      <c r="O67" s="13">
        <f t="shared" ref="O67:R67" si="41">SUM(O65:O66)</f>
        <v>23.204413439999826</v>
      </c>
      <c r="P67" s="13">
        <f t="shared" si="41"/>
        <v>24.132589977600219</v>
      </c>
      <c r="Q67" s="13">
        <f t="shared" si="41"/>
        <v>25.097893576702518</v>
      </c>
      <c r="R67" s="13">
        <f t="shared" si="41"/>
        <v>26.10180931977311</v>
      </c>
    </row>
    <row r="69" spans="1:18" ht="18" customHeight="1">
      <c r="A69" s="1"/>
      <c r="C69" s="29"/>
      <c r="D69" s="29"/>
      <c r="H69" s="29"/>
    </row>
    <row r="70" spans="1:18" ht="18" customHeight="1">
      <c r="D70" s="29"/>
      <c r="H70" s="29"/>
    </row>
    <row r="72" spans="1:18" ht="18" customHeight="1">
      <c r="B72" s="29"/>
      <c r="C72" s="29"/>
      <c r="D72" s="29"/>
      <c r="H72" s="29"/>
    </row>
    <row r="73" spans="1:18" ht="18" customHeight="1">
      <c r="D73" s="29"/>
      <c r="H73" s="29"/>
    </row>
    <row r="75" spans="1:18" ht="18" customHeight="1">
      <c r="B75" s="29"/>
    </row>
  </sheetData>
  <pageMargins left="0.7" right="0.7" top="0.75" bottom="0.75" header="0.3" footer="0.3"/>
  <pageSetup scale="50" orientation="portrait" horizontalDpi="1200" verticalDpi="1200" r:id="rId1"/>
  <ignoredErrors>
    <ignoredError sqref="G10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549-223B-4CAB-B9DE-23F4D161302F}">
  <sheetPr>
    <pageSetUpPr fitToPage="1"/>
  </sheetPr>
  <dimension ref="A1:W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17" sqref="N17"/>
    </sheetView>
    <sheetView workbookViewId="1">
      <pane xSplit="2" ySplit="4" topLeftCell="K5" activePane="bottomRight" state="frozen"/>
      <selection pane="topRight" activeCell="C1" sqref="C1"/>
      <selection pane="bottomLeft" activeCell="A5" sqref="A5"/>
      <selection pane="bottomRight" activeCell="N17" sqref="N17:R17"/>
    </sheetView>
  </sheetViews>
  <sheetFormatPr defaultRowHeight="14" outlineLevelCol="1"/>
  <cols>
    <col min="1" max="1" width="3.4140625" customWidth="1"/>
    <col min="2" max="2" width="38.5" bestFit="1" customWidth="1"/>
    <col min="3" max="4" width="11.6640625" hidden="1" customWidth="1" outlineLevel="1"/>
    <col min="5" max="7" width="11.08203125" hidden="1" customWidth="1" outlineLevel="1"/>
    <col min="8" max="8" width="11.6640625" hidden="1" customWidth="1" outlineLevel="1"/>
    <col min="9" max="9" width="11.1640625" hidden="1" customWidth="1" outlineLevel="1"/>
    <col min="10" max="10" width="10.6640625" hidden="1" customWidth="1" outlineLevel="1"/>
    <col min="11" max="11" width="11.4140625" bestFit="1" customWidth="1" collapsed="1"/>
    <col min="12" max="12" width="11.1640625" bestFit="1" customWidth="1"/>
    <col min="13" max="13" width="11.4140625" bestFit="1" customWidth="1"/>
    <col min="14" max="18" width="11.6640625" customWidth="1"/>
  </cols>
  <sheetData>
    <row r="1" spans="1:23" ht="30">
      <c r="A1" s="4" t="s">
        <v>315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3" ht="15" thickBot="1">
      <c r="B2" s="6" t="s">
        <v>328</v>
      </c>
    </row>
    <row r="3" spans="1:23" ht="14.5" thickBot="1">
      <c r="K3" s="43" t="s">
        <v>68</v>
      </c>
      <c r="L3" s="44"/>
      <c r="M3" s="45"/>
      <c r="N3" s="43" t="s">
        <v>69</v>
      </c>
      <c r="O3" s="44"/>
      <c r="P3" s="44"/>
      <c r="Q3" s="44"/>
      <c r="R3" s="45"/>
    </row>
    <row r="4" spans="1:23">
      <c r="C4" s="7">
        <v>42004</v>
      </c>
      <c r="D4" s="7">
        <v>42369</v>
      </c>
      <c r="E4" s="7">
        <v>42735</v>
      </c>
      <c r="F4" s="7">
        <v>43100</v>
      </c>
      <c r="G4" s="7">
        <v>43465</v>
      </c>
      <c r="H4" s="7">
        <v>43830</v>
      </c>
      <c r="I4" s="7">
        <v>44196</v>
      </c>
      <c r="J4" s="46">
        <v>44561</v>
      </c>
      <c r="K4" s="47">
        <v>44926</v>
      </c>
      <c r="L4" s="47">
        <v>45291</v>
      </c>
      <c r="M4" s="47">
        <v>45657</v>
      </c>
      <c r="N4" s="47">
        <v>46022</v>
      </c>
      <c r="O4" s="47">
        <v>46387</v>
      </c>
      <c r="P4" s="47">
        <v>46752</v>
      </c>
      <c r="Q4" s="47">
        <v>47118</v>
      </c>
      <c r="R4" s="47">
        <v>47483</v>
      </c>
    </row>
    <row r="5" spans="1:23">
      <c r="C5" s="21"/>
      <c r="D5" s="21"/>
      <c r="E5" s="18"/>
      <c r="F5" s="18"/>
      <c r="G5" s="18"/>
      <c r="H5" s="18"/>
      <c r="I5" s="18"/>
      <c r="J5" s="18"/>
      <c r="K5" s="48"/>
      <c r="L5" s="48"/>
      <c r="M5" s="49"/>
      <c r="N5" s="52"/>
      <c r="O5" s="48"/>
      <c r="P5" s="48"/>
      <c r="Q5" s="48"/>
      <c r="R5" s="48"/>
    </row>
    <row r="6" spans="1:23">
      <c r="B6" t="s">
        <v>318</v>
      </c>
      <c r="C6" s="19">
        <v>9272</v>
      </c>
      <c r="D6" s="19">
        <v>8924.7000000000007</v>
      </c>
      <c r="E6" s="19">
        <v>9326.9</v>
      </c>
      <c r="F6" s="19">
        <v>10101.5</v>
      </c>
      <c r="G6" s="19">
        <v>10012.700000000001</v>
      </c>
      <c r="H6" s="19">
        <v>9420.7999999999993</v>
      </c>
      <c r="I6" s="19">
        <v>8139.2</v>
      </c>
      <c r="J6" s="19">
        <v>9787.4</v>
      </c>
      <c r="K6" s="19">
        <v>14106</v>
      </c>
      <c r="L6" s="19">
        <v>15436.5</v>
      </c>
      <c r="M6" s="19">
        <v>15715</v>
      </c>
      <c r="N6" s="52">
        <f>(1+Assumptions!T5)*'Income Statement'!M6</f>
        <v>16343.6</v>
      </c>
      <c r="O6" s="52">
        <f>(1+Assumptions!U5)*'Income Statement'!N6</f>
        <v>16997.344000000001</v>
      </c>
      <c r="P6" s="52">
        <f>(1+Assumptions!V5)*'Income Statement'!O6</f>
        <v>17677.23776</v>
      </c>
      <c r="Q6" s="52">
        <f>(1+Assumptions!W5)*'Income Statement'!P6</f>
        <v>18384.327270400001</v>
      </c>
      <c r="R6" s="52">
        <f>(1+Assumptions!X5)*'Income Statement'!Q6</f>
        <v>19119.700361216001</v>
      </c>
    </row>
    <row r="7" spans="1:23">
      <c r="B7" t="s">
        <v>319</v>
      </c>
      <c r="C7" s="20">
        <v>18169.3</v>
      </c>
      <c r="D7" s="20">
        <v>16488.3</v>
      </c>
      <c r="E7" s="20">
        <v>15295</v>
      </c>
      <c r="F7" s="20">
        <v>12718.9</v>
      </c>
      <c r="G7" s="20">
        <v>11012.5</v>
      </c>
      <c r="H7" s="20">
        <v>11655.7</v>
      </c>
      <c r="I7" s="20">
        <v>10726.1</v>
      </c>
      <c r="J7" s="20">
        <v>13085.4</v>
      </c>
      <c r="K7" s="20">
        <v>8748</v>
      </c>
      <c r="L7" s="20">
        <v>9741.6</v>
      </c>
      <c r="M7" s="20">
        <v>9782</v>
      </c>
      <c r="N7" s="41">
        <f>(1+Assumptions!T5)*'Income Statement'!M7</f>
        <v>10173.280000000001</v>
      </c>
      <c r="O7" s="41">
        <f>(1+Assumptions!U5)*'Income Statement'!N7</f>
        <v>10580.211200000002</v>
      </c>
      <c r="P7" s="41">
        <f>(1+Assumptions!V5)*'Income Statement'!O7</f>
        <v>11003.419648000003</v>
      </c>
      <c r="Q7" s="41">
        <f>(1+Assumptions!W5)*'Income Statement'!P7</f>
        <v>11443.556433920003</v>
      </c>
      <c r="R7" s="41">
        <f>(1+Assumptions!X5)*'Income Statement'!Q7</f>
        <v>11901.298691276803</v>
      </c>
    </row>
    <row r="8" spans="1:23">
      <c r="A8" s="9"/>
      <c r="B8" t="s">
        <v>320</v>
      </c>
      <c r="C8" s="20">
        <v>0</v>
      </c>
      <c r="D8" s="20">
        <v>0</v>
      </c>
      <c r="E8" s="20">
        <v>0</v>
      </c>
      <c r="F8" s="20">
        <v>0</v>
      </c>
      <c r="G8" s="20">
        <v>232.7</v>
      </c>
      <c r="H8" s="20">
        <v>287.89999999999998</v>
      </c>
      <c r="I8" s="20">
        <v>342.5</v>
      </c>
      <c r="J8" s="20">
        <v>350.1</v>
      </c>
      <c r="K8" s="20">
        <v>328</v>
      </c>
      <c r="L8" s="20">
        <v>315.60000000000002</v>
      </c>
      <c r="M8" s="20">
        <v>423</v>
      </c>
      <c r="N8" s="41">
        <f>(1+Assumptions!T5)*'Income Statement'!M8</f>
        <v>439.92</v>
      </c>
      <c r="O8" s="41">
        <f>(1+Assumptions!U5)*'Income Statement'!N8</f>
        <v>457.51680000000005</v>
      </c>
      <c r="P8" s="41">
        <f>(1+Assumptions!V5)*'Income Statement'!O8</f>
        <v>475.81747200000007</v>
      </c>
      <c r="Q8" s="41">
        <f>(1+Assumptions!W5)*'Income Statement'!P8</f>
        <v>494.85017088000006</v>
      </c>
      <c r="R8" s="41">
        <f>(1+Assumptions!X5)*'Income Statement'!Q8</f>
        <v>514.64417771520004</v>
      </c>
    </row>
    <row r="9" spans="1:23">
      <c r="B9" t="s">
        <v>321</v>
      </c>
      <c r="C9" s="41">
        <f t="shared" ref="C9:L9" si="0">SUM(C6:C8)</f>
        <v>27441.3</v>
      </c>
      <c r="D9" s="41">
        <f t="shared" si="0"/>
        <v>25413</v>
      </c>
      <c r="E9" s="41">
        <f t="shared" si="0"/>
        <v>24621.9</v>
      </c>
      <c r="F9" s="41">
        <f t="shared" si="0"/>
        <v>22820.400000000001</v>
      </c>
      <c r="G9" s="41">
        <f t="shared" ref="G9" si="1">SUM(G6:G8)</f>
        <v>21257.9</v>
      </c>
      <c r="H9" s="41">
        <f t="shared" ref="H9" si="2">SUM(H6:H8)</f>
        <v>21364.400000000001</v>
      </c>
      <c r="I9" s="41">
        <f t="shared" ref="I9:K9" si="3">SUM(I6:I8)</f>
        <v>19207.8</v>
      </c>
      <c r="J9" s="41">
        <f t="shared" si="3"/>
        <v>23222.899999999998</v>
      </c>
      <c r="K9" s="41">
        <f t="shared" si="3"/>
        <v>23182</v>
      </c>
      <c r="L9" s="41">
        <f t="shared" si="0"/>
        <v>25493.699999999997</v>
      </c>
      <c r="M9" s="41">
        <f>SUM(M6:M8)</f>
        <v>25920</v>
      </c>
      <c r="N9" s="41">
        <f t="shared" ref="N9:R9" si="4">SUM(N6:N8)</f>
        <v>26956.799999999999</v>
      </c>
      <c r="O9" s="41">
        <f t="shared" si="4"/>
        <v>28035.072000000004</v>
      </c>
      <c r="P9" s="41">
        <f t="shared" si="4"/>
        <v>29156.474880000002</v>
      </c>
      <c r="Q9" s="41">
        <f t="shared" si="4"/>
        <v>30322.733875200003</v>
      </c>
      <c r="R9" s="41">
        <f t="shared" si="4"/>
        <v>31535.643230208003</v>
      </c>
      <c r="S9" s="52"/>
      <c r="T9" s="52"/>
      <c r="U9" s="52"/>
      <c r="V9" s="52"/>
      <c r="W9" s="52"/>
    </row>
    <row r="10" spans="1:23">
      <c r="B10" t="s">
        <v>61</v>
      </c>
      <c r="C10" s="41">
        <f>Calcs!C48</f>
        <v>15551.198418363419</v>
      </c>
      <c r="D10" s="41">
        <f>Calcs!D48</f>
        <v>14289.784803495384</v>
      </c>
      <c r="E10" s="41">
        <f>Calcs!E48</f>
        <v>13134.087707791472</v>
      </c>
      <c r="F10" s="41">
        <f>Calcs!F48</f>
        <v>11090.471933836421</v>
      </c>
      <c r="G10" s="41">
        <f>Calcs!G48</f>
        <v>9158.1</v>
      </c>
      <c r="H10" s="41">
        <f>Calcs!H48</f>
        <v>8829.6</v>
      </c>
      <c r="I10" s="41">
        <f>Calcs!I48</f>
        <v>8004.9000000000015</v>
      </c>
      <c r="J10" s="41">
        <f>Calcs!J48</f>
        <v>9104.2999999999993</v>
      </c>
      <c r="K10" s="41">
        <f>Calcs!K48</f>
        <v>8474</v>
      </c>
      <c r="L10" s="41">
        <f>Calcs!L48</f>
        <v>9335.2000000000007</v>
      </c>
      <c r="M10" s="41">
        <f>Calcs!M48</f>
        <v>9560</v>
      </c>
      <c r="N10" s="41">
        <f>Assumptions!T6*'Income Statement'!N9</f>
        <v>10243.584000000001</v>
      </c>
      <c r="O10" s="41">
        <f>Assumptions!U6*'Income Statement'!O9</f>
        <v>10653.327360000001</v>
      </c>
      <c r="P10" s="41">
        <f>Assumptions!V6*'Income Statement'!P9</f>
        <v>11079.460454400001</v>
      </c>
      <c r="Q10" s="41">
        <f>Assumptions!W6*'Income Statement'!Q9</f>
        <v>11522.638872576001</v>
      </c>
      <c r="R10" s="41">
        <f>Assumptions!X6*'Income Statement'!R9</f>
        <v>11983.544427479041</v>
      </c>
    </row>
    <row r="11" spans="1:23">
      <c r="A11" s="9" t="s">
        <v>7</v>
      </c>
      <c r="B11" s="8" t="s">
        <v>265</v>
      </c>
      <c r="C11" s="13">
        <f>C9-C10</f>
        <v>11890.10158163658</v>
      </c>
      <c r="D11" s="13">
        <f t="shared" ref="D11:R11" si="5">D9-D10</f>
        <v>11123.215196504616</v>
      </c>
      <c r="E11" s="13">
        <f t="shared" si="5"/>
        <v>11487.812292208529</v>
      </c>
      <c r="F11" s="13">
        <f t="shared" si="5"/>
        <v>11729.92806616358</v>
      </c>
      <c r="G11" s="13">
        <f t="shared" si="5"/>
        <v>12099.800000000001</v>
      </c>
      <c r="H11" s="13">
        <f t="shared" si="5"/>
        <v>12534.800000000001</v>
      </c>
      <c r="I11" s="13">
        <f t="shared" si="5"/>
        <v>11202.899999999998</v>
      </c>
      <c r="J11" s="13">
        <f t="shared" si="5"/>
        <v>14118.599999999999</v>
      </c>
      <c r="K11" s="13">
        <f t="shared" si="5"/>
        <v>14708</v>
      </c>
      <c r="L11" s="13">
        <f t="shared" si="5"/>
        <v>16158.499999999996</v>
      </c>
      <c r="M11" s="13">
        <f t="shared" si="5"/>
        <v>16360</v>
      </c>
      <c r="N11" s="13">
        <f t="shared" si="5"/>
        <v>16713.216</v>
      </c>
      <c r="O11" s="13">
        <f t="shared" si="5"/>
        <v>17381.744640000004</v>
      </c>
      <c r="P11" s="13">
        <f t="shared" si="5"/>
        <v>18077.014425599999</v>
      </c>
      <c r="Q11" s="13">
        <f t="shared" si="5"/>
        <v>18800.095002624003</v>
      </c>
      <c r="R11" s="13">
        <f t="shared" si="5"/>
        <v>19552.098802728964</v>
      </c>
    </row>
    <row r="12" spans="1:23">
      <c r="B12" t="s">
        <v>327</v>
      </c>
      <c r="C12" s="20">
        <v>18.600000000000001</v>
      </c>
      <c r="D12" s="20">
        <v>209.4</v>
      </c>
      <c r="E12" s="20">
        <v>75.7</v>
      </c>
      <c r="F12" s="20">
        <v>-1163.2</v>
      </c>
      <c r="G12" s="20">
        <v>-190</v>
      </c>
      <c r="H12" s="20">
        <v>-120</v>
      </c>
      <c r="I12" s="20">
        <v>-118</v>
      </c>
      <c r="J12" s="20">
        <v>-483</v>
      </c>
      <c r="K12" s="20">
        <v>974</v>
      </c>
      <c r="L12" s="20">
        <v>99</v>
      </c>
      <c r="M12" s="20">
        <v>139</v>
      </c>
      <c r="N12" s="41">
        <f>Assumptions!T8*'Income Statement'!N9</f>
        <v>134.78399999999999</v>
      </c>
      <c r="O12" s="41">
        <f>Assumptions!U8*'Income Statement'!O9</f>
        <v>140.17536000000001</v>
      </c>
      <c r="P12" s="41">
        <f>Assumptions!V8*'Income Statement'!P9</f>
        <v>145.78237440000001</v>
      </c>
      <c r="Q12" s="41">
        <f>Assumptions!W8*'Income Statement'!Q9</f>
        <v>151.61366937600002</v>
      </c>
      <c r="R12" s="41">
        <f>Assumptions!X8*'Income Statement'!R9</f>
        <v>157.67821615104</v>
      </c>
    </row>
    <row r="13" spans="1:23">
      <c r="B13" t="s">
        <v>367</v>
      </c>
      <c r="C13" s="20">
        <f>Calcs!C38</f>
        <v>2277.8015816365833</v>
      </c>
      <c r="D13" s="20">
        <f>Calcs!D38</f>
        <v>2212.6151965046161</v>
      </c>
      <c r="E13" s="20">
        <f>Calcs!E38</f>
        <v>2151.1122922085265</v>
      </c>
      <c r="F13" s="20">
        <f>Calcs!F38</f>
        <v>1977.0280661635798</v>
      </c>
      <c r="G13" s="20">
        <v>1985</v>
      </c>
      <c r="H13" s="20">
        <v>1967</v>
      </c>
      <c r="I13" s="20">
        <v>2245</v>
      </c>
      <c r="J13" s="20">
        <v>2378</v>
      </c>
      <c r="K13" s="20">
        <v>2492</v>
      </c>
      <c r="L13" s="20">
        <v>2435</v>
      </c>
      <c r="M13" s="20">
        <v>2412</v>
      </c>
      <c r="N13" s="41">
        <f>Assumptions!T7*'Income Statement'!N9</f>
        <v>2695.6800000000003</v>
      </c>
      <c r="O13" s="41">
        <f>Assumptions!U7*'Income Statement'!O9</f>
        <v>2803.5072000000005</v>
      </c>
      <c r="P13" s="41">
        <f>Assumptions!V7*'Income Statement'!P9</f>
        <v>2915.6474880000005</v>
      </c>
      <c r="Q13" s="41">
        <f>Assumptions!W7*'Income Statement'!Q9</f>
        <v>3032.2733875200006</v>
      </c>
      <c r="R13" s="41">
        <f>Assumptions!X7*'Income Statement'!R9</f>
        <v>3153.5643230208007</v>
      </c>
    </row>
    <row r="14" spans="1:23">
      <c r="A14" s="9" t="s">
        <v>7</v>
      </c>
      <c r="B14" s="8" t="s">
        <v>28</v>
      </c>
      <c r="C14" s="13">
        <f>C11-C12-C13</f>
        <v>9593.6999999999971</v>
      </c>
      <c r="D14" s="13">
        <f>D11-D12-D13</f>
        <v>8701.2000000000007</v>
      </c>
      <c r="E14" s="13">
        <f t="shared" ref="E14:N14" si="6">E11-E12-E13</f>
        <v>9261.0000000000018</v>
      </c>
      <c r="F14" s="13">
        <f t="shared" si="6"/>
        <v>10916.100000000002</v>
      </c>
      <c r="G14" s="13">
        <f t="shared" si="6"/>
        <v>10304.800000000001</v>
      </c>
      <c r="H14" s="13">
        <f t="shared" si="6"/>
        <v>10687.800000000001</v>
      </c>
      <c r="I14" s="13">
        <f t="shared" si="6"/>
        <v>9075.8999999999978</v>
      </c>
      <c r="J14" s="13">
        <f t="shared" si="6"/>
        <v>12223.599999999999</v>
      </c>
      <c r="K14" s="13">
        <f t="shared" si="6"/>
        <v>11242</v>
      </c>
      <c r="L14" s="13">
        <f t="shared" si="6"/>
        <v>13624.499999999996</v>
      </c>
      <c r="M14" s="13">
        <f t="shared" si="6"/>
        <v>13809</v>
      </c>
      <c r="N14" s="13">
        <f t="shared" si="6"/>
        <v>13882.752</v>
      </c>
      <c r="O14" s="13">
        <f t="shared" ref="O14:R14" si="7">O11-O12-O13</f>
        <v>14438.062080000003</v>
      </c>
      <c r="P14" s="13">
        <f t="shared" si="7"/>
        <v>15015.584563199996</v>
      </c>
      <c r="Q14" s="13">
        <f t="shared" si="7"/>
        <v>15616.207945728</v>
      </c>
      <c r="R14" s="13">
        <f t="shared" si="7"/>
        <v>16240.856263557125</v>
      </c>
    </row>
    <row r="15" spans="1:23">
      <c r="B15" t="s">
        <v>363</v>
      </c>
      <c r="C15" s="20">
        <f>Calcs!C33</f>
        <v>210.09841836341693</v>
      </c>
      <c r="D15" s="20">
        <f>Calcs!D33</f>
        <v>221.68480349538433</v>
      </c>
      <c r="E15" s="20">
        <f>Calcs!E33</f>
        <v>233.38770779147353</v>
      </c>
      <c r="F15" s="20">
        <f>Calcs!F33</f>
        <v>254.27193383642046</v>
      </c>
      <c r="G15" s="20">
        <v>214.8</v>
      </c>
      <c r="H15" s="20">
        <v>262.5</v>
      </c>
      <c r="I15" s="20">
        <v>300.60000000000002</v>
      </c>
      <c r="J15" s="20">
        <v>329.7</v>
      </c>
      <c r="K15" s="20">
        <v>370</v>
      </c>
      <c r="L15" s="20">
        <v>382</v>
      </c>
      <c r="M15" s="20">
        <v>447</v>
      </c>
      <c r="N15" s="41">
        <f>Calcs!N22</f>
        <v>0</v>
      </c>
      <c r="O15" s="41">
        <f>Calcs!O22</f>
        <v>0</v>
      </c>
      <c r="P15" s="41">
        <f>Calcs!P22</f>
        <v>0</v>
      </c>
      <c r="Q15" s="41">
        <f>Calcs!Q22</f>
        <v>0</v>
      </c>
      <c r="R15" s="41">
        <f>Calcs!R22</f>
        <v>0</v>
      </c>
    </row>
    <row r="16" spans="1:23">
      <c r="B16" t="s">
        <v>364</v>
      </c>
      <c r="C16" s="20">
        <f>Calcs!C23</f>
        <v>1434.4015816365832</v>
      </c>
      <c r="D16" s="20">
        <f>Calcs!D23</f>
        <v>1334.0151965046157</v>
      </c>
      <c r="E16" s="20">
        <f>Calcs!E23</f>
        <v>1283.1122922085265</v>
      </c>
      <c r="F16" s="20">
        <f>Calcs!F23</f>
        <v>1109.1280661635797</v>
      </c>
      <c r="G16" s="20">
        <f>Calcs!G23</f>
        <v>1267.2</v>
      </c>
      <c r="H16" s="20">
        <f>Calcs!H23</f>
        <v>1355.4</v>
      </c>
      <c r="I16" s="20">
        <f>Calcs!I23</f>
        <v>1450.8000000000002</v>
      </c>
      <c r="J16" s="20">
        <f>Calcs!J23</f>
        <v>1538.3999999999999</v>
      </c>
      <c r="K16" s="20">
        <f>Calcs!K23</f>
        <v>1501</v>
      </c>
      <c r="L16" s="20">
        <f>Calcs!L23</f>
        <v>1596</v>
      </c>
      <c r="M16" s="20">
        <f>Calcs!M23</f>
        <v>1650</v>
      </c>
      <c r="N16" s="41">
        <f>Calcs!N23</f>
        <v>0</v>
      </c>
      <c r="O16" s="41">
        <f>Calcs!O23</f>
        <v>0</v>
      </c>
      <c r="P16" s="41">
        <f>Calcs!P23</f>
        <v>0</v>
      </c>
      <c r="Q16" s="41">
        <f>Calcs!Q23</f>
        <v>0</v>
      </c>
      <c r="R16" s="41">
        <f>Calcs!R23</f>
        <v>0</v>
      </c>
    </row>
    <row r="17" spans="1:18">
      <c r="B17" t="s">
        <v>371</v>
      </c>
      <c r="C17" s="41">
        <f>SUM(C15:C16)</f>
        <v>1644.5</v>
      </c>
      <c r="D17" s="41">
        <f t="shared" ref="D17:M17" si="8">SUM(D15:D16)</f>
        <v>1555.7</v>
      </c>
      <c r="E17" s="41">
        <f t="shared" si="8"/>
        <v>1516.5</v>
      </c>
      <c r="F17" s="41">
        <f t="shared" si="8"/>
        <v>1363.4</v>
      </c>
      <c r="G17" s="41">
        <f t="shared" si="8"/>
        <v>1482</v>
      </c>
      <c r="H17" s="41">
        <f t="shared" si="8"/>
        <v>1617.9</v>
      </c>
      <c r="I17" s="41">
        <f t="shared" si="8"/>
        <v>1751.4</v>
      </c>
      <c r="J17" s="41">
        <f t="shared" si="8"/>
        <v>1868.1</v>
      </c>
      <c r="K17" s="41">
        <f t="shared" si="8"/>
        <v>1871</v>
      </c>
      <c r="L17" s="41">
        <f t="shared" si="8"/>
        <v>1978</v>
      </c>
      <c r="M17" s="41">
        <f t="shared" si="8"/>
        <v>2097</v>
      </c>
      <c r="N17" s="40">
        <f>Calcs!N17</f>
        <v>2156.5439999999999</v>
      </c>
      <c r="O17" s="40">
        <f>Calcs!O17</f>
        <v>2329.0675200000001</v>
      </c>
      <c r="P17" s="40">
        <f>Calcs!P17</f>
        <v>2515.3929216000001</v>
      </c>
      <c r="Q17" s="40">
        <f>Calcs!Q17</f>
        <v>2716.6243553280005</v>
      </c>
      <c r="R17" s="40">
        <f>Calcs!R17</f>
        <v>2933.9543037542408</v>
      </c>
    </row>
    <row r="18" spans="1:18">
      <c r="A18" s="9" t="s">
        <v>7</v>
      </c>
      <c r="B18" s="8" t="s">
        <v>368</v>
      </c>
      <c r="C18" s="13">
        <f>C14-C17</f>
        <v>7949.1999999999971</v>
      </c>
      <c r="D18" s="13">
        <f t="shared" ref="D18:R18" si="9">D14-D17</f>
        <v>7145.5000000000009</v>
      </c>
      <c r="E18" s="13">
        <f t="shared" si="9"/>
        <v>7744.5000000000018</v>
      </c>
      <c r="F18" s="13">
        <f t="shared" si="9"/>
        <v>9552.7000000000025</v>
      </c>
      <c r="G18" s="13">
        <f t="shared" si="9"/>
        <v>8822.8000000000011</v>
      </c>
      <c r="H18" s="13">
        <f t="shared" si="9"/>
        <v>9069.9000000000015</v>
      </c>
      <c r="I18" s="13">
        <f t="shared" si="9"/>
        <v>7324.4999999999982</v>
      </c>
      <c r="J18" s="13">
        <f t="shared" si="9"/>
        <v>10355.499999999998</v>
      </c>
      <c r="K18" s="13">
        <f t="shared" si="9"/>
        <v>9371</v>
      </c>
      <c r="L18" s="13">
        <f t="shared" si="9"/>
        <v>11646.499999999996</v>
      </c>
      <c r="M18" s="13">
        <f t="shared" si="9"/>
        <v>11712</v>
      </c>
      <c r="N18" s="13">
        <f>N14-N17</f>
        <v>11726.208000000001</v>
      </c>
      <c r="O18" s="13">
        <f t="shared" si="9"/>
        <v>12108.994560000003</v>
      </c>
      <c r="P18" s="13">
        <f t="shared" si="9"/>
        <v>12500.191641599997</v>
      </c>
      <c r="Q18" s="13">
        <f t="shared" si="9"/>
        <v>12899.5835904</v>
      </c>
      <c r="R18" s="13">
        <f t="shared" si="9"/>
        <v>13306.901959802884</v>
      </c>
    </row>
    <row r="19" spans="1:18">
      <c r="B19" t="s">
        <v>330</v>
      </c>
      <c r="C19" s="20">
        <v>576.4</v>
      </c>
      <c r="D19" s="20">
        <v>638.29999999999995</v>
      </c>
      <c r="E19" s="20">
        <v>884.8</v>
      </c>
      <c r="F19" s="20">
        <v>921.3</v>
      </c>
      <c r="G19" s="20">
        <v>981.2</v>
      </c>
      <c r="H19" s="20">
        <v>1121.9000000000001</v>
      </c>
      <c r="I19" s="20">
        <v>1218.0999999999999</v>
      </c>
      <c r="J19" s="20">
        <v>1185.8</v>
      </c>
      <c r="K19" s="20">
        <v>1207</v>
      </c>
      <c r="L19" s="20">
        <v>1361</v>
      </c>
      <c r="M19" s="20">
        <v>1506</v>
      </c>
      <c r="N19" s="41">
        <f ca="1">Debt!E103</f>
        <v>1565.8048656280685</v>
      </c>
      <c r="O19" s="41">
        <f ca="1">Debt!F103</f>
        <v>1457.5938506283808</v>
      </c>
      <c r="P19" s="41">
        <f ca="1">Debt!G103</f>
        <v>1333.7571185882571</v>
      </c>
      <c r="Q19" s="41">
        <f ca="1">Debt!H103</f>
        <v>1217.0820107105537</v>
      </c>
      <c r="R19" s="41">
        <f ca="1">Debt!I103</f>
        <v>1144.3172280564263</v>
      </c>
    </row>
    <row r="20" spans="1:18">
      <c r="B20" t="s">
        <v>436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41">
        <f ca="1">Debt!E114</f>
        <v>46.80655520393455</v>
      </c>
      <c r="O20" s="41">
        <f>Debt!F114</f>
        <v>145.17854207999997</v>
      </c>
      <c r="P20" s="41">
        <f>Debt!G114</f>
        <v>150.9856837632</v>
      </c>
      <c r="Q20" s="41">
        <f>Debt!H114</f>
        <v>157.025111113728</v>
      </c>
      <c r="R20" s="41">
        <f>Debt!I114</f>
        <v>163.30611555827713</v>
      </c>
    </row>
    <row r="21" spans="1:18">
      <c r="B21" t="s">
        <v>331</v>
      </c>
      <c r="C21" s="20">
        <v>0.8</v>
      </c>
      <c r="D21" s="20">
        <v>-48.5</v>
      </c>
      <c r="E21" s="20">
        <v>-6.3</v>
      </c>
      <c r="F21" s="20">
        <v>57.9</v>
      </c>
      <c r="G21" s="20">
        <v>25.3</v>
      </c>
      <c r="H21" s="20">
        <v>-70.2</v>
      </c>
      <c r="I21" s="20">
        <v>-34.799999999999997</v>
      </c>
      <c r="J21" s="20">
        <v>42.3</v>
      </c>
      <c r="K21" s="20">
        <v>339</v>
      </c>
      <c r="L21" s="20">
        <v>-236</v>
      </c>
      <c r="M21" s="20">
        <v>-139</v>
      </c>
      <c r="N21" s="41">
        <f>Assumptions!T10*'Income Statement'!MN9</f>
        <v>0</v>
      </c>
      <c r="O21" s="41">
        <f>Assumptions!U10*'Income Statement'!MO9</f>
        <v>0</v>
      </c>
      <c r="P21" s="41">
        <f>Assumptions!V10*'Income Statement'!MP9</f>
        <v>0</v>
      </c>
      <c r="Q21" s="41">
        <f>Assumptions!W10*'Income Statement'!MQ9</f>
        <v>0</v>
      </c>
      <c r="R21" s="41">
        <f>Assumptions!X10*'Income Statement'!MR9</f>
        <v>0</v>
      </c>
    </row>
    <row r="22" spans="1:18">
      <c r="A22" s="9" t="s">
        <v>7</v>
      </c>
      <c r="B22" s="8" t="s">
        <v>332</v>
      </c>
      <c r="C22" s="13">
        <f t="shared" ref="C22:L22" si="10">C18-C19-C21</f>
        <v>7371.9999999999973</v>
      </c>
      <c r="D22" s="13">
        <f t="shared" si="10"/>
        <v>6555.7000000000007</v>
      </c>
      <c r="E22" s="13">
        <f t="shared" si="10"/>
        <v>6866.0000000000018</v>
      </c>
      <c r="F22" s="13">
        <f t="shared" si="10"/>
        <v>8573.5000000000036</v>
      </c>
      <c r="G22" s="13">
        <f t="shared" ref="G22" si="11">G18-G19-G21</f>
        <v>7816.3000000000011</v>
      </c>
      <c r="H22" s="13">
        <f t="shared" ref="H22" si="12">H18-H19-H21</f>
        <v>8018.2000000000016</v>
      </c>
      <c r="I22" s="13">
        <f t="shared" ref="I22:K22" si="13">I18-I19-I21</f>
        <v>6141.199999999998</v>
      </c>
      <c r="J22" s="13">
        <f t="shared" si="13"/>
        <v>9127.4</v>
      </c>
      <c r="K22" s="13">
        <f t="shared" si="13"/>
        <v>7825</v>
      </c>
      <c r="L22" s="13">
        <f t="shared" si="10"/>
        <v>10521.499999999996</v>
      </c>
      <c r="M22" s="13">
        <f>M18-M19-M21</f>
        <v>10345</v>
      </c>
      <c r="N22" s="13">
        <f ca="1">N18-N19-N21-N20</f>
        <v>10113.596579167997</v>
      </c>
      <c r="O22" s="13">
        <f t="shared" ref="O22:R22" ca="1" si="14">O18-O19-O21-O20</f>
        <v>10506.222167291622</v>
      </c>
      <c r="P22" s="13">
        <f t="shared" ca="1" si="14"/>
        <v>11015.44883924854</v>
      </c>
      <c r="Q22" s="13">
        <f t="shared" ca="1" si="14"/>
        <v>11525.476468575718</v>
      </c>
      <c r="R22" s="13">
        <f t="shared" ca="1" si="14"/>
        <v>11999.278616188181</v>
      </c>
    </row>
    <row r="23" spans="1:18">
      <c r="B23" t="s">
        <v>19</v>
      </c>
      <c r="C23" s="20">
        <v>2614.1999999999998</v>
      </c>
      <c r="D23" s="20">
        <v>2026.4</v>
      </c>
      <c r="E23" s="20">
        <v>2179.5</v>
      </c>
      <c r="F23" s="20">
        <v>3381.2</v>
      </c>
      <c r="G23" s="20">
        <v>1891.8</v>
      </c>
      <c r="H23" s="20">
        <v>1992.7</v>
      </c>
      <c r="I23" s="20">
        <v>1410.2</v>
      </c>
      <c r="J23" s="20">
        <v>1582.7</v>
      </c>
      <c r="K23" s="20">
        <v>1648</v>
      </c>
      <c r="L23" s="20">
        <v>2053</v>
      </c>
      <c r="M23" s="20">
        <v>2121</v>
      </c>
      <c r="N23" s="41">
        <f ca="1">Assumptions!T11*N22</f>
        <v>1820.4473842502396</v>
      </c>
      <c r="O23" s="41">
        <f ca="1">Assumptions!U11*O22</f>
        <v>1891.1199901124919</v>
      </c>
      <c r="P23" s="41">
        <f ca="1">Assumptions!V11*P22</f>
        <v>1982.7807910647371</v>
      </c>
      <c r="Q23" s="41">
        <f ca="1">Assumptions!W11*Q22</f>
        <v>2074.5857643436293</v>
      </c>
      <c r="R23" s="41">
        <f ca="1">Assumptions!X11*R22</f>
        <v>2159.8701509138727</v>
      </c>
    </row>
    <row r="24" spans="1:18">
      <c r="A24" s="9" t="s">
        <v>7</v>
      </c>
      <c r="B24" s="8" t="s">
        <v>48</v>
      </c>
      <c r="C24" s="13">
        <f t="shared" ref="C24:L24" si="15">C22-C23</f>
        <v>4757.7999999999975</v>
      </c>
      <c r="D24" s="13">
        <f t="shared" si="15"/>
        <v>4529.3000000000011</v>
      </c>
      <c r="E24" s="13">
        <f t="shared" si="15"/>
        <v>4686.5000000000018</v>
      </c>
      <c r="F24" s="13">
        <f t="shared" si="15"/>
        <v>5192.3000000000038</v>
      </c>
      <c r="G24" s="13">
        <f t="shared" si="15"/>
        <v>5924.5000000000009</v>
      </c>
      <c r="H24" s="13">
        <f t="shared" si="15"/>
        <v>6025.5000000000018</v>
      </c>
      <c r="I24" s="13">
        <f>I22-I23</f>
        <v>4730.9999999999982</v>
      </c>
      <c r="J24" s="13">
        <f t="shared" ref="J24:K24" si="16">J22-J23</f>
        <v>7544.7</v>
      </c>
      <c r="K24" s="13">
        <f t="shared" si="16"/>
        <v>6177</v>
      </c>
      <c r="L24" s="13">
        <f t="shared" si="15"/>
        <v>8468.4999999999964</v>
      </c>
      <c r="M24" s="13">
        <f>M22-M23</f>
        <v>8224</v>
      </c>
      <c r="N24" s="13">
        <f t="shared" ref="N24:R24" ca="1" si="17">N22-N23</f>
        <v>8293.149194917758</v>
      </c>
      <c r="O24" s="13">
        <f t="shared" ca="1" si="17"/>
        <v>8615.1021771791311</v>
      </c>
      <c r="P24" s="13">
        <f t="shared" ca="1" si="17"/>
        <v>9032.668048183803</v>
      </c>
      <c r="Q24" s="13">
        <f t="shared" ca="1" si="17"/>
        <v>9450.8907042320898</v>
      </c>
      <c r="R24" s="13">
        <f t="shared" ca="1" si="17"/>
        <v>9839.4084652743077</v>
      </c>
    </row>
    <row r="25" spans="1:18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>
      <c r="B26" s="8"/>
    </row>
    <row r="27" spans="1:18">
      <c r="A27" s="9" t="s">
        <v>7</v>
      </c>
      <c r="B27" s="1" t="s">
        <v>20</v>
      </c>
    </row>
    <row r="28" spans="1:18">
      <c r="B28" s="16" t="s">
        <v>21</v>
      </c>
      <c r="C28" s="17">
        <f t="shared" ref="C28:L28" si="18">C24/C32</f>
        <v>4.8524222335543064</v>
      </c>
      <c r="D28" s="17">
        <f t="shared" si="18"/>
        <v>4.8214817968916339</v>
      </c>
      <c r="E28" s="17">
        <f t="shared" si="18"/>
        <v>5.4851357677902648</v>
      </c>
      <c r="F28" s="17">
        <f t="shared" si="18"/>
        <v>6.4308892742135297</v>
      </c>
      <c r="G28" s="17">
        <f t="shared" si="18"/>
        <v>7.6130814700591118</v>
      </c>
      <c r="H28" s="17">
        <f t="shared" si="18"/>
        <v>7.948159873367632</v>
      </c>
      <c r="I28" s="17">
        <f t="shared" si="18"/>
        <v>6.3537469782433496</v>
      </c>
      <c r="J28" s="17">
        <f t="shared" si="18"/>
        <v>10.109473402117111</v>
      </c>
      <c r="K28" s="17">
        <f>K24/K32</f>
        <v>8.3869653767820775</v>
      </c>
      <c r="L28" s="17">
        <f t="shared" si="18"/>
        <v>11.634153043000408</v>
      </c>
      <c r="M28" s="17">
        <f>M24/M32</f>
        <v>11.449255185855494</v>
      </c>
      <c r="N28" s="17">
        <f t="shared" ref="N28:R28" ca="1" si="19">N24/N32</f>
        <v>11.545523033436947</v>
      </c>
      <c r="O28" s="17">
        <f t="shared" ca="1" si="19"/>
        <v>11.993738239146779</v>
      </c>
      <c r="P28" s="17">
        <f t="shared" ca="1" si="19"/>
        <v>12.575063411087015</v>
      </c>
      <c r="Q28" s="17">
        <f t="shared" ca="1" si="19"/>
        <v>13.157302943383113</v>
      </c>
      <c r="R28" s="17">
        <f t="shared" ca="1" si="19"/>
        <v>13.698188034629414</v>
      </c>
    </row>
    <row r="29" spans="1:18">
      <c r="B29" s="16" t="s">
        <v>22</v>
      </c>
      <c r="C29" s="17">
        <f t="shared" ref="C29:L29" si="20">C24/C33</f>
        <v>4.8238872553989633</v>
      </c>
      <c r="D29" s="17">
        <f t="shared" si="20"/>
        <v>4.7949396569976717</v>
      </c>
      <c r="E29" s="17">
        <f t="shared" si="20"/>
        <v>5.4418253599628441</v>
      </c>
      <c r="F29" s="17">
        <f t="shared" si="20"/>
        <v>6.3670141017780546</v>
      </c>
      <c r="G29" s="17">
        <f t="shared" si="20"/>
        <v>7.5413696537678216</v>
      </c>
      <c r="H29" s="17">
        <f t="shared" si="20"/>
        <v>7.8775003268401127</v>
      </c>
      <c r="I29" s="17">
        <f t="shared" si="20"/>
        <v>6.3071590454606028</v>
      </c>
      <c r="J29" s="17">
        <f t="shared" si="20"/>
        <v>10.035514764565045</v>
      </c>
      <c r="K29" s="17">
        <f>K24/K33</f>
        <v>8.3326588425738564</v>
      </c>
      <c r="L29" s="17">
        <f t="shared" si="20"/>
        <v>11.564249624470841</v>
      </c>
      <c r="M29" s="17">
        <f>M24/M33</f>
        <v>11.392159578889043</v>
      </c>
      <c r="N29" s="17">
        <f t="shared" ref="N29:R29" ca="1" si="21">N24/N33</f>
        <v>11.487947354090259</v>
      </c>
      <c r="O29" s="17">
        <f t="shared" ca="1" si="21"/>
        <v>11.933927382156991</v>
      </c>
      <c r="P29" s="17">
        <f t="shared" ca="1" si="21"/>
        <v>12.512353578312513</v>
      </c>
      <c r="Q29" s="17">
        <f t="shared" ca="1" si="21"/>
        <v>13.091689575054842</v>
      </c>
      <c r="R29" s="17">
        <f t="shared" ca="1" si="21"/>
        <v>13.629877358739865</v>
      </c>
    </row>
    <row r="31" spans="1:18">
      <c r="A31" s="9" t="s">
        <v>7</v>
      </c>
      <c r="B31" s="1" t="s">
        <v>23</v>
      </c>
    </row>
    <row r="32" spans="1:18">
      <c r="B32" s="16" t="s">
        <v>21</v>
      </c>
      <c r="C32" s="20">
        <v>980.5</v>
      </c>
      <c r="D32" s="20">
        <v>939.4</v>
      </c>
      <c r="E32" s="20">
        <v>854.4</v>
      </c>
      <c r="F32" s="20">
        <v>807.4</v>
      </c>
      <c r="G32" s="20">
        <v>778.2</v>
      </c>
      <c r="H32" s="20">
        <v>758.1</v>
      </c>
      <c r="I32" s="20">
        <v>744.6</v>
      </c>
      <c r="J32" s="20">
        <v>746.3</v>
      </c>
      <c r="K32" s="20">
        <v>736.5</v>
      </c>
      <c r="L32" s="20">
        <v>727.9</v>
      </c>
      <c r="M32" s="20">
        <v>718.3</v>
      </c>
      <c r="N32" s="40">
        <f>M32</f>
        <v>718.3</v>
      </c>
      <c r="O32" s="40">
        <f t="shared" ref="O32:R32" si="22">N32</f>
        <v>718.3</v>
      </c>
      <c r="P32" s="40">
        <f t="shared" si="22"/>
        <v>718.3</v>
      </c>
      <c r="Q32" s="40">
        <f t="shared" si="22"/>
        <v>718.3</v>
      </c>
      <c r="R32" s="40">
        <f t="shared" si="22"/>
        <v>718.3</v>
      </c>
    </row>
    <row r="33" spans="2:18">
      <c r="B33" s="16" t="s">
        <v>22</v>
      </c>
      <c r="C33" s="20">
        <v>986.3</v>
      </c>
      <c r="D33" s="20">
        <v>944.6</v>
      </c>
      <c r="E33" s="20">
        <v>861.2</v>
      </c>
      <c r="F33" s="20">
        <v>815.5</v>
      </c>
      <c r="G33" s="20">
        <v>785.6</v>
      </c>
      <c r="H33" s="20">
        <v>764.9</v>
      </c>
      <c r="I33" s="20">
        <v>750.1</v>
      </c>
      <c r="J33" s="20">
        <v>751.8</v>
      </c>
      <c r="K33" s="20">
        <v>741.3</v>
      </c>
      <c r="L33" s="20">
        <v>732.3</v>
      </c>
      <c r="M33" s="20">
        <v>721.9</v>
      </c>
      <c r="N33" s="40">
        <f>M33</f>
        <v>721.9</v>
      </c>
      <c r="O33" s="40">
        <f t="shared" ref="O33:R33" si="23">N33</f>
        <v>721.9</v>
      </c>
      <c r="P33" s="40">
        <f t="shared" si="23"/>
        <v>721.9</v>
      </c>
      <c r="Q33" s="40">
        <f t="shared" si="23"/>
        <v>721.9</v>
      </c>
      <c r="R33" s="40">
        <f t="shared" si="23"/>
        <v>721.9</v>
      </c>
    </row>
  </sheetData>
  <pageMargins left="0.7" right="0.7" top="0.75" bottom="0.75" header="0.3" footer="0.3"/>
  <pageSetup scale="7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BC04-8FC2-4C7F-93B7-FF317377ED19}">
  <sheetPr>
    <pageSetUpPr fitToPage="1"/>
  </sheetPr>
  <dimension ref="A1:T38"/>
  <sheetViews>
    <sheetView workbookViewId="0">
      <selection activeCell="F10" sqref="F10"/>
    </sheetView>
    <sheetView workbookViewId="1">
      <selection activeCell="H13" sqref="H13"/>
    </sheetView>
  </sheetViews>
  <sheetFormatPr defaultColWidth="6.58203125" defaultRowHeight="12.5"/>
  <cols>
    <col min="1" max="1" width="11.08203125" style="64" bestFit="1" customWidth="1"/>
    <col min="2" max="4" width="9.08203125" style="64" customWidth="1"/>
    <col min="5" max="5" width="9.1640625" style="64" bestFit="1" customWidth="1"/>
    <col min="6" max="10" width="9.08203125" style="64" customWidth="1"/>
    <col min="11" max="11" width="13.4140625" style="64" bestFit="1" customWidth="1"/>
    <col min="12" max="12" width="10.08203125" style="64" bestFit="1" customWidth="1"/>
    <col min="13" max="13" width="9.08203125" style="64" customWidth="1"/>
    <col min="14" max="14" width="6.58203125" style="64"/>
    <col min="15" max="15" width="7.1640625" style="64" bestFit="1" customWidth="1"/>
    <col min="16" max="16" width="7.58203125" style="64" bestFit="1" customWidth="1"/>
    <col min="17" max="16384" width="6.58203125" style="64"/>
  </cols>
  <sheetData>
    <row r="1" spans="1:20" ht="25">
      <c r="A1" s="62" t="s">
        <v>395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14.5">
      <c r="B2" s="6" t="s">
        <v>328</v>
      </c>
    </row>
    <row r="3" spans="1:20" ht="13" thickBot="1"/>
    <row r="4" spans="1:20" ht="14.5" thickBot="1">
      <c r="A4" s="65" t="s">
        <v>121</v>
      </c>
      <c r="L4" s="72" t="s">
        <v>125</v>
      </c>
    </row>
    <row r="5" spans="1:20" ht="14">
      <c r="A5" s="65"/>
      <c r="J5" s="70" t="s">
        <v>394</v>
      </c>
      <c r="L5" s="102">
        <v>316.45</v>
      </c>
    </row>
    <row r="6" spans="1:20" ht="14">
      <c r="A6" s="65" t="s">
        <v>122</v>
      </c>
      <c r="J6" s="70" t="s">
        <v>123</v>
      </c>
      <c r="L6" s="101">
        <v>727.9</v>
      </c>
    </row>
    <row r="7" spans="1:20" ht="14">
      <c r="G7" s="105"/>
      <c r="J7" s="71" t="s">
        <v>124</v>
      </c>
      <c r="L7" s="13">
        <f>L5*L6</f>
        <v>230343.95499999999</v>
      </c>
    </row>
    <row r="8" spans="1:20" ht="13.5" thickBot="1">
      <c r="A8" s="66" t="s">
        <v>110</v>
      </c>
      <c r="B8" s="66" t="s">
        <v>111</v>
      </c>
      <c r="C8" s="66" t="s">
        <v>112</v>
      </c>
      <c r="D8" s="66" t="s">
        <v>113</v>
      </c>
      <c r="E8" s="66" t="s">
        <v>114</v>
      </c>
      <c r="F8" s="66" t="s">
        <v>115</v>
      </c>
      <c r="G8" s="66" t="s">
        <v>116</v>
      </c>
      <c r="H8" s="66" t="s">
        <v>117</v>
      </c>
    </row>
    <row r="9" spans="1:20" ht="14.5" thickBot="1">
      <c r="A9" s="238">
        <f>F9+0.45%</f>
        <v>4.5499999999999999E-2</v>
      </c>
      <c r="B9" s="239">
        <f>Assumptions!$T$11</f>
        <v>0.18</v>
      </c>
      <c r="C9" s="67">
        <f>L20-192</f>
        <v>38424</v>
      </c>
      <c r="D9" s="67">
        <f>L7</f>
        <v>230343.95499999999</v>
      </c>
      <c r="E9" s="64">
        <f>SUM(C9:D9)</f>
        <v>268767.95499999996</v>
      </c>
      <c r="F9" s="236">
        <v>4.1000000000000002E-2</v>
      </c>
      <c r="G9" s="237">
        <v>0.56999999999999995</v>
      </c>
      <c r="H9" s="236">
        <v>4.1200000000000001E-2</v>
      </c>
      <c r="L9" s="72">
        <v>45657</v>
      </c>
      <c r="M9" s="73" t="s">
        <v>126</v>
      </c>
    </row>
    <row r="10" spans="1:20" ht="14">
      <c r="J10" s="18"/>
      <c r="K10" s="18" t="s">
        <v>401</v>
      </c>
      <c r="L10" s="20">
        <v>24134</v>
      </c>
      <c r="M10" s="51">
        <v>4.2000000000000003E-2</v>
      </c>
    </row>
    <row r="11" spans="1:20" ht="14">
      <c r="C11" s="66" t="s">
        <v>112</v>
      </c>
      <c r="D11" s="66" t="s">
        <v>113</v>
      </c>
      <c r="J11" s="18"/>
      <c r="K11" s="18" t="s">
        <v>402</v>
      </c>
      <c r="L11" s="20">
        <v>1290</v>
      </c>
      <c r="M11" s="51">
        <v>5.7000000000000002E-2</v>
      </c>
    </row>
    <row r="12" spans="1:20" ht="14">
      <c r="A12" s="64" t="s">
        <v>118</v>
      </c>
      <c r="C12" s="68">
        <f>C9/E9</f>
        <v>0.14296347196599388</v>
      </c>
      <c r="D12" s="68">
        <f>D9/E9</f>
        <v>0.85703652803400621</v>
      </c>
      <c r="J12" s="18"/>
      <c r="K12" s="18" t="s">
        <v>403</v>
      </c>
      <c r="L12" s="20">
        <v>8875</v>
      </c>
      <c r="M12" s="51">
        <v>2.5000000000000001E-2</v>
      </c>
    </row>
    <row r="13" spans="1:20" ht="14">
      <c r="A13" s="64" t="s">
        <v>119</v>
      </c>
      <c r="C13" s="81"/>
      <c r="D13" s="81"/>
      <c r="J13" s="18"/>
      <c r="K13" s="18" t="s">
        <v>404</v>
      </c>
      <c r="L13" s="20">
        <v>311</v>
      </c>
      <c r="M13" s="51">
        <v>5.2999999999999999E-2</v>
      </c>
    </row>
    <row r="14" spans="1:20" ht="14.5" thickBot="1">
      <c r="K14" s="18" t="s">
        <v>405</v>
      </c>
      <c r="L14" s="20">
        <v>371</v>
      </c>
      <c r="M14" s="51">
        <v>3.6999999999999998E-2</v>
      </c>
    </row>
    <row r="15" spans="1:20" ht="14.5" thickBot="1">
      <c r="A15" s="69" t="s">
        <v>120</v>
      </c>
      <c r="B15" s="103">
        <f>(A9*(1-B9)*C12)+(((F9+(G9*H9))*D12))</f>
        <v>6.0599110612796089E-2</v>
      </c>
      <c r="K15" s="18" t="s">
        <v>407</v>
      </c>
      <c r="L15" s="20">
        <v>1559</v>
      </c>
      <c r="M15" s="51">
        <v>4.1000000000000002E-2</v>
      </c>
    </row>
    <row r="16" spans="1:20" ht="14">
      <c r="K16" s="18" t="s">
        <v>409</v>
      </c>
      <c r="L16" s="20">
        <v>1390</v>
      </c>
      <c r="M16" s="51">
        <v>0.04</v>
      </c>
    </row>
    <row r="17" spans="10:13" ht="14">
      <c r="K17" s="18" t="s">
        <v>408</v>
      </c>
      <c r="L17" s="20">
        <v>79</v>
      </c>
      <c r="M17" s="51">
        <v>2.9000000000000001E-2</v>
      </c>
    </row>
    <row r="18" spans="10:13" ht="14">
      <c r="K18" s="18" t="s">
        <v>411</v>
      </c>
      <c r="L18" s="20">
        <v>605</v>
      </c>
      <c r="M18" s="51">
        <v>1.2E-2</v>
      </c>
    </row>
    <row r="19" spans="10:13" ht="14">
      <c r="K19" s="18" t="s">
        <v>412</v>
      </c>
      <c r="L19" s="20">
        <v>2</v>
      </c>
      <c r="M19" s="51">
        <v>7.0000000000000001E-3</v>
      </c>
    </row>
    <row r="20" spans="10:13" ht="14.5">
      <c r="J20" s="75"/>
      <c r="L20" s="13">
        <f>SUM(L10:L19)</f>
        <v>38616</v>
      </c>
      <c r="M20" s="74">
        <f>SUMPRODUCT(L10:L19,M10:M19)/L20</f>
        <v>3.80237984255231E-2</v>
      </c>
    </row>
    <row r="21" spans="10:13" ht="14.5">
      <c r="J21" s="75"/>
      <c r="K21" s="18" t="s">
        <v>415</v>
      </c>
      <c r="L21" s="242">
        <v>192</v>
      </c>
      <c r="M21" s="241"/>
    </row>
    <row r="22" spans="10:13" ht="14">
      <c r="J22" s="8" t="s">
        <v>83</v>
      </c>
      <c r="L22" s="13">
        <f>L20-L21</f>
        <v>38424</v>
      </c>
    </row>
    <row r="24" spans="10:13" ht="14.5">
      <c r="J24" s="75" t="s">
        <v>130</v>
      </c>
    </row>
    <row r="25" spans="10:13" ht="14.5">
      <c r="J25" s="75"/>
    </row>
    <row r="26" spans="10:13" ht="14.5">
      <c r="J26" s="75"/>
    </row>
    <row r="27" spans="10:13" ht="14.5">
      <c r="J27" s="75"/>
    </row>
    <row r="32" spans="10:13" ht="14.5">
      <c r="J32" s="75"/>
    </row>
    <row r="34" spans="1:13" ht="13" thickBot="1"/>
    <row r="35" spans="1:13" ht="14">
      <c r="A35" s="18"/>
      <c r="B35" s="76">
        <v>41639</v>
      </c>
      <c r="C35" s="7">
        <v>42004</v>
      </c>
      <c r="D35" s="7">
        <v>42369</v>
      </c>
      <c r="E35" s="7">
        <v>42735</v>
      </c>
      <c r="F35" s="7">
        <v>43100</v>
      </c>
      <c r="G35" s="7">
        <v>43465</v>
      </c>
      <c r="H35" s="7">
        <v>43830</v>
      </c>
      <c r="I35" s="7">
        <v>44196</v>
      </c>
      <c r="J35" s="46">
        <v>44561</v>
      </c>
      <c r="K35" s="47">
        <v>44926</v>
      </c>
      <c r="L35" s="47">
        <v>45291</v>
      </c>
      <c r="M35" s="47">
        <v>45657</v>
      </c>
    </row>
    <row r="36" spans="1:13" ht="14">
      <c r="A36" s="18" t="s">
        <v>127</v>
      </c>
      <c r="B36" s="77">
        <v>7120.7</v>
      </c>
      <c r="C36" s="77">
        <v>6730.3</v>
      </c>
      <c r="D36" s="77">
        <v>6539.1</v>
      </c>
      <c r="E36" s="77">
        <v>6059.6</v>
      </c>
      <c r="F36" s="77">
        <v>5521.2</v>
      </c>
      <c r="G36" s="77">
        <v>6966.7</v>
      </c>
      <c r="H36" s="77">
        <v>8122.1</v>
      </c>
      <c r="I36" s="77">
        <v>6265.2</v>
      </c>
      <c r="J36" s="77">
        <v>9141.5</v>
      </c>
      <c r="K36" s="77">
        <v>7386.7</v>
      </c>
      <c r="L36" s="77">
        <v>9611.9</v>
      </c>
      <c r="M36" s="77">
        <v>9447</v>
      </c>
    </row>
    <row r="37" spans="1:13" ht="14">
      <c r="A37" s="18" t="s">
        <v>128</v>
      </c>
      <c r="B37" s="78">
        <f>STDEV(B36:M36)</f>
        <v>1371.9869382716079</v>
      </c>
      <c r="C37" s="18"/>
      <c r="D37" s="18"/>
      <c r="E37" s="18"/>
      <c r="F37" s="18"/>
      <c r="G37" s="18"/>
      <c r="H37" s="18"/>
      <c r="I37" s="18"/>
      <c r="J37" s="18"/>
      <c r="M37" s="18"/>
    </row>
    <row r="38" spans="1:13" ht="14">
      <c r="A38" s="18" t="s">
        <v>129</v>
      </c>
      <c r="B38" s="78">
        <f>AVERAGE(B36:M36)</f>
        <v>7409.3333333333321</v>
      </c>
      <c r="M38" s="18"/>
    </row>
  </sheetData>
  <pageMargins left="0.7" right="0.7" top="0.75" bottom="0.75" header="0.3" footer="0.3"/>
  <pageSetup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DFE7-7A0B-49E2-A796-67E5ACFEDFE6}">
  <sheetPr>
    <pageSetUpPr fitToPage="1"/>
  </sheetPr>
  <dimension ref="A1:Z82"/>
  <sheetViews>
    <sheetView workbookViewId="0">
      <pane xSplit="2" ySplit="4" topLeftCell="F27" activePane="bottomRight" state="frozen"/>
      <selection pane="topRight" activeCell="C1" sqref="C1"/>
      <selection pane="bottomLeft" activeCell="A5" sqref="A5"/>
      <selection pane="bottomRight" activeCell="AD46" sqref="AD46"/>
    </sheetView>
    <sheetView workbookViewId="1">
      <pane xSplit="2" ySplit="4" topLeftCell="M52" activePane="bottomRight" state="frozen"/>
      <selection pane="topRight" activeCell="C1" sqref="C1"/>
      <selection pane="bottomLeft" activeCell="A5" sqref="A5"/>
      <selection pane="bottomRight" activeCell="M78" sqref="M78:R82"/>
    </sheetView>
  </sheetViews>
  <sheetFormatPr defaultRowHeight="14" outlineLevelRow="1" outlineLevelCol="1"/>
  <cols>
    <col min="1" max="1" width="4.58203125" customWidth="1"/>
    <col min="2" max="2" width="36.6640625" bestFit="1" customWidth="1"/>
    <col min="3" max="10" width="8.1640625" customWidth="1" outlineLevel="1"/>
    <col min="11" max="13" width="8.1640625" bestFit="1" customWidth="1"/>
    <col min="14" max="18" width="9.4140625" bestFit="1" customWidth="1"/>
    <col min="19" max="19" width="8.6640625" hidden="1" customWidth="1" outlineLevel="1"/>
    <col min="20" max="20" width="14.4140625" hidden="1" customWidth="1" outlineLevel="1"/>
    <col min="21" max="21" width="11.4140625" hidden="1" customWidth="1" outlineLevel="1"/>
    <col min="22" max="23" width="8.6640625" hidden="1" customWidth="1" outlineLevel="1"/>
    <col min="24" max="25" width="0" hidden="1" customWidth="1" outlineLevel="1"/>
    <col min="26" max="26" width="8.6640625" collapsed="1"/>
  </cols>
  <sheetData>
    <row r="1" spans="1:23" ht="30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3" ht="15" thickBot="1">
      <c r="B2" s="6" t="s">
        <v>328</v>
      </c>
      <c r="N2" s="22"/>
    </row>
    <row r="3" spans="1:23" ht="14.5" thickBot="1">
      <c r="K3" s="43" t="s">
        <v>68</v>
      </c>
      <c r="L3" s="44"/>
      <c r="M3" s="45"/>
      <c r="N3" s="43" t="s">
        <v>69</v>
      </c>
      <c r="O3" s="44"/>
      <c r="P3" s="44"/>
      <c r="Q3" s="44"/>
      <c r="R3" s="45"/>
    </row>
    <row r="4" spans="1:23">
      <c r="C4" s="7">
        <v>42004</v>
      </c>
      <c r="D4" s="7">
        <v>42369</v>
      </c>
      <c r="E4" s="7">
        <v>42735</v>
      </c>
      <c r="F4" s="7">
        <v>43100</v>
      </c>
      <c r="G4" s="7">
        <v>43465</v>
      </c>
      <c r="H4" s="7">
        <v>43830</v>
      </c>
      <c r="I4" s="7">
        <v>44196</v>
      </c>
      <c r="J4" s="46">
        <v>44561</v>
      </c>
      <c r="K4" s="47">
        <v>44926</v>
      </c>
      <c r="L4" s="47">
        <v>45291</v>
      </c>
      <c r="M4" s="47">
        <v>45657</v>
      </c>
      <c r="N4" s="47">
        <v>46022</v>
      </c>
      <c r="O4" s="47">
        <v>46387</v>
      </c>
      <c r="P4" s="47">
        <v>46752</v>
      </c>
      <c r="Q4" s="47">
        <v>47118</v>
      </c>
      <c r="R4" s="47">
        <v>47483</v>
      </c>
    </row>
    <row r="5" spans="1:23" ht="14.5" thickBot="1">
      <c r="B5" s="1" t="s">
        <v>24</v>
      </c>
      <c r="C5" s="18"/>
      <c r="D5" s="18"/>
      <c r="E5" s="18"/>
      <c r="F5" s="18"/>
      <c r="G5" s="18"/>
      <c r="H5" s="18"/>
      <c r="I5" s="18"/>
      <c r="J5" s="18"/>
      <c r="K5" s="48"/>
      <c r="L5" s="48"/>
      <c r="M5" s="49"/>
      <c r="N5" s="48"/>
      <c r="O5" s="48"/>
      <c r="P5" s="48"/>
      <c r="Q5" s="48"/>
      <c r="R5" s="48"/>
      <c r="U5" s="36"/>
    </row>
    <row r="6" spans="1:23" ht="19.5" customHeight="1" thickBot="1">
      <c r="B6" t="s">
        <v>439</v>
      </c>
      <c r="C6" s="19">
        <v>2077.9</v>
      </c>
      <c r="D6" s="19">
        <v>7685.5</v>
      </c>
      <c r="E6" s="19">
        <v>1223.4000000000001</v>
      </c>
      <c r="F6" s="19">
        <v>2463.8000000000002</v>
      </c>
      <c r="G6" s="19">
        <v>866</v>
      </c>
      <c r="H6" s="19">
        <v>898.5</v>
      </c>
      <c r="I6" s="19">
        <v>3449.1</v>
      </c>
      <c r="J6" s="19">
        <v>4709.2</v>
      </c>
      <c r="K6" s="19">
        <v>2583.8000000000002</v>
      </c>
      <c r="L6" s="19">
        <v>4579</v>
      </c>
      <c r="M6" s="19">
        <v>1085</v>
      </c>
      <c r="N6" s="54">
        <f>Assumptions!T22*'Income Statement'!N9</f>
        <v>3234.8159999999998</v>
      </c>
      <c r="O6" s="54">
        <f>Assumptions!U22*'Income Statement'!O9</f>
        <v>3364.2086400000003</v>
      </c>
      <c r="P6" s="54">
        <f>Assumptions!V22*'Income Statement'!P9</f>
        <v>3498.7769856</v>
      </c>
      <c r="Q6" s="54">
        <f>Assumptions!W22*'Income Statement'!Q9</f>
        <v>3638.7280650240004</v>
      </c>
      <c r="R6" s="54">
        <f>Assumptions!X22*'Income Statement'!R9</f>
        <v>3784.2771876249603</v>
      </c>
      <c r="S6" s="244"/>
      <c r="T6" s="2">
        <v>2026</v>
      </c>
      <c r="U6" s="22"/>
    </row>
    <row r="7" spans="1:23" ht="19.5" customHeight="1">
      <c r="B7" t="s">
        <v>197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37">
        <f ca="1">IF('Cash Flow Statement'!F49&gt;0,'Cash Flow Statement'!F49,0)</f>
        <v>0</v>
      </c>
      <c r="O7" s="37">
        <f ca="1">IF('Cash Flow Statement'!G49&gt;0,'Cash Flow Statement'!G49,0)</f>
        <v>0</v>
      </c>
      <c r="P7" s="37">
        <f ca="1">IF('Cash Flow Statement'!H49&gt;0,'Cash Flow Statement'!H49,0)</f>
        <v>0</v>
      </c>
      <c r="Q7" s="37">
        <f ca="1">IF('Cash Flow Statement'!I49&gt;0,'Cash Flow Statement'!I49,0)</f>
        <v>359.99642208392333</v>
      </c>
      <c r="R7" s="37">
        <f ca="1">IF('Cash Flow Statement'!J49&gt;0,'Cash Flow Statement'!J49,0)</f>
        <v>1689.2294203777897</v>
      </c>
      <c r="S7" s="244"/>
      <c r="U7" s="17"/>
    </row>
    <row r="8" spans="1:23" ht="19.5" customHeight="1">
      <c r="B8" t="s">
        <v>334</v>
      </c>
      <c r="C8" s="20">
        <v>1214.4000000000001</v>
      </c>
      <c r="D8" s="20">
        <v>1298.7</v>
      </c>
      <c r="E8" s="20">
        <v>1474.1</v>
      </c>
      <c r="F8" s="20">
        <v>1976.2</v>
      </c>
      <c r="G8" s="20">
        <v>2441.5</v>
      </c>
      <c r="H8" s="20">
        <v>2224.1999999999998</v>
      </c>
      <c r="I8" s="20">
        <v>2110.3000000000002</v>
      </c>
      <c r="J8" s="20">
        <v>1872.4</v>
      </c>
      <c r="K8" s="20">
        <v>2115</v>
      </c>
      <c r="L8" s="20">
        <v>2488</v>
      </c>
      <c r="M8" s="20">
        <v>2383</v>
      </c>
      <c r="N8" s="142">
        <f>Assumptions!T23*'Income Statement'!N9</f>
        <v>2506.9823999999999</v>
      </c>
      <c r="O8" s="142">
        <f>Assumptions!U23*'Income Statement'!O9</f>
        <v>2607.2616960000005</v>
      </c>
      <c r="P8" s="142">
        <f>Assumptions!V23*'Income Statement'!P9</f>
        <v>2711.55216384</v>
      </c>
      <c r="Q8" s="142">
        <f>Assumptions!W23*'Income Statement'!Q9</f>
        <v>2820.0142503936004</v>
      </c>
      <c r="R8" s="142">
        <f>Assumptions!X23*'Income Statement'!R9</f>
        <v>2932.8148204093441</v>
      </c>
      <c r="S8" s="234" t="s">
        <v>441</v>
      </c>
      <c r="T8" s="22">
        <f>-(O8-N8)</f>
        <v>-100.27929600000061</v>
      </c>
      <c r="U8" s="22"/>
    </row>
    <row r="9" spans="1:23" ht="19.5" customHeight="1">
      <c r="B9" t="s">
        <v>335</v>
      </c>
      <c r="C9" s="20">
        <v>110</v>
      </c>
      <c r="D9" s="20">
        <v>100.1</v>
      </c>
      <c r="E9" s="20">
        <v>58.9</v>
      </c>
      <c r="F9" s="20">
        <v>58.8</v>
      </c>
      <c r="G9" s="20">
        <v>51.1</v>
      </c>
      <c r="H9" s="20">
        <v>50.2</v>
      </c>
      <c r="I9" s="20">
        <v>51.1</v>
      </c>
      <c r="J9" s="20">
        <v>55.6</v>
      </c>
      <c r="K9" s="20">
        <v>52</v>
      </c>
      <c r="L9" s="20">
        <v>53</v>
      </c>
      <c r="M9" s="12">
        <v>56</v>
      </c>
      <c r="N9" s="142">
        <f>Assumptions!T24*'Income Statement'!N10</f>
        <v>61.461504000000005</v>
      </c>
      <c r="O9" s="142">
        <f>Assumptions!U24*'Income Statement'!O10</f>
        <v>63.919964160000006</v>
      </c>
      <c r="P9" s="142">
        <f>Assumptions!V24*'Income Statement'!P10</f>
        <v>66.476762726400011</v>
      </c>
      <c r="Q9" s="142">
        <f>Assumptions!W24*'Income Statement'!Q10</f>
        <v>69.135833235456005</v>
      </c>
      <c r="R9" s="142">
        <f>Assumptions!X24*'Income Statement'!R10</f>
        <v>71.901266564874248</v>
      </c>
      <c r="S9" s="233"/>
      <c r="T9" s="22">
        <f>-(O9-N9)</f>
        <v>-2.4584601600000013</v>
      </c>
      <c r="U9" s="22"/>
    </row>
    <row r="10" spans="1:23" ht="19.5" customHeight="1">
      <c r="B10" t="s">
        <v>336</v>
      </c>
      <c r="C10" s="20">
        <v>783.2</v>
      </c>
      <c r="D10" s="20">
        <v>558.70000000000005</v>
      </c>
      <c r="E10" s="20">
        <v>565.20000000000005</v>
      </c>
      <c r="F10" s="20">
        <v>828.4</v>
      </c>
      <c r="G10" s="20">
        <v>694.6</v>
      </c>
      <c r="H10" s="20">
        <v>385</v>
      </c>
      <c r="I10" s="20">
        <v>632.70000000000005</v>
      </c>
      <c r="J10" s="20">
        <v>511.3</v>
      </c>
      <c r="K10" s="20">
        <v>673.4</v>
      </c>
      <c r="L10" s="20">
        <v>866</v>
      </c>
      <c r="M10" s="12">
        <v>1074</v>
      </c>
      <c r="N10" s="142">
        <f>Assumptions!T25*'Income Statement'!N9</f>
        <v>889.57439999999997</v>
      </c>
      <c r="O10" s="142">
        <f>Assumptions!U25*'Income Statement'!O9</f>
        <v>925.15737600000011</v>
      </c>
      <c r="P10" s="142">
        <f>Assumptions!V25*'Income Statement'!P9</f>
        <v>962.16367104000005</v>
      </c>
      <c r="Q10" s="142">
        <f>Assumptions!W25*'Income Statement'!Q9</f>
        <v>1000.6502178816002</v>
      </c>
      <c r="R10" s="142">
        <f>Assumptions!X25*'Income Statement'!R9</f>
        <v>1040.6762265968641</v>
      </c>
      <c r="S10" s="233"/>
      <c r="T10" s="22">
        <f>-(O10-N10)</f>
        <v>-35.582976000000144</v>
      </c>
      <c r="U10" s="22"/>
    </row>
    <row r="11" spans="1:23" ht="19.5" customHeight="1">
      <c r="B11" t="s">
        <v>337</v>
      </c>
      <c r="C11" s="20">
        <v>0</v>
      </c>
      <c r="D11" s="20">
        <v>0</v>
      </c>
      <c r="E11" s="20">
        <v>1527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37">
        <f>M11</f>
        <v>0</v>
      </c>
      <c r="O11" s="37">
        <f t="shared" ref="O11:R11" si="0">N11</f>
        <v>0</v>
      </c>
      <c r="P11" s="37">
        <f t="shared" si="0"/>
        <v>0</v>
      </c>
      <c r="Q11" s="37">
        <f t="shared" si="0"/>
        <v>0</v>
      </c>
      <c r="R11" s="37">
        <f t="shared" si="0"/>
        <v>0</v>
      </c>
      <c r="S11" s="232" t="s">
        <v>440</v>
      </c>
    </row>
    <row r="12" spans="1:23" ht="19.5" customHeight="1">
      <c r="A12" s="9" t="s">
        <v>7</v>
      </c>
      <c r="B12" s="8" t="s">
        <v>4</v>
      </c>
      <c r="C12" s="13">
        <f>SUM(C6:C11)</f>
        <v>4185.5</v>
      </c>
      <c r="D12" s="13">
        <f t="shared" ref="D12:R12" si="1">SUM(D6:D11)</f>
        <v>9643.0000000000018</v>
      </c>
      <c r="E12" s="13">
        <f t="shared" si="1"/>
        <v>4848.6000000000004</v>
      </c>
      <c r="F12" s="13">
        <f t="shared" si="1"/>
        <v>5327.2</v>
      </c>
      <c r="G12" s="13">
        <f t="shared" si="1"/>
        <v>4053.2</v>
      </c>
      <c r="H12" s="13">
        <f t="shared" si="1"/>
        <v>3557.8999999999996</v>
      </c>
      <c r="I12" s="13">
        <f t="shared" si="1"/>
        <v>6243.2</v>
      </c>
      <c r="J12" s="13">
        <f t="shared" si="1"/>
        <v>7148.5000000000009</v>
      </c>
      <c r="K12" s="13">
        <f t="shared" si="1"/>
        <v>5424.2</v>
      </c>
      <c r="L12" s="13">
        <f t="shared" si="1"/>
        <v>7986</v>
      </c>
      <c r="M12" s="13">
        <f t="shared" si="1"/>
        <v>4598</v>
      </c>
      <c r="N12" s="13">
        <f t="shared" ca="1" si="1"/>
        <v>6692.834304</v>
      </c>
      <c r="O12" s="13">
        <f t="shared" ca="1" si="1"/>
        <v>6960.5476761600003</v>
      </c>
      <c r="P12" s="13">
        <f t="shared" ca="1" si="1"/>
        <v>7238.9695832063999</v>
      </c>
      <c r="Q12" s="13">
        <f t="shared" ca="1" si="1"/>
        <v>7888.5247886185798</v>
      </c>
      <c r="R12" s="13">
        <f t="shared" ca="1" si="1"/>
        <v>9518.8989215738329</v>
      </c>
    </row>
    <row r="13" spans="1:23" ht="19.5" customHeight="1">
      <c r="B13" t="s">
        <v>338</v>
      </c>
      <c r="C13" s="20">
        <v>1004.5</v>
      </c>
      <c r="D13" s="20">
        <v>792.7</v>
      </c>
      <c r="E13" s="20">
        <v>725.9</v>
      </c>
      <c r="F13" s="20">
        <v>1085.7</v>
      </c>
      <c r="G13" s="20">
        <v>1202.8</v>
      </c>
      <c r="H13" s="20">
        <v>1270.3</v>
      </c>
      <c r="I13" s="20">
        <v>1297.2</v>
      </c>
      <c r="J13" s="20">
        <v>1201.2</v>
      </c>
      <c r="K13" s="20">
        <v>1064.5</v>
      </c>
      <c r="L13" s="20">
        <v>1080</v>
      </c>
      <c r="M13" s="12">
        <v>2710</v>
      </c>
      <c r="N13" s="142">
        <f>Assumptions!T29*'Income Statement'!N9</f>
        <v>1671.3216</v>
      </c>
      <c r="O13" s="142">
        <f>Assumptions!U29*'Income Statement'!O9</f>
        <v>1738.1744640000002</v>
      </c>
      <c r="P13" s="142">
        <f>Assumptions!V29*'Income Statement'!P9</f>
        <v>1807.70144256</v>
      </c>
      <c r="Q13" s="142">
        <f>Assumptions!W29*'Income Statement'!Q9</f>
        <v>1880.0095002624003</v>
      </c>
      <c r="R13" s="142">
        <f>Assumptions!X29*'Income Statement'!R9</f>
        <v>1955.2098802728963</v>
      </c>
      <c r="S13" s="231" t="s">
        <v>442</v>
      </c>
      <c r="T13" s="22">
        <f>-(O13-N13)</f>
        <v>-66.852864000000181</v>
      </c>
      <c r="U13" s="22"/>
    </row>
    <row r="14" spans="1:23" ht="19.5" customHeight="1">
      <c r="B14" t="s">
        <v>5</v>
      </c>
      <c r="C14" s="20">
        <v>2735.3</v>
      </c>
      <c r="D14" s="20">
        <v>2516.3000000000002</v>
      </c>
      <c r="E14" s="20">
        <v>2336.5</v>
      </c>
      <c r="F14" s="20">
        <v>2379.6999999999998</v>
      </c>
      <c r="G14" s="20">
        <v>2331.5</v>
      </c>
      <c r="H14" s="20">
        <v>2677.4</v>
      </c>
      <c r="I14" s="20">
        <v>2773.1</v>
      </c>
      <c r="J14" s="20">
        <v>2782.5</v>
      </c>
      <c r="K14" s="20">
        <v>2900.4</v>
      </c>
      <c r="L14" s="20">
        <v>3040</v>
      </c>
      <c r="M14" s="12">
        <v>3145</v>
      </c>
      <c r="N14" s="37">
        <f>Assumptions!T30</f>
        <v>3145</v>
      </c>
      <c r="O14" s="37">
        <f>Assumptions!U30</f>
        <v>3145</v>
      </c>
      <c r="P14" s="37">
        <f>Assumptions!V30</f>
        <v>3145</v>
      </c>
      <c r="Q14" s="37">
        <f>Assumptions!W30</f>
        <v>3145</v>
      </c>
      <c r="R14" s="37">
        <f>Assumptions!X30</f>
        <v>3145</v>
      </c>
      <c r="S14" s="232"/>
    </row>
    <row r="15" spans="1:23" ht="19.5" customHeight="1">
      <c r="B15" t="s">
        <v>339</v>
      </c>
      <c r="C15" s="20">
        <v>1744.6</v>
      </c>
      <c r="D15" s="20">
        <v>1869.1</v>
      </c>
      <c r="E15" s="20">
        <v>1855.3</v>
      </c>
      <c r="F15" s="20">
        <v>2562.8000000000002</v>
      </c>
      <c r="G15" s="20">
        <v>2381</v>
      </c>
      <c r="H15" s="20">
        <v>2584</v>
      </c>
      <c r="I15" s="20">
        <v>3527.4</v>
      </c>
      <c r="J15" s="20">
        <v>4449.5</v>
      </c>
      <c r="K15" s="20">
        <v>4707.2</v>
      </c>
      <c r="L15" s="20">
        <v>5618</v>
      </c>
      <c r="M15" s="12">
        <v>6095</v>
      </c>
      <c r="N15" s="142">
        <f>Assumptions!T31*'Income Statement'!N9</f>
        <v>5660.9279999999999</v>
      </c>
      <c r="O15" s="142">
        <f>Assumptions!U31*'Income Statement'!O9</f>
        <v>5887.3651200000004</v>
      </c>
      <c r="P15" s="142">
        <f>Assumptions!V31*'Income Statement'!P9</f>
        <v>6122.8597248000005</v>
      </c>
      <c r="Q15" s="142">
        <f>Assumptions!W31*'Income Statement'!Q9</f>
        <v>6367.7741137920002</v>
      </c>
      <c r="R15" s="142">
        <f>Assumptions!X31*'Income Statement'!R9</f>
        <v>6622.4850783436805</v>
      </c>
      <c r="S15" s="231"/>
      <c r="T15" s="22">
        <f>-(O15-N15)</f>
        <v>-226.4371200000005</v>
      </c>
      <c r="U15" s="22"/>
    </row>
    <row r="16" spans="1:23" ht="18" customHeight="1">
      <c r="B16" t="s">
        <v>356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13261.2</v>
      </c>
      <c r="I16" s="20">
        <v>13827.7</v>
      </c>
      <c r="J16" s="20">
        <v>13552</v>
      </c>
      <c r="K16" s="20">
        <v>12565.7</v>
      </c>
      <c r="L16" s="20">
        <v>13514</v>
      </c>
      <c r="M16" s="12">
        <v>13339</v>
      </c>
      <c r="N16" s="37">
        <f>Assumptions!T32</f>
        <v>13339</v>
      </c>
      <c r="O16" s="37">
        <f>Assumptions!U32</f>
        <v>13339</v>
      </c>
      <c r="P16" s="37">
        <f>Assumptions!V32</f>
        <v>13339</v>
      </c>
      <c r="Q16" s="37">
        <f>Assumptions!W32</f>
        <v>13339</v>
      </c>
      <c r="R16" s="37">
        <f>Assumptions!X32</f>
        <v>13339</v>
      </c>
      <c r="S16" s="232"/>
      <c r="T16" t="s">
        <v>463</v>
      </c>
      <c r="U16" s="245">
        <f>Calcs!O16</f>
        <v>2607.2616960000005</v>
      </c>
      <c r="V16" t="s">
        <v>464</v>
      </c>
      <c r="W16" s="22">
        <f>Calcs!O17</f>
        <v>2329.0675200000001</v>
      </c>
    </row>
    <row r="17" spans="1:22" ht="19.5" customHeight="1">
      <c r="B17" t="s">
        <v>380</v>
      </c>
      <c r="C17" s="40">
        <f>'Balance Sheet Historical'!C18</f>
        <v>24557.5</v>
      </c>
      <c r="D17" s="40">
        <f>'Balance Sheet Historical'!D18</f>
        <v>23117.600000000002</v>
      </c>
      <c r="E17" s="40">
        <f>'Balance Sheet Historical'!E18</f>
        <v>21257.600000000002</v>
      </c>
      <c r="F17" s="40">
        <f>'Balance Sheet Historical'!F18</f>
        <v>22448.300000000003</v>
      </c>
      <c r="G17" s="40">
        <f>'Balance Sheet Historical'!G18</f>
        <v>22842.699999999997</v>
      </c>
      <c r="H17" s="40">
        <f>'Balance Sheet Historical'!H18</f>
        <v>24160</v>
      </c>
      <c r="I17" s="40">
        <f>'Balance Sheet Historical'!I18</f>
        <v>24958.2</v>
      </c>
      <c r="J17" s="40">
        <f>'Balance Sheet Historical'!J18</f>
        <v>24720.6</v>
      </c>
      <c r="K17" s="40">
        <f>'Balance Sheet Historical'!K18</f>
        <v>23773.599999999999</v>
      </c>
      <c r="L17" s="40">
        <f>'Balance Sheet Historical'!L18</f>
        <v>24908</v>
      </c>
      <c r="M17" s="40">
        <f>'Balance Sheet Historical'!M18</f>
        <v>25295</v>
      </c>
      <c r="N17" s="37">
        <f>Calcs!N18</f>
        <v>25645.438399999999</v>
      </c>
      <c r="O17" s="37">
        <f>Calcs!O18</f>
        <v>25923.632576</v>
      </c>
      <c r="P17" s="37">
        <f>Calcs!P18</f>
        <v>26119.791818239999</v>
      </c>
      <c r="Q17" s="37">
        <f>Calcs!Q18</f>
        <v>26223.181713305599</v>
      </c>
      <c r="R17" s="37">
        <f>Calcs!R18</f>
        <v>26222.042229960702</v>
      </c>
      <c r="T17" s="22"/>
      <c r="U17" s="22">
        <f>-U16+W16</f>
        <v>-278.19417600000043</v>
      </c>
      <c r="V17" s="22"/>
    </row>
    <row r="18" spans="1:22" ht="19.5" customHeight="1">
      <c r="A18" s="9" t="s">
        <v>7</v>
      </c>
      <c r="B18" s="8" t="s">
        <v>6</v>
      </c>
      <c r="C18" s="13">
        <f>SUM(C12:C17)</f>
        <v>34227.4</v>
      </c>
      <c r="D18" s="13">
        <f t="shared" ref="D18:R18" si="2">SUM(D12:D17)</f>
        <v>37938.700000000004</v>
      </c>
      <c r="E18" s="13">
        <f t="shared" si="2"/>
        <v>31023.9</v>
      </c>
      <c r="F18" s="13">
        <f t="shared" si="2"/>
        <v>33803.699999999997</v>
      </c>
      <c r="G18" s="13">
        <f t="shared" si="2"/>
        <v>32811.199999999997</v>
      </c>
      <c r="H18" s="13">
        <f t="shared" si="2"/>
        <v>47510.8</v>
      </c>
      <c r="I18" s="13">
        <f t="shared" si="2"/>
        <v>52626.8</v>
      </c>
      <c r="J18" s="13">
        <f t="shared" si="2"/>
        <v>53854.3</v>
      </c>
      <c r="K18" s="13">
        <f t="shared" si="2"/>
        <v>50435.6</v>
      </c>
      <c r="L18" s="13">
        <f>SUM(L12:L17)+1</f>
        <v>56147</v>
      </c>
      <c r="M18" s="13">
        <f t="shared" si="2"/>
        <v>55182</v>
      </c>
      <c r="N18" s="13">
        <f t="shared" ca="1" si="2"/>
        <v>56154.522303999998</v>
      </c>
      <c r="O18" s="13">
        <f t="shared" ca="1" si="2"/>
        <v>56993.719836160002</v>
      </c>
      <c r="P18" s="13">
        <f t="shared" ca="1" si="2"/>
        <v>57773.322568806398</v>
      </c>
      <c r="Q18" s="13">
        <f t="shared" ca="1" si="2"/>
        <v>58843.49011597858</v>
      </c>
      <c r="R18" s="13">
        <f t="shared" ca="1" si="2"/>
        <v>60802.636110151114</v>
      </c>
      <c r="U18" s="22"/>
    </row>
    <row r="19" spans="1:22" ht="19.5" customHeight="1">
      <c r="C19" s="18"/>
      <c r="D19" s="18"/>
      <c r="E19" s="18"/>
      <c r="F19" s="18"/>
      <c r="G19" s="18"/>
      <c r="H19" s="18"/>
      <c r="I19" s="18"/>
      <c r="J19" s="18"/>
      <c r="K19" s="18"/>
      <c r="L19" s="18"/>
      <c r="U19" s="22"/>
    </row>
    <row r="20" spans="1:22" ht="19.5" customHeight="1">
      <c r="B20" s="1" t="s">
        <v>25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22" ht="19.5" customHeight="1">
      <c r="B21" t="s">
        <v>8</v>
      </c>
      <c r="C21" s="19">
        <v>860.1</v>
      </c>
      <c r="D21" s="19">
        <v>874.7</v>
      </c>
      <c r="E21" s="19">
        <v>756</v>
      </c>
      <c r="F21" s="19">
        <v>924.8</v>
      </c>
      <c r="G21" s="19">
        <v>1207.9000000000001</v>
      </c>
      <c r="H21" s="19">
        <v>988.2</v>
      </c>
      <c r="I21" s="19">
        <v>741.3</v>
      </c>
      <c r="J21" s="19">
        <v>1006.8</v>
      </c>
      <c r="K21" s="19">
        <v>980.2</v>
      </c>
      <c r="L21" s="19">
        <v>1103</v>
      </c>
      <c r="M21" s="11">
        <v>1029</v>
      </c>
      <c r="N21" s="54">
        <f>Assumptions!T36*'Income Statement'!N10</f>
        <v>1126.7942400000002</v>
      </c>
      <c r="O21" s="54">
        <f>Assumptions!U36*'Income Statement'!O10</f>
        <v>1171.8660096000001</v>
      </c>
      <c r="P21" s="54">
        <f>Assumptions!V36*'Income Statement'!P10</f>
        <v>1218.7406499840001</v>
      </c>
      <c r="Q21" s="54">
        <f>Assumptions!W36*'Income Statement'!Q10</f>
        <v>1267.4902759833601</v>
      </c>
      <c r="R21" s="54">
        <f>Assumptions!X36*'Income Statement'!R10</f>
        <v>1318.1898870226944</v>
      </c>
      <c r="S21" s="234"/>
      <c r="T21" s="22">
        <f>O21-N21</f>
        <v>45.071769599999925</v>
      </c>
      <c r="U21" s="22"/>
    </row>
    <row r="22" spans="1:22" ht="19.5" customHeight="1">
      <c r="B22" t="s">
        <v>357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621</v>
      </c>
      <c r="I22" s="20">
        <v>701.5</v>
      </c>
      <c r="J22" s="19">
        <v>705.5</v>
      </c>
      <c r="K22" s="20">
        <v>661.1</v>
      </c>
      <c r="L22" s="19">
        <v>688</v>
      </c>
      <c r="M22" s="11">
        <v>636</v>
      </c>
      <c r="N22" s="53">
        <f>Assumptions!T37*'Income Statement'!N9</f>
        <v>727.83359999999993</v>
      </c>
      <c r="O22" s="53">
        <f>Assumptions!U37*'Income Statement'!O9</f>
        <v>756.94694400000014</v>
      </c>
      <c r="P22" s="53">
        <f>Assumptions!V37*'Income Statement'!P9</f>
        <v>787.22482176000005</v>
      </c>
      <c r="Q22" s="53">
        <f>Assumptions!W37*'Income Statement'!Q9</f>
        <v>818.71381463040007</v>
      </c>
      <c r="R22" s="53">
        <f>Assumptions!X37*'Income Statement'!R9</f>
        <v>851.46236721561604</v>
      </c>
      <c r="S22" s="234"/>
      <c r="T22" s="22">
        <f t="shared" ref="T22:T26" si="3">O22-N22</f>
        <v>29.113344000000211</v>
      </c>
      <c r="U22" s="22"/>
    </row>
    <row r="23" spans="1:22" ht="19.5" customHeight="1">
      <c r="B23" t="s">
        <v>342</v>
      </c>
      <c r="C23" s="20">
        <v>166.8</v>
      </c>
      <c r="D23" s="20">
        <v>154.80000000000001</v>
      </c>
      <c r="E23" s="20">
        <v>267.2</v>
      </c>
      <c r="F23" s="20">
        <v>265.8</v>
      </c>
      <c r="G23" s="20">
        <v>228.3</v>
      </c>
      <c r="H23" s="20">
        <v>331.7</v>
      </c>
      <c r="I23" s="20">
        <v>741.1</v>
      </c>
      <c r="J23" s="20">
        <v>360.7</v>
      </c>
      <c r="K23" s="20">
        <v>274.89999999999998</v>
      </c>
      <c r="L23" s="20">
        <v>705</v>
      </c>
      <c r="M23" s="12">
        <v>361</v>
      </c>
      <c r="N23" s="53">
        <f>Assumptions!T38*'Income Statement'!N9</f>
        <v>512.17919999999992</v>
      </c>
      <c r="O23" s="53">
        <f>Assumptions!U38*'Income Statement'!O9</f>
        <v>532.66636800000003</v>
      </c>
      <c r="P23" s="53">
        <f>Assumptions!V38*'Income Statement'!P9</f>
        <v>553.97302272000002</v>
      </c>
      <c r="Q23" s="53">
        <f>Assumptions!W38*'Income Statement'!Q9</f>
        <v>576.13194362880006</v>
      </c>
      <c r="R23" s="53">
        <f>Assumptions!X38*'Income Statement'!R9</f>
        <v>599.17722137395208</v>
      </c>
      <c r="S23" s="234"/>
      <c r="T23" s="22">
        <f t="shared" si="3"/>
        <v>20.487168000000111</v>
      </c>
      <c r="U23" s="22"/>
    </row>
    <row r="24" spans="1:22" ht="19.5" customHeight="1">
      <c r="B24" t="s">
        <v>343</v>
      </c>
      <c r="C24" s="20">
        <v>330</v>
      </c>
      <c r="D24" s="20">
        <v>309</v>
      </c>
      <c r="E24" s="20">
        <v>266.3</v>
      </c>
      <c r="F24" s="20">
        <v>275.39999999999998</v>
      </c>
      <c r="G24" s="20">
        <v>253.7</v>
      </c>
      <c r="H24" s="20">
        <v>247.5</v>
      </c>
      <c r="I24" s="20">
        <v>227</v>
      </c>
      <c r="J24" s="20">
        <v>236.7</v>
      </c>
      <c r="K24" s="20">
        <v>255.1</v>
      </c>
      <c r="L24" s="20">
        <v>268</v>
      </c>
      <c r="M24" s="12">
        <v>224</v>
      </c>
      <c r="N24" s="53">
        <f>Assumptions!T39*'Income Statement'!N9</f>
        <v>269.56799999999998</v>
      </c>
      <c r="O24" s="53">
        <f>Assumptions!U39*'Income Statement'!O9</f>
        <v>280.35072000000002</v>
      </c>
      <c r="P24" s="53">
        <f>Assumptions!V39*'Income Statement'!P9</f>
        <v>291.56474880000002</v>
      </c>
      <c r="Q24" s="53">
        <f>Assumptions!W39*'Income Statement'!Q9</f>
        <v>303.22733875200004</v>
      </c>
      <c r="R24" s="53">
        <f>Assumptions!X39*'Income Statement'!R9</f>
        <v>315.35643230208001</v>
      </c>
      <c r="S24" s="234"/>
      <c r="T24" s="22">
        <f t="shared" si="3"/>
        <v>10.78272000000004</v>
      </c>
      <c r="U24" s="22"/>
    </row>
    <row r="25" spans="1:22" ht="19.5" customHeight="1">
      <c r="B25" s="18" t="s">
        <v>344</v>
      </c>
      <c r="C25" s="20">
        <v>233.7</v>
      </c>
      <c r="D25" s="20">
        <v>233.1</v>
      </c>
      <c r="E25" s="20">
        <v>247.5</v>
      </c>
      <c r="F25" s="20">
        <v>278.39999999999998</v>
      </c>
      <c r="G25" s="20">
        <v>297</v>
      </c>
      <c r="H25" s="20">
        <v>337.8</v>
      </c>
      <c r="I25" s="20">
        <v>388.4</v>
      </c>
      <c r="J25" s="20">
        <v>363.3</v>
      </c>
      <c r="K25" s="20">
        <v>393.4</v>
      </c>
      <c r="L25" s="20">
        <v>469</v>
      </c>
      <c r="M25" s="20">
        <v>482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234"/>
      <c r="T25" s="22">
        <f t="shared" si="3"/>
        <v>0</v>
      </c>
    </row>
    <row r="26" spans="1:22" ht="19.5" customHeight="1">
      <c r="B26" t="s">
        <v>345</v>
      </c>
      <c r="C26" s="20">
        <v>1157.3</v>
      </c>
      <c r="D26" s="20">
        <v>1378.8</v>
      </c>
      <c r="E26" s="20">
        <v>1159.3</v>
      </c>
      <c r="F26" s="20">
        <v>1146.2</v>
      </c>
      <c r="G26" s="20">
        <v>986.6</v>
      </c>
      <c r="H26" s="20">
        <v>1035.7</v>
      </c>
      <c r="I26" s="20">
        <v>1138.3</v>
      </c>
      <c r="J26" s="20">
        <v>1347</v>
      </c>
      <c r="K26" s="20">
        <v>1237.4000000000001</v>
      </c>
      <c r="L26" s="20">
        <v>1434</v>
      </c>
      <c r="M26" s="20">
        <v>1129</v>
      </c>
      <c r="N26" s="53">
        <f>Assumptions!T40*'Income Statement'!N9</f>
        <v>1401.7536</v>
      </c>
      <c r="O26" s="53">
        <f>Assumptions!U40*'Income Statement'!O9</f>
        <v>1457.823744</v>
      </c>
      <c r="P26" s="53">
        <f>Assumptions!V40*'Income Statement'!P9</f>
        <v>1516.1366937600001</v>
      </c>
      <c r="Q26" s="53">
        <f>Assumptions!W40*'Income Statement'!Q9</f>
        <v>1576.7821615104001</v>
      </c>
      <c r="R26" s="53">
        <f>Assumptions!X40*'Income Statement'!R9</f>
        <v>1639.853447970816</v>
      </c>
      <c r="S26" s="234"/>
      <c r="T26" s="22">
        <f t="shared" si="3"/>
        <v>56.070144000000028</v>
      </c>
      <c r="U26" s="22"/>
    </row>
    <row r="27" spans="1:22" ht="19.5" customHeight="1">
      <c r="B27" t="s">
        <v>351</v>
      </c>
      <c r="C27" s="20">
        <v>0</v>
      </c>
      <c r="D27" s="20">
        <v>0</v>
      </c>
      <c r="E27" s="20">
        <v>77.2</v>
      </c>
      <c r="F27" s="20">
        <v>0</v>
      </c>
      <c r="G27" s="20">
        <v>0</v>
      </c>
      <c r="H27" s="20">
        <v>59.1</v>
      </c>
      <c r="I27" s="20">
        <v>2243.6</v>
      </c>
      <c r="J27" s="20">
        <v>0</v>
      </c>
      <c r="K27" s="20">
        <v>0</v>
      </c>
      <c r="L27" s="20">
        <v>2192</v>
      </c>
      <c r="M27" s="20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232"/>
      <c r="T27" s="17"/>
      <c r="U27" s="22"/>
    </row>
    <row r="28" spans="1:22" ht="19.5" customHeight="1">
      <c r="B28" t="s">
        <v>352</v>
      </c>
      <c r="C28" s="20">
        <v>0</v>
      </c>
      <c r="D28" s="20">
        <v>0</v>
      </c>
      <c r="E28" s="20">
        <v>694.8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232"/>
      <c r="T28" s="22"/>
    </row>
    <row r="29" spans="1:22" ht="19.5" customHeight="1">
      <c r="B29" t="s">
        <v>416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37">
        <f ca="1">-IF('Cash Flow Statement'!F49&lt;0,'Cash Flow Statement'!F49,0)</f>
        <v>2192.2453089120654</v>
      </c>
      <c r="O29" s="37">
        <f ca="1">-IF('Cash Flow Statement'!G49&lt;0,'Cash Flow Statement'!G49,0)</f>
        <v>1575.7343813021957</v>
      </c>
      <c r="P29" s="37">
        <f ca="1">-IF('Cash Flow Statement'!H49&lt;0,'Cash Flow Statement'!H49,0)</f>
        <v>728.46233082290246</v>
      </c>
      <c r="Q29" s="37">
        <f ca="1">-IF('Cash Flow Statement'!I49&lt;0,'Cash Flow Statement'!I49,0)</f>
        <v>0</v>
      </c>
      <c r="R29" s="37">
        <f ca="1">-IF('Cash Flow Statement'!J49&lt;0,'Cash Flow Statement'!J49,0)</f>
        <v>0</v>
      </c>
      <c r="T29" s="22"/>
      <c r="U29" s="22"/>
    </row>
    <row r="30" spans="1:22" ht="19.5" customHeight="1">
      <c r="A30" s="9" t="s">
        <v>7</v>
      </c>
      <c r="B30" s="8" t="s">
        <v>9</v>
      </c>
      <c r="C30" s="13">
        <f>SUM(C21:C29)</f>
        <v>2747.9</v>
      </c>
      <c r="D30" s="13">
        <f>SUM(D21:D26)</f>
        <v>2950.3999999999996</v>
      </c>
      <c r="E30" s="13">
        <f t="shared" ref="E30:M30" si="4">SUM(E21:E29)</f>
        <v>3468.3</v>
      </c>
      <c r="F30" s="13">
        <f t="shared" si="4"/>
        <v>2890.6000000000004</v>
      </c>
      <c r="G30" s="13">
        <f t="shared" si="4"/>
        <v>2973.5</v>
      </c>
      <c r="H30" s="13">
        <f t="shared" si="4"/>
        <v>3621.0000000000005</v>
      </c>
      <c r="I30" s="13">
        <f t="shared" si="4"/>
        <v>6181.2000000000007</v>
      </c>
      <c r="J30" s="13">
        <f t="shared" si="4"/>
        <v>4020</v>
      </c>
      <c r="K30" s="13">
        <f t="shared" si="4"/>
        <v>3802.1000000000004</v>
      </c>
      <c r="L30" s="13">
        <f t="shared" si="4"/>
        <v>6859</v>
      </c>
      <c r="M30" s="13">
        <f t="shared" si="4"/>
        <v>3861</v>
      </c>
      <c r="N30" s="13">
        <f ca="1">SUM(N21:N29)</f>
        <v>6230.3739489120653</v>
      </c>
      <c r="O30" s="13">
        <f t="shared" ref="O30:R30" ca="1" si="5">SUM(O21:O29)</f>
        <v>5775.3881669021957</v>
      </c>
      <c r="P30" s="13">
        <f t="shared" ca="1" si="5"/>
        <v>5096.1022678469035</v>
      </c>
      <c r="Q30" s="13">
        <f t="shared" ca="1" si="5"/>
        <v>4542.3455345049597</v>
      </c>
      <c r="R30" s="13">
        <f t="shared" ca="1" si="5"/>
        <v>4724.0393558851583</v>
      </c>
    </row>
    <row r="31" spans="1:22" ht="19.5" hidden="1" customHeight="1" outlineLevel="1">
      <c r="A31" s="9"/>
      <c r="B31" s="18" t="s">
        <v>401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21833.7</v>
      </c>
      <c r="K31" s="20">
        <v>22382</v>
      </c>
      <c r="L31" s="20">
        <v>23383</v>
      </c>
      <c r="M31" s="20">
        <v>24134</v>
      </c>
      <c r="N31" s="37">
        <f>Debt!E15</f>
        <v>23301.793103448275</v>
      </c>
      <c r="O31" s="37">
        <f>Debt!F15</f>
        <v>22469.586206896551</v>
      </c>
      <c r="P31" s="37">
        <f>Debt!G15</f>
        <v>21637.379310344826</v>
      </c>
      <c r="Q31" s="37">
        <f>Debt!H15</f>
        <v>20805.172413793101</v>
      </c>
      <c r="R31" s="37">
        <f>Debt!I15</f>
        <v>19972.965517241377</v>
      </c>
      <c r="T31" s="22"/>
    </row>
    <row r="32" spans="1:22" ht="19.5" hidden="1" customHeight="1" outlineLevel="1">
      <c r="A32" s="9"/>
      <c r="B32" s="18" t="s">
        <v>402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1150</v>
      </c>
      <c r="K32" s="20">
        <v>750</v>
      </c>
      <c r="L32" s="20">
        <v>1097</v>
      </c>
      <c r="M32" s="20">
        <v>1290</v>
      </c>
      <c r="N32" s="37">
        <f>Debt!E23</f>
        <v>1245.5172413793102</v>
      </c>
      <c r="O32" s="37">
        <f>Debt!F23</f>
        <v>1201.0344827586205</v>
      </c>
      <c r="P32" s="37">
        <f>Debt!G23</f>
        <v>1156.5517241379307</v>
      </c>
      <c r="Q32" s="37">
        <f>Debt!H23</f>
        <v>1112.0689655172409</v>
      </c>
      <c r="R32" s="37">
        <f>Debt!I23</f>
        <v>1067.5862068965512</v>
      </c>
      <c r="T32" s="22"/>
    </row>
    <row r="33" spans="1:20" ht="19.5" hidden="1" customHeight="1" outlineLevel="1">
      <c r="A33" s="9"/>
      <c r="B33" s="18" t="s">
        <v>403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8682.2999999999993</v>
      </c>
      <c r="K33" s="20">
        <v>8704.1</v>
      </c>
      <c r="L33" s="20">
        <v>10781</v>
      </c>
      <c r="M33" s="20">
        <v>8875</v>
      </c>
      <c r="N33" s="37">
        <f>Debt!E31</f>
        <v>8068.181818181818</v>
      </c>
      <c r="O33" s="37">
        <f>Debt!F31</f>
        <v>7261.363636363636</v>
      </c>
      <c r="P33" s="37">
        <f>Debt!G31</f>
        <v>6454.545454545454</v>
      </c>
      <c r="Q33" s="37">
        <f>Debt!H31</f>
        <v>5647.7272727272721</v>
      </c>
      <c r="R33" s="37">
        <f>Debt!I31</f>
        <v>4840.9090909090901</v>
      </c>
      <c r="T33" s="22"/>
    </row>
    <row r="34" spans="1:20" ht="19.5" hidden="1" customHeight="1" outlineLevel="1">
      <c r="A34" s="9"/>
      <c r="B34" s="18" t="s">
        <v>404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341.1</v>
      </c>
      <c r="K34" s="20">
        <v>321.2</v>
      </c>
      <c r="L34" s="20">
        <v>331</v>
      </c>
      <c r="M34" s="20">
        <v>311</v>
      </c>
      <c r="N34" s="37">
        <f>Debt!E39</f>
        <v>282.72727272727275</v>
      </c>
      <c r="O34" s="37">
        <f>Debt!F39</f>
        <v>254.45454545454547</v>
      </c>
      <c r="P34" s="37">
        <f>Debt!G39</f>
        <v>226.18181818181819</v>
      </c>
      <c r="Q34" s="37">
        <f>Debt!H39</f>
        <v>197.90909090909091</v>
      </c>
      <c r="R34" s="37">
        <f>Debt!I39</f>
        <v>169.63636363636363</v>
      </c>
      <c r="T34" s="22"/>
    </row>
    <row r="35" spans="1:20" ht="19.5" hidden="1" customHeight="1" outlineLevel="1">
      <c r="A35" s="9"/>
      <c r="B35" s="18" t="s">
        <v>405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797.9</v>
      </c>
      <c r="K35" s="20">
        <v>748.7</v>
      </c>
      <c r="L35" s="20">
        <v>749</v>
      </c>
      <c r="M35" s="20">
        <v>371</v>
      </c>
      <c r="N35" s="37">
        <f>Debt!E47</f>
        <v>371</v>
      </c>
      <c r="O35" s="37">
        <f>Debt!F47</f>
        <v>278.25</v>
      </c>
      <c r="P35" s="37">
        <f>Debt!G47</f>
        <v>185.5</v>
      </c>
      <c r="Q35" s="37">
        <f>Debt!H47</f>
        <v>92.75</v>
      </c>
      <c r="R35" s="37">
        <f>Debt!I47</f>
        <v>0</v>
      </c>
      <c r="T35" s="22"/>
    </row>
    <row r="36" spans="1:20" ht="19.5" hidden="1" customHeight="1" outlineLevel="1">
      <c r="A36" s="9"/>
      <c r="B36" s="18" t="s">
        <v>435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217.9</v>
      </c>
      <c r="K36" s="20">
        <v>204.4</v>
      </c>
      <c r="L36" s="20">
        <v>204</v>
      </c>
      <c r="M36" s="20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T36" s="22"/>
    </row>
    <row r="37" spans="1:20" ht="19.5" hidden="1" customHeight="1" outlineLevel="1">
      <c r="A37" s="9"/>
      <c r="B37" s="18" t="s">
        <v>407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1145</v>
      </c>
      <c r="K37" s="20">
        <v>1504.1</v>
      </c>
      <c r="L37" s="20">
        <v>1585</v>
      </c>
      <c r="M37" s="20">
        <v>1559</v>
      </c>
      <c r="N37" s="37">
        <f>Debt!E55</f>
        <v>1559</v>
      </c>
      <c r="O37" s="37">
        <f>Debt!F55</f>
        <v>1559</v>
      </c>
      <c r="P37" s="37">
        <f>Debt!G55</f>
        <v>1559</v>
      </c>
      <c r="Q37" s="37">
        <f>Debt!H55</f>
        <v>1559</v>
      </c>
      <c r="R37" s="37">
        <f>Debt!I55</f>
        <v>1559</v>
      </c>
      <c r="T37" s="22"/>
    </row>
    <row r="38" spans="1:20" ht="19.5" hidden="1" customHeight="1" outlineLevel="1">
      <c r="A38" s="9"/>
      <c r="B38" s="18" t="s">
        <v>409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790.6</v>
      </c>
      <c r="K38" s="20">
        <v>737.3</v>
      </c>
      <c r="L38" s="20">
        <v>755</v>
      </c>
      <c r="M38" s="20">
        <v>1390</v>
      </c>
      <c r="N38" s="37">
        <f>Debt!E63</f>
        <v>1158.3333333333333</v>
      </c>
      <c r="O38" s="37">
        <f>Debt!F63</f>
        <v>926.66666666666663</v>
      </c>
      <c r="P38" s="37">
        <f>Debt!G63</f>
        <v>695</v>
      </c>
      <c r="Q38" s="37">
        <f>Debt!H63</f>
        <v>463.33333333333337</v>
      </c>
      <c r="R38" s="37">
        <f>Debt!I63</f>
        <v>231.66666666666671</v>
      </c>
      <c r="T38" s="22"/>
    </row>
    <row r="39" spans="1:20" ht="19.5" hidden="1" customHeight="1" outlineLevel="1">
      <c r="A39" s="9"/>
      <c r="B39" s="18" t="s">
        <v>408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108.6</v>
      </c>
      <c r="K39" s="20">
        <v>95.3</v>
      </c>
      <c r="L39" s="20">
        <v>89</v>
      </c>
      <c r="M39" s="20">
        <v>79</v>
      </c>
      <c r="N39" s="37">
        <f>Debt!E71</f>
        <v>79</v>
      </c>
      <c r="O39" s="37">
        <f>Debt!F71</f>
        <v>79</v>
      </c>
      <c r="P39" s="37">
        <f>Debt!G71</f>
        <v>79</v>
      </c>
      <c r="Q39" s="37">
        <f>Debt!H71</f>
        <v>79</v>
      </c>
      <c r="R39" s="37">
        <f>Debt!I71</f>
        <v>79</v>
      </c>
      <c r="T39" s="22"/>
    </row>
    <row r="40" spans="1:20" ht="19.5" hidden="1" customHeight="1" outlineLevel="1">
      <c r="A40" s="9"/>
      <c r="B40" s="18" t="s">
        <v>411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438.2</v>
      </c>
      <c r="K40" s="20">
        <v>438.2</v>
      </c>
      <c r="L40" s="20">
        <v>475</v>
      </c>
      <c r="M40" s="20">
        <v>605</v>
      </c>
      <c r="N40" s="37">
        <f>Debt!E79</f>
        <v>529.375</v>
      </c>
      <c r="O40" s="37">
        <f>Debt!F79</f>
        <v>453.75</v>
      </c>
      <c r="P40" s="37">
        <f>Debt!G79</f>
        <v>378.125</v>
      </c>
      <c r="Q40" s="37">
        <f>Debt!H79</f>
        <v>302.5</v>
      </c>
      <c r="R40" s="37">
        <f>Debt!I79</f>
        <v>226.875</v>
      </c>
      <c r="T40" s="22"/>
    </row>
    <row r="41" spans="1:20" ht="19.5" hidden="1" customHeight="1" outlineLevel="1">
      <c r="A41" s="9"/>
      <c r="B41" s="18" t="s">
        <v>412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257.10000000000002</v>
      </c>
      <c r="K41" s="20">
        <v>257.10000000000002</v>
      </c>
      <c r="L41" s="20">
        <v>118</v>
      </c>
      <c r="M41" s="20">
        <v>2</v>
      </c>
      <c r="N41" s="37">
        <f>Debt!E87</f>
        <v>1.75</v>
      </c>
      <c r="O41" s="37">
        <f>Debt!F87</f>
        <v>1.5</v>
      </c>
      <c r="P41" s="37">
        <f>Debt!G87</f>
        <v>1.25</v>
      </c>
      <c r="Q41" s="37">
        <f>Debt!H87</f>
        <v>1</v>
      </c>
      <c r="R41" s="37">
        <f>Debt!I87</f>
        <v>0.75</v>
      </c>
      <c r="T41" s="22"/>
    </row>
    <row r="42" spans="1:20" ht="19.5" customHeight="1" collapsed="1">
      <c r="B42" s="18" t="s">
        <v>410</v>
      </c>
      <c r="C42" s="20">
        <v>14935.7</v>
      </c>
      <c r="D42" s="20">
        <v>24122.1</v>
      </c>
      <c r="E42" s="20">
        <v>25878.5</v>
      </c>
      <c r="F42" s="20">
        <v>29536.400000000001</v>
      </c>
      <c r="G42" s="20">
        <v>31075.3</v>
      </c>
      <c r="H42" s="20">
        <v>34118.1</v>
      </c>
      <c r="I42" s="20">
        <v>35196.800000000003</v>
      </c>
      <c r="J42" s="20">
        <f>SUM(J31:J41)</f>
        <v>35762.399999999994</v>
      </c>
      <c r="K42" s="142">
        <f>SUM(K31:K41)</f>
        <v>36142.400000000001</v>
      </c>
      <c r="L42" s="142">
        <f>SUM(L31:L41)-L27</f>
        <v>37375</v>
      </c>
      <c r="M42" s="142">
        <f>SUM(M31:M41)-M27</f>
        <v>38616</v>
      </c>
      <c r="N42" s="142">
        <f>SUM(N31:N41)</f>
        <v>36596.677769070011</v>
      </c>
      <c r="O42" s="142">
        <f>SUM(O31:O41)</f>
        <v>34484.605538140015</v>
      </c>
      <c r="P42" s="142">
        <f t="shared" ref="P42:R42" si="6">SUM(P31:P41)</f>
        <v>32372.533307210029</v>
      </c>
      <c r="Q42" s="142">
        <f t="shared" si="6"/>
        <v>30260.461076280037</v>
      </c>
      <c r="R42" s="142">
        <f t="shared" si="6"/>
        <v>28148.388845350048</v>
      </c>
      <c r="S42" s="243" t="s">
        <v>462</v>
      </c>
      <c r="T42" s="22">
        <f>O42-N42</f>
        <v>-2112.0722309299963</v>
      </c>
    </row>
    <row r="43" spans="1:20" ht="19.5" hidden="1" customHeight="1" outlineLevel="1">
      <c r="A43" s="9"/>
      <c r="B43" s="18" t="s">
        <v>413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4.8</v>
      </c>
      <c r="K43" s="20">
        <v>-91.5</v>
      </c>
      <c r="L43" s="20">
        <v>-62</v>
      </c>
      <c r="M43" s="20">
        <v>-40</v>
      </c>
      <c r="N43" s="37">
        <v>0</v>
      </c>
      <c r="O43" s="37"/>
      <c r="P43" s="37"/>
      <c r="Q43" s="37"/>
      <c r="R43" s="37"/>
    </row>
    <row r="44" spans="1:20" ht="19.5" hidden="1" customHeight="1" outlineLevel="1">
      <c r="A44" s="9"/>
      <c r="B44" s="18" t="s">
        <v>414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-144.5</v>
      </c>
      <c r="K44" s="20">
        <v>-147.4</v>
      </c>
      <c r="L44" s="20">
        <v>-160</v>
      </c>
      <c r="M44" s="20">
        <v>-152</v>
      </c>
      <c r="N44" s="37">
        <v>0</v>
      </c>
      <c r="O44" s="37"/>
      <c r="P44" s="37"/>
      <c r="Q44" s="37"/>
      <c r="R44" s="37"/>
    </row>
    <row r="45" spans="1:20" ht="19.5" customHeight="1" collapsed="1">
      <c r="B45" s="18" t="s">
        <v>415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f>SUM(J43:J44)</f>
        <v>-139.69999999999999</v>
      </c>
      <c r="K45" s="20">
        <f>SUM(K43:K44)</f>
        <v>-238.9</v>
      </c>
      <c r="L45" s="20">
        <f>SUM(L43:L44)</f>
        <v>-222</v>
      </c>
      <c r="M45" s="20">
        <f>SUM(M43:M44)</f>
        <v>-192</v>
      </c>
      <c r="N45" s="37">
        <f>Assumptions!T68</f>
        <v>-192</v>
      </c>
      <c r="O45" s="37">
        <f>Assumptions!U68</f>
        <v>-192</v>
      </c>
      <c r="P45" s="37">
        <f>Assumptions!V68</f>
        <v>-192</v>
      </c>
      <c r="Q45" s="37">
        <f>Assumptions!W68</f>
        <v>-192</v>
      </c>
      <c r="R45" s="37">
        <f>Assumptions!X68</f>
        <v>-192</v>
      </c>
      <c r="S45" s="232"/>
    </row>
    <row r="46" spans="1:20" ht="19.5" customHeight="1">
      <c r="B46" s="18" t="s">
        <v>355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12757.8</v>
      </c>
      <c r="I46" s="20">
        <v>13321.3</v>
      </c>
      <c r="J46" s="20">
        <v>13020.9</v>
      </c>
      <c r="K46" s="20">
        <v>12134.4</v>
      </c>
      <c r="L46" s="20">
        <v>13058</v>
      </c>
      <c r="M46" s="20">
        <v>12888</v>
      </c>
      <c r="N46" s="37">
        <f>Assumptions!T43</f>
        <v>12888</v>
      </c>
      <c r="O46" s="37">
        <f>Assumptions!U43</f>
        <v>12888</v>
      </c>
      <c r="P46" s="37">
        <f>Assumptions!V43</f>
        <v>12888</v>
      </c>
      <c r="Q46" s="37">
        <f>Assumptions!W43</f>
        <v>12888</v>
      </c>
      <c r="R46" s="37">
        <f>Assumptions!X43</f>
        <v>12888</v>
      </c>
      <c r="S46" s="232"/>
    </row>
    <row r="47" spans="1:20" ht="19.5" customHeight="1">
      <c r="B47" s="18" t="s">
        <v>353</v>
      </c>
      <c r="C47" s="20">
        <v>0</v>
      </c>
      <c r="D47" s="20">
        <v>0</v>
      </c>
      <c r="E47" s="20">
        <v>1010.6</v>
      </c>
      <c r="F47" s="20">
        <v>2370.9</v>
      </c>
      <c r="G47" s="20">
        <v>2081.1999999999998</v>
      </c>
      <c r="H47" s="20">
        <v>2265.9</v>
      </c>
      <c r="I47" s="20">
        <v>1970.7</v>
      </c>
      <c r="J47" s="20">
        <v>1896.8</v>
      </c>
      <c r="K47" s="20">
        <v>791.9</v>
      </c>
      <c r="L47" s="20">
        <v>363</v>
      </c>
      <c r="M47" s="20">
        <v>344</v>
      </c>
      <c r="N47" s="37">
        <f>Assumptions!T44</f>
        <v>344</v>
      </c>
      <c r="O47" s="37">
        <f>Assumptions!U44</f>
        <v>344</v>
      </c>
      <c r="P47" s="37">
        <f>Assumptions!V44</f>
        <v>344</v>
      </c>
      <c r="Q47" s="37">
        <f>Assumptions!W44</f>
        <v>344</v>
      </c>
      <c r="R47" s="37">
        <f>Assumptions!X44</f>
        <v>344</v>
      </c>
      <c r="S47" s="232"/>
    </row>
    <row r="48" spans="1:20" ht="19.5" customHeight="1">
      <c r="B48" s="18" t="s">
        <v>354</v>
      </c>
      <c r="C48" s="20">
        <v>0</v>
      </c>
      <c r="D48" s="20">
        <v>0</v>
      </c>
      <c r="E48" s="20">
        <v>0</v>
      </c>
      <c r="F48" s="20">
        <v>0</v>
      </c>
      <c r="G48" s="20">
        <v>627.79999999999995</v>
      </c>
      <c r="H48" s="20">
        <v>660.6</v>
      </c>
      <c r="I48" s="20">
        <v>702</v>
      </c>
      <c r="J48" s="20">
        <v>738.3</v>
      </c>
      <c r="K48" s="20">
        <v>757.8</v>
      </c>
      <c r="L48" s="20">
        <v>790</v>
      </c>
      <c r="M48" s="20">
        <v>778</v>
      </c>
      <c r="N48" s="37">
        <f>Assumptions!T45</f>
        <v>778</v>
      </c>
      <c r="O48" s="37">
        <f>Assumptions!U45</f>
        <v>778</v>
      </c>
      <c r="P48" s="37">
        <f>Assumptions!V45</f>
        <v>778</v>
      </c>
      <c r="Q48" s="37">
        <f>Assumptions!W45</f>
        <v>778</v>
      </c>
      <c r="R48" s="37">
        <f>Assumptions!X45</f>
        <v>778</v>
      </c>
      <c r="S48" s="232"/>
    </row>
    <row r="49" spans="1:25" ht="19.5" customHeight="1">
      <c r="B49" t="s">
        <v>10</v>
      </c>
      <c r="C49" s="20">
        <v>2065.9</v>
      </c>
      <c r="D49" s="20">
        <v>2074</v>
      </c>
      <c r="E49" s="20">
        <v>1053.7</v>
      </c>
      <c r="F49" s="20">
        <v>1154.4000000000001</v>
      </c>
      <c r="G49" s="20">
        <v>1096.3</v>
      </c>
      <c r="H49" s="20">
        <v>979.6</v>
      </c>
      <c r="I49" s="20">
        <v>1054.0999999999999</v>
      </c>
      <c r="J49" s="41">
        <v>1081</v>
      </c>
      <c r="K49" s="20">
        <v>1051.8</v>
      </c>
      <c r="L49" s="20">
        <v>950</v>
      </c>
      <c r="M49" s="20">
        <v>771</v>
      </c>
      <c r="N49" s="37">
        <f>Assumptions!T46*'Income Statement'!N9</f>
        <v>1159.1424</v>
      </c>
      <c r="O49" s="37">
        <f>Assumptions!U46*'Income Statement'!O9</f>
        <v>1205.508096</v>
      </c>
      <c r="P49" s="37">
        <f>Assumptions!V46*'Income Statement'!P9</f>
        <v>1253.72841984</v>
      </c>
      <c r="Q49" s="37">
        <f>Assumptions!W46*'Income Statement'!Q9</f>
        <v>1303.8775566336001</v>
      </c>
      <c r="R49" s="37">
        <f>Assumptions!X46*'Income Statement'!R9</f>
        <v>1356.032658898944</v>
      </c>
      <c r="S49" s="231"/>
      <c r="T49" s="22">
        <f>O49-N49</f>
        <v>46.365696000000071</v>
      </c>
    </row>
    <row r="50" spans="1:25" ht="19.5" customHeight="1">
      <c r="B50" t="s">
        <v>346</v>
      </c>
      <c r="C50" s="20">
        <v>1624.5</v>
      </c>
      <c r="D50" s="20">
        <v>1704.3</v>
      </c>
      <c r="E50" s="20">
        <v>1817.1</v>
      </c>
      <c r="F50" s="20">
        <v>1119.4000000000001</v>
      </c>
      <c r="G50" s="20">
        <v>1215.5</v>
      </c>
      <c r="H50" s="20">
        <v>1318.1</v>
      </c>
      <c r="I50" s="20">
        <v>2025.6</v>
      </c>
      <c r="J50" s="41">
        <v>2075.6</v>
      </c>
      <c r="K50" s="20">
        <v>1997.5</v>
      </c>
      <c r="L50" s="20">
        <v>1681</v>
      </c>
      <c r="M50" s="20">
        <v>1914</v>
      </c>
      <c r="N50" s="37">
        <f>Assumptions!T47</f>
        <v>1914</v>
      </c>
      <c r="O50" s="37">
        <f>Assumptions!U47</f>
        <v>1914</v>
      </c>
      <c r="P50" s="37">
        <f>Assumptions!V47</f>
        <v>1914</v>
      </c>
      <c r="Q50" s="37">
        <f>Assumptions!W47</f>
        <v>1914</v>
      </c>
      <c r="R50" s="37">
        <f>Assumptions!X47</f>
        <v>1914</v>
      </c>
      <c r="S50" s="232"/>
    </row>
    <row r="51" spans="1:25" ht="19.5" customHeight="1">
      <c r="A51" s="9" t="s">
        <v>7</v>
      </c>
      <c r="B51" s="8" t="s">
        <v>11</v>
      </c>
      <c r="C51" s="13">
        <f t="shared" ref="C51:I51" si="7">SUM(C30:C50)</f>
        <v>21374.000000000004</v>
      </c>
      <c r="D51" s="13">
        <f t="shared" si="7"/>
        <v>30850.799999999999</v>
      </c>
      <c r="E51" s="13">
        <f t="shared" si="7"/>
        <v>33228.199999999997</v>
      </c>
      <c r="F51" s="13">
        <f t="shared" si="7"/>
        <v>37071.700000000004</v>
      </c>
      <c r="G51" s="13">
        <f t="shared" si="7"/>
        <v>39069.600000000006</v>
      </c>
      <c r="H51" s="13">
        <f t="shared" si="7"/>
        <v>55721.099999999991</v>
      </c>
      <c r="I51" s="13">
        <f t="shared" si="7"/>
        <v>60451.7</v>
      </c>
      <c r="J51" s="13">
        <f>SUM(J42:J50)-J45+J30</f>
        <v>58455.3</v>
      </c>
      <c r="K51" s="13">
        <f>SUM(K42:K50)-K45+K30</f>
        <v>56439.000000000007</v>
      </c>
      <c r="L51" s="13">
        <f>SUM(L42:L50)-L45+L30</f>
        <v>60854</v>
      </c>
      <c r="M51" s="13">
        <f>SUM(M42:M50)-M45+M30</f>
        <v>58980</v>
      </c>
      <c r="N51" s="13">
        <f ca="1">SUM(N42:N50)+N30</f>
        <v>59718.194117982071</v>
      </c>
      <c r="O51" s="13">
        <f t="shared" ref="O51:R51" ca="1" si="8">SUM(O42:O50)+O30</f>
        <v>57197.501801042206</v>
      </c>
      <c r="P51" s="13">
        <f t="shared" ca="1" si="8"/>
        <v>54454.363994896936</v>
      </c>
      <c r="Q51" s="13">
        <f t="shared" ca="1" si="8"/>
        <v>51838.684167418593</v>
      </c>
      <c r="R51" s="13">
        <f t="shared" ca="1" si="8"/>
        <v>49960.460860134146</v>
      </c>
    </row>
    <row r="52" spans="1:25" ht="19.5" customHeight="1">
      <c r="C52" s="18"/>
      <c r="D52" s="18"/>
      <c r="E52" s="18"/>
      <c r="F52" s="18"/>
      <c r="G52" s="18"/>
      <c r="H52" s="18"/>
      <c r="I52" s="18"/>
      <c r="J52" s="18"/>
      <c r="K52" s="18"/>
      <c r="L52" s="18"/>
      <c r="T52" s="17"/>
    </row>
    <row r="53" spans="1:25" ht="19.5" customHeight="1">
      <c r="B53" s="1" t="s">
        <v>26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25" ht="19.5" customHeight="1">
      <c r="B54" t="s">
        <v>348</v>
      </c>
      <c r="C54" s="19">
        <v>16.600000000000001</v>
      </c>
      <c r="D54" s="20">
        <v>16.600000000000001</v>
      </c>
      <c r="E54" s="20">
        <v>16.600000000000001</v>
      </c>
      <c r="F54" s="20">
        <v>16.600000000000001</v>
      </c>
      <c r="G54" s="20">
        <v>16.600000000000001</v>
      </c>
      <c r="H54" s="20">
        <v>16.600000000000001</v>
      </c>
      <c r="I54" s="20">
        <v>16.600000000000001</v>
      </c>
      <c r="J54" s="20">
        <v>16.600000000000001</v>
      </c>
      <c r="K54" s="20">
        <v>16.600000000000001</v>
      </c>
      <c r="L54" s="20">
        <v>17</v>
      </c>
      <c r="M54" s="12">
        <v>17</v>
      </c>
      <c r="N54" s="37">
        <f>Assumptions!T50</f>
        <v>17</v>
      </c>
      <c r="O54" s="37">
        <f>Assumptions!U50</f>
        <v>17</v>
      </c>
      <c r="P54" s="37">
        <f>Assumptions!V50</f>
        <v>17</v>
      </c>
      <c r="Q54" s="37">
        <f>Assumptions!W50</f>
        <v>17</v>
      </c>
      <c r="R54" s="37">
        <f>Assumptions!X50</f>
        <v>17</v>
      </c>
      <c r="S54" s="232"/>
      <c r="T54" s="36"/>
      <c r="U54" s="36"/>
      <c r="V54" s="36"/>
    </row>
    <row r="55" spans="1:25" ht="19.5" customHeight="1">
      <c r="B55" t="s">
        <v>12</v>
      </c>
      <c r="C55" s="20">
        <v>6239.1</v>
      </c>
      <c r="D55" s="20">
        <v>6533.4</v>
      </c>
      <c r="E55" s="20">
        <v>6757.9</v>
      </c>
      <c r="F55" s="20">
        <v>7072.4</v>
      </c>
      <c r="G55" s="20">
        <v>7376</v>
      </c>
      <c r="H55" s="20">
        <v>7653.9</v>
      </c>
      <c r="I55" s="20">
        <v>7903.6</v>
      </c>
      <c r="J55" s="20">
        <v>8231.6</v>
      </c>
      <c r="K55" s="20">
        <v>8547.1</v>
      </c>
      <c r="L55" s="20">
        <v>8893</v>
      </c>
      <c r="M55" s="12">
        <v>9281</v>
      </c>
      <c r="N55" s="37">
        <f>Assumptions!T51</f>
        <v>9281</v>
      </c>
      <c r="O55" s="37">
        <f>Assumptions!U51</f>
        <v>9281</v>
      </c>
      <c r="P55" s="37">
        <f>Assumptions!V51</f>
        <v>9281</v>
      </c>
      <c r="Q55" s="37">
        <f>Assumptions!W51</f>
        <v>9281</v>
      </c>
      <c r="R55" s="37">
        <f>Assumptions!X51</f>
        <v>9281</v>
      </c>
      <c r="S55" s="232"/>
      <c r="U55" s="246" t="s">
        <v>466</v>
      </c>
      <c r="V55" s="243" t="s">
        <v>101</v>
      </c>
    </row>
    <row r="56" spans="1:25" ht="19.5" customHeight="1">
      <c r="B56" t="s">
        <v>13</v>
      </c>
      <c r="C56" s="20">
        <v>43294.5</v>
      </c>
      <c r="D56" s="20">
        <v>44594.5</v>
      </c>
      <c r="E56" s="20">
        <v>46222.7</v>
      </c>
      <c r="F56" s="20">
        <v>48325.8</v>
      </c>
      <c r="G56" s="20">
        <v>50487</v>
      </c>
      <c r="H56" s="20">
        <v>52930.5</v>
      </c>
      <c r="I56" s="20">
        <v>53908.1</v>
      </c>
      <c r="J56" s="20">
        <v>57534.7</v>
      </c>
      <c r="K56" s="20">
        <v>59543.9</v>
      </c>
      <c r="L56" s="20">
        <v>63480</v>
      </c>
      <c r="M56" s="12">
        <v>66834</v>
      </c>
      <c r="N56" s="37">
        <f ca="1">Calcs!N10</f>
        <v>70068.328186017927</v>
      </c>
      <c r="O56" s="37">
        <f ca="1">Calcs!O10</f>
        <v>73428.218035117781</v>
      </c>
      <c r="P56" s="37">
        <f ca="1">Calcs!P10</f>
        <v>76950.958573909462</v>
      </c>
      <c r="Q56" s="37">
        <f ca="1">Calcs!Q10</f>
        <v>80636.805948559981</v>
      </c>
      <c r="R56" s="37">
        <f ca="1">Calcs!R10</f>
        <v>84474.175250016953</v>
      </c>
      <c r="S56" s="243"/>
      <c r="T56" s="22"/>
      <c r="U56" s="36">
        <f ca="1">'Income Statement'!O24</f>
        <v>8615.1021771791311</v>
      </c>
      <c r="V56" s="22">
        <f ca="1">-Calcs!O7</f>
        <v>-5255.2123280792703</v>
      </c>
    </row>
    <row r="57" spans="1:25" ht="19.5" customHeight="1">
      <c r="B57" t="s">
        <v>347</v>
      </c>
      <c r="C57" s="20">
        <v>-1519.7</v>
      </c>
      <c r="D57" s="20">
        <v>-2879.8</v>
      </c>
      <c r="E57" s="20">
        <v>-3092.9</v>
      </c>
      <c r="F57" s="20">
        <v>-2178.4</v>
      </c>
      <c r="G57" s="20">
        <v>-2609.5</v>
      </c>
      <c r="H57" s="20">
        <v>-2482.6999999999998</v>
      </c>
      <c r="I57" s="20">
        <v>-2586.8000000000002</v>
      </c>
      <c r="J57" s="20">
        <v>-2573.6999999999998</v>
      </c>
      <c r="K57" s="20">
        <v>-2486.6</v>
      </c>
      <c r="L57" s="20">
        <v>-2456</v>
      </c>
      <c r="M57" s="12">
        <v>-2553</v>
      </c>
      <c r="N57" s="37">
        <f>Assumptions!T52</f>
        <v>-2553</v>
      </c>
      <c r="O57" s="37">
        <f>Assumptions!U52</f>
        <v>-2553</v>
      </c>
      <c r="P57" s="37">
        <f>Assumptions!V52</f>
        <v>-2553</v>
      </c>
      <c r="Q57" s="37">
        <f>Assumptions!W52</f>
        <v>-2553</v>
      </c>
      <c r="R57" s="37">
        <f>Assumptions!X52</f>
        <v>-2553</v>
      </c>
      <c r="S57" s="232"/>
      <c r="T57" s="36"/>
      <c r="U57" s="36"/>
      <c r="V57" s="36"/>
    </row>
    <row r="58" spans="1:25" ht="19.5" customHeight="1">
      <c r="B58" t="s">
        <v>350</v>
      </c>
      <c r="C58" s="20">
        <v>-35177.1</v>
      </c>
      <c r="D58" s="20">
        <v>-41176.800000000003</v>
      </c>
      <c r="E58" s="20">
        <v>-52108.6</v>
      </c>
      <c r="F58" s="20">
        <v>-56504.4</v>
      </c>
      <c r="G58" s="20">
        <v>-61528.5</v>
      </c>
      <c r="H58" s="20">
        <v>-66328.600000000006</v>
      </c>
      <c r="I58" s="20">
        <v>-67066.399999999994</v>
      </c>
      <c r="J58" s="20">
        <v>-67810.2</v>
      </c>
      <c r="K58" s="20">
        <v>-71624.399999999994</v>
      </c>
      <c r="L58" s="20">
        <v>-74640</v>
      </c>
      <c r="M58" s="12">
        <v>-77375</v>
      </c>
      <c r="N58" s="37">
        <f>Assumptions!T53+'Balance Sheet PROJECTED'!M58</f>
        <v>-80375</v>
      </c>
      <c r="O58" s="37">
        <f>Assumptions!U53+'Balance Sheet PROJECTED'!N58</f>
        <v>-80375</v>
      </c>
      <c r="P58" s="37">
        <f>Assumptions!V53+'Balance Sheet PROJECTED'!O58</f>
        <v>-80375</v>
      </c>
      <c r="Q58" s="37">
        <f>Assumptions!W53+'Balance Sheet PROJECTED'!P58</f>
        <v>-80375</v>
      </c>
      <c r="R58" s="37">
        <f>Assumptions!X53+'Balance Sheet PROJECTED'!Q58</f>
        <v>-80375</v>
      </c>
      <c r="S58" s="243"/>
      <c r="T58" s="22">
        <f>O58-N58</f>
        <v>0</v>
      </c>
    </row>
    <row r="59" spans="1:25" ht="19.5" customHeight="1">
      <c r="A59" s="9" t="s">
        <v>7</v>
      </c>
      <c r="B59" s="8" t="s">
        <v>349</v>
      </c>
      <c r="C59" s="13">
        <f>SUM(C54:C58)</f>
        <v>12853.400000000001</v>
      </c>
      <c r="D59" s="13">
        <f t="shared" ref="D59:R59" si="9">SUM(D54:D58)</f>
        <v>7087.8999999999942</v>
      </c>
      <c r="E59" s="13">
        <f t="shared" si="9"/>
        <v>-2204.3000000000029</v>
      </c>
      <c r="F59" s="13">
        <f t="shared" si="9"/>
        <v>-3268</v>
      </c>
      <c r="G59" s="13">
        <f t="shared" si="9"/>
        <v>-6258.4000000000015</v>
      </c>
      <c r="H59" s="13">
        <f t="shared" si="9"/>
        <v>-8210.3000000000029</v>
      </c>
      <c r="I59" s="13">
        <f t="shared" si="9"/>
        <v>-7824.8999999999942</v>
      </c>
      <c r="J59" s="13">
        <f t="shared" si="9"/>
        <v>-4601</v>
      </c>
      <c r="K59" s="13">
        <f t="shared" si="9"/>
        <v>-6003.3999999999942</v>
      </c>
      <c r="L59" s="13">
        <f>SUM(L54:L58)-1</f>
        <v>-4707</v>
      </c>
      <c r="M59" s="13">
        <f>SUM(M54:M58)-1</f>
        <v>-3797</v>
      </c>
      <c r="N59" s="13">
        <f ca="1">SUM(N54:N58)</f>
        <v>-3561.6718139820732</v>
      </c>
      <c r="O59" s="13">
        <f t="shared" ca="1" si="9"/>
        <v>-201.78196488221874</v>
      </c>
      <c r="P59" s="13">
        <f t="shared" ca="1" si="9"/>
        <v>3320.9585739094618</v>
      </c>
      <c r="Q59" s="13">
        <f t="shared" ca="1" si="9"/>
        <v>7006.8059485599806</v>
      </c>
      <c r="R59" s="13">
        <f t="shared" ca="1" si="9"/>
        <v>10844.175250016953</v>
      </c>
    </row>
    <row r="60" spans="1:25" ht="19.5" customHeight="1" thickBot="1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25" ht="19.5" customHeight="1" thickTop="1">
      <c r="A61" s="9" t="s">
        <v>7</v>
      </c>
      <c r="B61" s="1" t="s">
        <v>14</v>
      </c>
      <c r="C61" s="14">
        <f>C51+C59</f>
        <v>34227.400000000009</v>
      </c>
      <c r="D61" s="14">
        <f>D51+D59</f>
        <v>37938.699999999997</v>
      </c>
      <c r="E61" s="14">
        <f t="shared" ref="E61:R61" si="10">E51+E59</f>
        <v>31023.899999999994</v>
      </c>
      <c r="F61" s="14">
        <f t="shared" si="10"/>
        <v>33803.700000000004</v>
      </c>
      <c r="G61" s="14">
        <f t="shared" si="10"/>
        <v>32811.200000000004</v>
      </c>
      <c r="H61" s="14">
        <f t="shared" si="10"/>
        <v>47510.799999999988</v>
      </c>
      <c r="I61" s="14">
        <f t="shared" si="10"/>
        <v>52626.8</v>
      </c>
      <c r="J61" s="14">
        <f t="shared" si="10"/>
        <v>53854.3</v>
      </c>
      <c r="K61" s="14">
        <f t="shared" si="10"/>
        <v>50435.600000000013</v>
      </c>
      <c r="L61" s="14">
        <f t="shared" si="10"/>
        <v>56147</v>
      </c>
      <c r="M61" s="14">
        <f>M51+M59-1</f>
        <v>55182</v>
      </c>
      <c r="N61" s="14">
        <f t="shared" ca="1" si="10"/>
        <v>56156.522303999998</v>
      </c>
      <c r="O61" s="14">
        <f t="shared" ca="1" si="10"/>
        <v>56995.719836159988</v>
      </c>
      <c r="P61" s="14">
        <f t="shared" ca="1" si="10"/>
        <v>57775.322568806398</v>
      </c>
      <c r="Q61" s="14">
        <f t="shared" ca="1" si="10"/>
        <v>58845.490115978573</v>
      </c>
      <c r="R61" s="14">
        <f t="shared" ca="1" si="10"/>
        <v>60804.636110151099</v>
      </c>
      <c r="Y61" t="s">
        <v>468</v>
      </c>
    </row>
    <row r="62" spans="1:25" ht="19.5" customHeight="1">
      <c r="B62" s="10" t="s">
        <v>15</v>
      </c>
      <c r="C62" s="15">
        <f t="shared" ref="C62:R62" si="11">C18-C61</f>
        <v>0</v>
      </c>
      <c r="D62" s="15">
        <f t="shared" si="11"/>
        <v>0</v>
      </c>
      <c r="E62" s="15">
        <f t="shared" si="11"/>
        <v>0</v>
      </c>
      <c r="F62" s="15">
        <f t="shared" si="11"/>
        <v>0</v>
      </c>
      <c r="G62" s="15">
        <f t="shared" si="11"/>
        <v>0</v>
      </c>
      <c r="H62" s="15">
        <f t="shared" si="11"/>
        <v>0</v>
      </c>
      <c r="I62" s="15">
        <f t="shared" si="11"/>
        <v>0</v>
      </c>
      <c r="J62" s="15">
        <f t="shared" si="11"/>
        <v>0</v>
      </c>
      <c r="K62" s="15">
        <f t="shared" si="11"/>
        <v>0</v>
      </c>
      <c r="L62" s="15">
        <f t="shared" si="11"/>
        <v>0</v>
      </c>
      <c r="M62" s="15">
        <f t="shared" si="11"/>
        <v>0</v>
      </c>
      <c r="N62" s="15">
        <f ca="1">N18-N61+2</f>
        <v>0</v>
      </c>
      <c r="O62" s="15">
        <f t="shared" ref="O62:R62" ca="1" si="12">O18-O61+2</f>
        <v>1.4551915228366852E-11</v>
      </c>
      <c r="P62" s="15">
        <f t="shared" ca="1" si="12"/>
        <v>0</v>
      </c>
      <c r="Q62" s="15">
        <f t="shared" ca="1" si="12"/>
        <v>7.2759576141834259E-12</v>
      </c>
      <c r="R62" s="15">
        <f t="shared" ca="1" si="12"/>
        <v>1.4551915228366852E-11</v>
      </c>
      <c r="S62" s="234" t="s">
        <v>465</v>
      </c>
      <c r="T62" s="22">
        <f ca="1">SUM(T8:T10,W16,T21:T26,U56)</f>
        <v>10967.37411061913</v>
      </c>
      <c r="U62" s="22"/>
      <c r="W62" s="36">
        <f ca="1">Y62-T62</f>
        <v>0</v>
      </c>
      <c r="Y62" s="36">
        <f ca="1">'Cash Flow Statement'!G10</f>
        <v>10967.374110619132</v>
      </c>
    </row>
    <row r="63" spans="1:25">
      <c r="S63" s="231" t="s">
        <v>465</v>
      </c>
      <c r="T63" s="22">
        <f>T13+T15-U16+T49</f>
        <v>-2854.1859840000016</v>
      </c>
      <c r="W63" s="36">
        <f>Y63-T63</f>
        <v>0</v>
      </c>
      <c r="Y63" s="36">
        <f>'Cash Flow Statement'!G17</f>
        <v>-2854.1859840000016</v>
      </c>
    </row>
    <row r="64" spans="1:25" hidden="1" outlineLevel="1">
      <c r="B64" s="1" t="s">
        <v>112</v>
      </c>
      <c r="C64" s="36">
        <f t="shared" ref="C64:H64" si="13">SUM(C25:C26,C42:C50)</f>
        <v>20017.100000000002</v>
      </c>
      <c r="D64" s="36">
        <f t="shared" si="13"/>
        <v>29512.3</v>
      </c>
      <c r="E64" s="36">
        <f t="shared" si="13"/>
        <v>31166.699999999997</v>
      </c>
      <c r="F64" s="36">
        <f t="shared" si="13"/>
        <v>35605.700000000004</v>
      </c>
      <c r="G64" s="36">
        <f t="shared" si="13"/>
        <v>37379.700000000004</v>
      </c>
      <c r="H64" s="36">
        <f t="shared" si="13"/>
        <v>53473.599999999991</v>
      </c>
      <c r="I64" s="36">
        <f>SUM(I24:I25,I42:I50)</f>
        <v>54885.899999999994</v>
      </c>
      <c r="J64" s="36">
        <f>SUM(J25:J26,J42:J50)</f>
        <v>56005.900000000009</v>
      </c>
      <c r="K64" s="36">
        <f>SUM(K24:K25,K42:K50)</f>
        <v>53046.500000000007</v>
      </c>
      <c r="L64" s="36">
        <f t="shared" ref="L64:R64" si="14">SUM(L25:L26,L42:L50)</f>
        <v>55676</v>
      </c>
      <c r="M64" s="36">
        <f t="shared" si="14"/>
        <v>56538</v>
      </c>
      <c r="N64" s="36">
        <f t="shared" si="14"/>
        <v>54889.573769070004</v>
      </c>
      <c r="O64" s="36">
        <f t="shared" si="14"/>
        <v>52879.937378140014</v>
      </c>
      <c r="P64" s="36">
        <f t="shared" si="14"/>
        <v>50874.39842081003</v>
      </c>
      <c r="Q64" s="36">
        <f t="shared" si="14"/>
        <v>48873.12079442403</v>
      </c>
      <c r="R64" s="36">
        <f t="shared" si="14"/>
        <v>46876.274952219806</v>
      </c>
    </row>
    <row r="65" spans="2:25" hidden="1" outlineLevel="1">
      <c r="B65" s="18"/>
    </row>
    <row r="66" spans="2:25" hidden="1" outlineLevel="1">
      <c r="B66" s="18" t="s">
        <v>131</v>
      </c>
      <c r="C66" s="37">
        <f>'Income Statement'!C29</f>
        <v>4.8238872553989633</v>
      </c>
      <c r="D66" s="37">
        <f>'Income Statement'!D29</f>
        <v>4.7949396569976717</v>
      </c>
      <c r="E66" s="37">
        <f>'Income Statement'!E29</f>
        <v>5.4418253599628441</v>
      </c>
      <c r="F66" s="37">
        <f>'Income Statement'!F29</f>
        <v>6.3670141017780546</v>
      </c>
      <c r="G66" s="37">
        <f>'Income Statement'!G29</f>
        <v>7.5413696537678216</v>
      </c>
      <c r="H66" s="37">
        <f>'Income Statement'!H29</f>
        <v>7.8775003268401127</v>
      </c>
      <c r="I66" s="37">
        <f>'Income Statement'!I29</f>
        <v>6.3071590454606028</v>
      </c>
      <c r="J66" s="37">
        <f>'Income Statement'!J29</f>
        <v>10.035514764565045</v>
      </c>
      <c r="K66" s="37">
        <f>'Income Statement'!K29</f>
        <v>8.3326588425738564</v>
      </c>
      <c r="L66" s="37">
        <f>'Income Statement'!L29</f>
        <v>11.564249624470841</v>
      </c>
      <c r="M66" s="37">
        <f>'Income Statement'!M29</f>
        <v>11.392159578889043</v>
      </c>
    </row>
    <row r="67" spans="2:25" hidden="1" outlineLevel="1">
      <c r="B67" s="18" t="s">
        <v>132</v>
      </c>
      <c r="C67" s="79">
        <v>68.7</v>
      </c>
      <c r="D67" s="79">
        <v>83.74</v>
      </c>
      <c r="E67" s="79">
        <v>118.35</v>
      </c>
      <c r="F67" s="79">
        <v>108.95</v>
      </c>
      <c r="G67" s="79">
        <v>177.45</v>
      </c>
      <c r="H67" s="79">
        <v>182.3</v>
      </c>
      <c r="I67" s="79">
        <v>204.38</v>
      </c>
      <c r="J67" s="79">
        <v>239.63</v>
      </c>
      <c r="K67" s="79">
        <v>189.16</v>
      </c>
      <c r="L67" s="79">
        <v>214.87</v>
      </c>
      <c r="M67" s="79">
        <v>262.83999999999997</v>
      </c>
    </row>
    <row r="68" spans="2:25" hidden="1" outlineLevel="1">
      <c r="B68" s="8" t="s">
        <v>124</v>
      </c>
      <c r="C68" s="13">
        <f>C66*C67</f>
        <v>331.40105444590881</v>
      </c>
      <c r="D68" s="13">
        <f t="shared" ref="D68:M68" si="15">D66*D67</f>
        <v>401.52824687698501</v>
      </c>
      <c r="E68" s="13">
        <f t="shared" si="15"/>
        <v>644.04003135160258</v>
      </c>
      <c r="F68" s="13">
        <f t="shared" si="15"/>
        <v>693.68618638871908</v>
      </c>
      <c r="G68" s="13">
        <f t="shared" si="15"/>
        <v>1338.2160450611</v>
      </c>
      <c r="H68" s="13">
        <f t="shared" si="15"/>
        <v>1436.0683095829527</v>
      </c>
      <c r="I68" s="13">
        <f t="shared" si="15"/>
        <v>1289.057165711238</v>
      </c>
      <c r="J68" s="13">
        <f t="shared" si="15"/>
        <v>2404.8104030327218</v>
      </c>
      <c r="K68" s="13">
        <f t="shared" si="15"/>
        <v>1576.2057466612707</v>
      </c>
      <c r="L68" s="13">
        <f t="shared" si="15"/>
        <v>2484.8103168100497</v>
      </c>
      <c r="M68" s="13">
        <f t="shared" si="15"/>
        <v>2994.3152237151958</v>
      </c>
    </row>
    <row r="69" spans="2:25" hidden="1" outlineLevel="1">
      <c r="B69" s="18"/>
    </row>
    <row r="70" spans="2:25" hidden="1" outlineLevel="1">
      <c r="B70" s="18" t="s">
        <v>133</v>
      </c>
      <c r="C70" s="36">
        <f>C64+C68</f>
        <v>20348.501054445911</v>
      </c>
      <c r="D70" s="36">
        <f t="shared" ref="D70:M70" si="16">D64+D68</f>
        <v>29913.828246876983</v>
      </c>
      <c r="E70" s="36">
        <f t="shared" si="16"/>
        <v>31810.740031351601</v>
      </c>
      <c r="F70" s="36">
        <f t="shared" si="16"/>
        <v>36299.386186388721</v>
      </c>
      <c r="G70" s="36">
        <f t="shared" si="16"/>
        <v>38717.916045061102</v>
      </c>
      <c r="H70" s="36">
        <f t="shared" si="16"/>
        <v>54909.668309582943</v>
      </c>
      <c r="I70" s="36">
        <f t="shared" si="16"/>
        <v>56174.957165711232</v>
      </c>
      <c r="J70" s="36">
        <f t="shared" si="16"/>
        <v>58410.710403032732</v>
      </c>
      <c r="K70" s="36">
        <f t="shared" si="16"/>
        <v>54622.705746661275</v>
      </c>
      <c r="L70" s="36">
        <f t="shared" si="16"/>
        <v>58160.81031681005</v>
      </c>
      <c r="M70" s="36">
        <f t="shared" si="16"/>
        <v>59532.315223715195</v>
      </c>
    </row>
    <row r="71" spans="2:25" hidden="1" outlineLevel="1">
      <c r="B71" s="18" t="s">
        <v>134</v>
      </c>
      <c r="C71" s="24">
        <f>C64/C70</f>
        <v>0.98371373628164605</v>
      </c>
      <c r="D71" s="24">
        <f t="shared" ref="D71:M71" si="17">D64/D70</f>
        <v>0.98657716947616347</v>
      </c>
      <c r="E71" s="24">
        <f t="shared" si="17"/>
        <v>0.97975400664313816</v>
      </c>
      <c r="F71" s="24">
        <f t="shared" si="17"/>
        <v>0.98088986456060712</v>
      </c>
      <c r="G71" s="24">
        <f t="shared" si="17"/>
        <v>0.96543677496733971</v>
      </c>
      <c r="H71" s="24">
        <f t="shared" si="17"/>
        <v>0.97384671308727744</v>
      </c>
      <c r="I71" s="24">
        <f t="shared" si="17"/>
        <v>0.97705281444347825</v>
      </c>
      <c r="J71" s="24">
        <f t="shared" si="17"/>
        <v>0.95882929027160291</v>
      </c>
      <c r="K71" s="24">
        <f t="shared" si="17"/>
        <v>0.97114376292577542</v>
      </c>
      <c r="L71" s="24">
        <f t="shared" si="17"/>
        <v>0.95727689653436843</v>
      </c>
      <c r="M71" s="24">
        <f t="shared" si="17"/>
        <v>0.94970269151362707</v>
      </c>
    </row>
    <row r="72" spans="2:25" hidden="1" outlineLevel="1">
      <c r="L72" s="1" t="s">
        <v>135</v>
      </c>
      <c r="M72" s="80">
        <f>AVERAGE(K71:M71)</f>
        <v>0.95937445032459034</v>
      </c>
    </row>
    <row r="73" spans="2:25" hidden="1" outlineLevel="1">
      <c r="L73" s="1" t="s">
        <v>136</v>
      </c>
      <c r="M73" s="80">
        <f>AVERAGE(I71:M71)</f>
        <v>0.96280109113777035</v>
      </c>
    </row>
    <row r="74" spans="2:25" hidden="1" outlineLevel="1">
      <c r="L74" s="1" t="s">
        <v>137</v>
      </c>
      <c r="M74" s="80">
        <f>AVERAGE(G71:M71)</f>
        <v>0.96475556339192425</v>
      </c>
    </row>
    <row r="75" spans="2:25" hidden="1" outlineLevel="1">
      <c r="L75" s="1" t="s">
        <v>138</v>
      </c>
      <c r="M75" s="80">
        <f>AVERAGE(D71:M71)</f>
        <v>0.97005099844233789</v>
      </c>
    </row>
    <row r="76" spans="2:25" hidden="1" outlineLevel="1">
      <c r="L76" s="1" t="s">
        <v>139</v>
      </c>
      <c r="M76" s="80">
        <f>MIN(C71:M71)</f>
        <v>0.94970269151362707</v>
      </c>
    </row>
    <row r="77" spans="2:25" hidden="1" outlineLevel="1">
      <c r="L77" s="1" t="s">
        <v>140</v>
      </c>
      <c r="M77" s="80">
        <f>MAX(C71:M71)</f>
        <v>0.98657716947616347</v>
      </c>
    </row>
    <row r="78" spans="2:25" collapsed="1">
      <c r="M78" s="248"/>
      <c r="N78" s="249"/>
      <c r="O78" s="249"/>
      <c r="P78" s="249"/>
      <c r="Q78" s="249"/>
      <c r="R78" s="249"/>
      <c r="S78" s="243" t="s">
        <v>465</v>
      </c>
      <c r="T78" s="22">
        <f ca="1">T42+T58+V56</f>
        <v>-7367.2845590092666</v>
      </c>
      <c r="U78" t="s">
        <v>467</v>
      </c>
      <c r="W78" s="36">
        <f ca="1">Y78-T78</f>
        <v>0</v>
      </c>
      <c r="Y78" s="36">
        <f ca="1">'Cash Flow Statement'!G39</f>
        <v>-7367.2845590092602</v>
      </c>
    </row>
    <row r="79" spans="2:25">
      <c r="M79" s="249"/>
      <c r="N79" s="249"/>
      <c r="O79" s="249"/>
      <c r="P79" s="249"/>
      <c r="Q79" s="249"/>
      <c r="R79" s="249"/>
      <c r="T79" s="22">
        <f ca="1">SUM(T62:T78)</f>
        <v>745.90356760986197</v>
      </c>
    </row>
    <row r="80" spans="2:25">
      <c r="M80" s="249"/>
      <c r="N80" s="249"/>
      <c r="O80" s="249"/>
      <c r="P80" s="249"/>
      <c r="Q80" s="249"/>
      <c r="R80" s="249"/>
    </row>
    <row r="81" spans="13:18">
      <c r="M81" s="249"/>
      <c r="N81" s="249"/>
      <c r="O81" s="249"/>
      <c r="P81" s="249"/>
      <c r="Q81" s="249"/>
      <c r="R81" s="249"/>
    </row>
    <row r="82" spans="13:18">
      <c r="M82" s="249"/>
      <c r="N82" s="249"/>
      <c r="O82" s="249"/>
      <c r="P82" s="249"/>
      <c r="Q82" s="249"/>
      <c r="R82" s="249"/>
    </row>
  </sheetData>
  <pageMargins left="0.7" right="0.7" top="0.75" bottom="0.75" header="0.3" footer="0.3"/>
  <pageSetup scale="50" orientation="portrait" horizontalDpi="1200" verticalDpi="1200" r:id="rId1"/>
  <ignoredErrors>
    <ignoredError sqref="C64:M64" formulaRange="1"/>
    <ignoredError sqref="M61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5472-996B-4E58-8E80-E9A72A82E0BF}">
  <sheetPr>
    <pageSetUpPr fitToPage="1"/>
  </sheetPr>
  <dimension ref="A1:K112"/>
  <sheetViews>
    <sheetView topLeftCell="A16" workbookViewId="0">
      <selection activeCell="G38" sqref="G38"/>
    </sheetView>
    <sheetView workbookViewId="1">
      <selection activeCell="F8" sqref="F8"/>
    </sheetView>
  </sheetViews>
  <sheetFormatPr defaultColWidth="9" defaultRowHeight="14" outlineLevelRow="1"/>
  <cols>
    <col min="1" max="1" width="3.58203125" style="161" customWidth="1"/>
    <col min="2" max="2" width="40.1640625" style="161" bestFit="1" customWidth="1"/>
    <col min="3" max="3" width="11.9140625" style="161" bestFit="1" customWidth="1"/>
    <col min="4" max="4" width="12.4140625" style="161" bestFit="1" customWidth="1"/>
    <col min="5" max="10" width="10.58203125" style="161" customWidth="1"/>
    <col min="11" max="16384" width="9" style="161"/>
  </cols>
  <sheetData>
    <row r="1" spans="1:10" ht="30">
      <c r="A1" s="230" t="s">
        <v>109</v>
      </c>
      <c r="B1" s="229"/>
      <c r="C1" s="229"/>
      <c r="D1" s="229"/>
      <c r="E1" s="229"/>
      <c r="F1" s="229"/>
      <c r="G1" s="229"/>
      <c r="H1" s="229"/>
      <c r="I1" s="229"/>
      <c r="J1" s="229"/>
    </row>
    <row r="2" spans="1:10" ht="14.5">
      <c r="B2" s="228" t="s">
        <v>328</v>
      </c>
    </row>
    <row r="3" spans="1:10" ht="15" thickBot="1">
      <c r="B3" s="228"/>
    </row>
    <row r="4" spans="1:10" ht="14.5" thickBot="1">
      <c r="C4" s="227" t="s">
        <v>68</v>
      </c>
      <c r="D4" s="226"/>
      <c r="E4" s="225"/>
      <c r="F4" s="227" t="s">
        <v>69</v>
      </c>
      <c r="G4" s="226"/>
      <c r="H4" s="226"/>
      <c r="I4" s="226"/>
      <c r="J4" s="225"/>
    </row>
    <row r="5" spans="1:10">
      <c r="C5" s="224">
        <v>44926</v>
      </c>
      <c r="D5" s="224">
        <v>45291</v>
      </c>
      <c r="E5" s="224">
        <v>45657</v>
      </c>
      <c r="F5" s="224">
        <v>46022</v>
      </c>
      <c r="G5" s="224">
        <v>46387</v>
      </c>
      <c r="H5" s="224">
        <v>46752</v>
      </c>
      <c r="I5" s="224">
        <v>47118</v>
      </c>
      <c r="J5" s="224">
        <v>47483</v>
      </c>
    </row>
    <row r="6" spans="1:10">
      <c r="A6" s="209" t="s">
        <v>88</v>
      </c>
      <c r="B6" s="209"/>
      <c r="C6" s="222"/>
      <c r="D6" s="222"/>
      <c r="E6" s="223"/>
      <c r="F6" s="222"/>
      <c r="G6" s="222"/>
      <c r="H6" s="222"/>
      <c r="I6" s="222"/>
      <c r="J6" s="222"/>
    </row>
    <row r="7" spans="1:10" ht="18" customHeight="1">
      <c r="B7" s="215" t="s">
        <v>48</v>
      </c>
      <c r="C7" s="215"/>
      <c r="F7" s="214">
        <f ca="1">'Income Statement'!N24</f>
        <v>8293.149194917758</v>
      </c>
      <c r="G7" s="214">
        <f ca="1">'Income Statement'!O24</f>
        <v>8615.1021771791311</v>
      </c>
      <c r="H7" s="214">
        <f ca="1">'Income Statement'!P24</f>
        <v>9032.668048183803</v>
      </c>
      <c r="I7" s="214">
        <f ca="1">'Income Statement'!Q24</f>
        <v>9450.8907042320898</v>
      </c>
      <c r="J7" s="214">
        <f ca="1">'Income Statement'!R24</f>
        <v>9839.4084652743077</v>
      </c>
    </row>
    <row r="8" spans="1:10" ht="18" customHeight="1">
      <c r="B8" s="215" t="s">
        <v>238</v>
      </c>
      <c r="C8" s="215"/>
      <c r="D8" s="215"/>
      <c r="F8" s="218">
        <f>'Income Statement'!N17</f>
        <v>2156.5439999999999</v>
      </c>
      <c r="G8" s="218">
        <f>'Income Statement'!O17</f>
        <v>2329.0675200000001</v>
      </c>
      <c r="H8" s="218">
        <f>'Income Statement'!P17</f>
        <v>2515.3929216000001</v>
      </c>
      <c r="I8" s="218">
        <f>'Income Statement'!Q17</f>
        <v>2716.6243553280005</v>
      </c>
      <c r="J8" s="218">
        <f>'Income Statement'!R17</f>
        <v>2933.9543037542408</v>
      </c>
    </row>
    <row r="9" spans="1:10" ht="18" customHeight="1">
      <c r="B9" s="211" t="s">
        <v>89</v>
      </c>
      <c r="C9" s="215"/>
      <c r="D9" s="215"/>
      <c r="F9" s="218">
        <f>Calcs!N67</f>
        <v>232.11033600000019</v>
      </c>
      <c r="G9" s="218">
        <f>Calcs!O67</f>
        <v>23.204413439999826</v>
      </c>
      <c r="H9" s="218">
        <f>Calcs!P67</f>
        <v>24.132589977600219</v>
      </c>
      <c r="I9" s="218">
        <f>Calcs!Q67</f>
        <v>25.097893576702518</v>
      </c>
      <c r="J9" s="218">
        <f>Calcs!R67</f>
        <v>26.10180931977311</v>
      </c>
    </row>
    <row r="10" spans="1:10">
      <c r="B10" s="174" t="s">
        <v>90</v>
      </c>
      <c r="F10" s="185">
        <f ca="1">SUM(F7:F9)</f>
        <v>10681.803530917758</v>
      </c>
      <c r="G10" s="185">
        <f ca="1">SUM(G7:G9)</f>
        <v>10967.374110619132</v>
      </c>
      <c r="H10" s="185">
        <f ca="1">SUM(H7:H9)</f>
        <v>11572.193559761403</v>
      </c>
      <c r="I10" s="185">
        <f ca="1">SUM(I7:I9)</f>
        <v>12192.612953136791</v>
      </c>
      <c r="J10" s="185">
        <f ca="1">SUM(J7:J9)</f>
        <v>12799.464578348321</v>
      </c>
    </row>
    <row r="12" spans="1:10">
      <c r="A12" s="209" t="s">
        <v>97</v>
      </c>
    </row>
    <row r="13" spans="1:10" ht="18" customHeight="1">
      <c r="B13" s="215" t="s">
        <v>98</v>
      </c>
      <c r="C13" s="215"/>
      <c r="F13" s="214">
        <f>-Calcs!N16</f>
        <v>-2506.9823999999999</v>
      </c>
      <c r="G13" s="214">
        <f>-Calcs!O16</f>
        <v>-2607.2616960000005</v>
      </c>
      <c r="H13" s="214">
        <f>-Calcs!P16</f>
        <v>-2711.55216384</v>
      </c>
      <c r="I13" s="214">
        <f>-Calcs!Q16</f>
        <v>-2820.0142503936004</v>
      </c>
      <c r="J13" s="214">
        <f>-Calcs!R16</f>
        <v>-2932.8148204093441</v>
      </c>
    </row>
    <row r="14" spans="1:10" ht="18" customHeight="1">
      <c r="B14" s="211" t="s">
        <v>392</v>
      </c>
      <c r="C14" s="215"/>
      <c r="F14" s="213">
        <f>-('Balance Sheet PROJECTED'!N13-'Balance Sheet PROJECTED'!M13)</f>
        <v>1038.6784</v>
      </c>
      <c r="G14" s="213">
        <f>-('Balance Sheet PROJECTED'!O13-'Balance Sheet PROJECTED'!N13)</f>
        <v>-66.852864000000181</v>
      </c>
      <c r="H14" s="213">
        <f>-('Balance Sheet PROJECTED'!P13-'Balance Sheet PROJECTED'!O13)</f>
        <v>-69.526978559999861</v>
      </c>
      <c r="I14" s="213">
        <f>-('Balance Sheet PROJECTED'!Q13-'Balance Sheet PROJECTED'!P13)</f>
        <v>-72.30805770240022</v>
      </c>
      <c r="J14" s="213">
        <f>-('Balance Sheet PROJECTED'!R13-'Balance Sheet PROJECTED'!Q13)</f>
        <v>-75.200380010496019</v>
      </c>
    </row>
    <row r="15" spans="1:10" ht="18" customHeight="1">
      <c r="B15" s="211" t="s">
        <v>391</v>
      </c>
      <c r="C15" s="215"/>
      <c r="F15" s="213">
        <f>-('Balance Sheet PROJECTED'!N15-'Balance Sheet PROJECTED'!M15)</f>
        <v>434.07200000000012</v>
      </c>
      <c r="G15" s="213">
        <f>-('Balance Sheet PROJECTED'!O15-'Balance Sheet PROJECTED'!N15)</f>
        <v>-226.4371200000005</v>
      </c>
      <c r="H15" s="213">
        <f>-('Balance Sheet PROJECTED'!P15-'Balance Sheet PROJECTED'!O15)</f>
        <v>-235.49460480000016</v>
      </c>
      <c r="I15" s="213">
        <f>-('Balance Sheet PROJECTED'!Q15-'Balance Sheet PROJECTED'!P15)</f>
        <v>-244.91438899199966</v>
      </c>
      <c r="J15" s="213">
        <f>-('Balance Sheet PROJECTED'!R15-'Balance Sheet PROJECTED'!Q15)</f>
        <v>-254.71096455168026</v>
      </c>
    </row>
    <row r="16" spans="1:10" ht="18" customHeight="1">
      <c r="B16" s="211" t="s">
        <v>438</v>
      </c>
      <c r="C16" s="215"/>
      <c r="F16" s="213">
        <f>'Balance Sheet PROJECTED'!N49-'Balance Sheet PROJECTED'!M49</f>
        <v>388.14239999999995</v>
      </c>
      <c r="G16" s="213">
        <f>'Balance Sheet PROJECTED'!O49-'Balance Sheet PROJECTED'!N49</f>
        <v>46.365696000000071</v>
      </c>
      <c r="H16" s="213">
        <f>'Balance Sheet PROJECTED'!P49-'Balance Sheet PROJECTED'!O49</f>
        <v>48.220323839999992</v>
      </c>
      <c r="I16" s="213">
        <f>'Balance Sheet PROJECTED'!Q49-'Balance Sheet PROJECTED'!P49</f>
        <v>50.149136793600064</v>
      </c>
      <c r="J16" s="213">
        <f>'Balance Sheet PROJECTED'!R49-'Balance Sheet PROJECTED'!Q49</f>
        <v>52.155102265343885</v>
      </c>
    </row>
    <row r="17" spans="1:10">
      <c r="B17" s="174" t="s">
        <v>99</v>
      </c>
      <c r="F17" s="185">
        <f>SUM(F13:F16)</f>
        <v>-646.08959999999979</v>
      </c>
      <c r="G17" s="185">
        <f>SUM(G13:G16)</f>
        <v>-2854.1859840000016</v>
      </c>
      <c r="H17" s="185">
        <f>SUM(H13:H16)</f>
        <v>-2968.3534233600003</v>
      </c>
      <c r="I17" s="185">
        <f>SUM(I13:I16)</f>
        <v>-3087.0875602944002</v>
      </c>
      <c r="J17" s="185">
        <f>SUM(J13:J16)</f>
        <v>-3210.5710627061762</v>
      </c>
    </row>
    <row r="19" spans="1:10">
      <c r="A19" s="209" t="s">
        <v>100</v>
      </c>
    </row>
    <row r="20" spans="1:10" ht="18" customHeight="1">
      <c r="B20" s="175" t="s">
        <v>401</v>
      </c>
      <c r="F20" s="221">
        <f>'Balance Sheet PROJECTED'!N31-'Balance Sheet PROJECTED'!M31</f>
        <v>-832.20689655172464</v>
      </c>
      <c r="G20" s="221">
        <f>'Balance Sheet PROJECTED'!O31-'Balance Sheet PROJECTED'!N31</f>
        <v>-832.20689655172464</v>
      </c>
      <c r="H20" s="221">
        <f>'Balance Sheet PROJECTED'!P31-'Balance Sheet PROJECTED'!O31</f>
        <v>-832.20689655172464</v>
      </c>
      <c r="I20" s="221">
        <f>'Balance Sheet PROJECTED'!Q31-'Balance Sheet PROJECTED'!P31</f>
        <v>-832.20689655172464</v>
      </c>
      <c r="J20" s="221">
        <f>'Balance Sheet PROJECTED'!R31-'Balance Sheet PROJECTED'!Q31</f>
        <v>-832.20689655172464</v>
      </c>
    </row>
    <row r="21" spans="1:10" ht="18" customHeight="1">
      <c r="B21" s="175" t="s">
        <v>402</v>
      </c>
      <c r="F21" s="221">
        <f>'Balance Sheet PROJECTED'!N32-'Balance Sheet PROJECTED'!M32</f>
        <v>-44.482758620689765</v>
      </c>
      <c r="G21" s="221">
        <f>'Balance Sheet PROJECTED'!O32-'Balance Sheet PROJECTED'!N32</f>
        <v>-44.482758620689765</v>
      </c>
      <c r="H21" s="221">
        <f>'Balance Sheet PROJECTED'!P32-'Balance Sheet PROJECTED'!O32</f>
        <v>-44.482758620689765</v>
      </c>
      <c r="I21" s="221">
        <f>'Balance Sheet PROJECTED'!Q32-'Balance Sheet PROJECTED'!P32</f>
        <v>-44.482758620689765</v>
      </c>
      <c r="J21" s="221">
        <f>'Balance Sheet PROJECTED'!R32-'Balance Sheet PROJECTED'!Q32</f>
        <v>-44.482758620689765</v>
      </c>
    </row>
    <row r="22" spans="1:10" ht="18" customHeight="1">
      <c r="B22" s="175" t="s">
        <v>403</v>
      </c>
      <c r="F22" s="221">
        <f>'Balance Sheet PROJECTED'!N33-'Balance Sheet PROJECTED'!M33</f>
        <v>-806.81818181818198</v>
      </c>
      <c r="G22" s="221">
        <f>'Balance Sheet PROJECTED'!O33-'Balance Sheet PROJECTED'!N33</f>
        <v>-806.81818181818198</v>
      </c>
      <c r="H22" s="221">
        <f>'Balance Sheet PROJECTED'!P33-'Balance Sheet PROJECTED'!O33</f>
        <v>-806.81818181818198</v>
      </c>
      <c r="I22" s="221">
        <f>'Balance Sheet PROJECTED'!Q33-'Balance Sheet PROJECTED'!P33</f>
        <v>-806.81818181818198</v>
      </c>
      <c r="J22" s="221">
        <f>'Balance Sheet PROJECTED'!R33-'Balance Sheet PROJECTED'!Q33</f>
        <v>-806.81818181818198</v>
      </c>
    </row>
    <row r="23" spans="1:10" ht="18" customHeight="1">
      <c r="B23" s="175" t="s">
        <v>404</v>
      </c>
      <c r="F23" s="221">
        <f>'Balance Sheet PROJECTED'!N34-'Balance Sheet PROJECTED'!M34</f>
        <v>-28.272727272727252</v>
      </c>
      <c r="G23" s="221">
        <f>'Balance Sheet PROJECTED'!O34-'Balance Sheet PROJECTED'!N34</f>
        <v>-28.27272727272728</v>
      </c>
      <c r="H23" s="221">
        <f>'Balance Sheet PROJECTED'!P34-'Balance Sheet PROJECTED'!O34</f>
        <v>-28.27272727272728</v>
      </c>
      <c r="I23" s="221">
        <f>'Balance Sheet PROJECTED'!Q34-'Balance Sheet PROJECTED'!P34</f>
        <v>-28.27272727272728</v>
      </c>
      <c r="J23" s="221">
        <f>'Balance Sheet PROJECTED'!R34-'Balance Sheet PROJECTED'!Q34</f>
        <v>-28.27272727272728</v>
      </c>
    </row>
    <row r="24" spans="1:10" ht="18" customHeight="1">
      <c r="B24" s="175" t="s">
        <v>405</v>
      </c>
      <c r="F24" s="221">
        <f>'Balance Sheet PROJECTED'!N35-'Balance Sheet PROJECTED'!M35</f>
        <v>0</v>
      </c>
      <c r="G24" s="221">
        <f>'Balance Sheet PROJECTED'!O35-'Balance Sheet PROJECTED'!N35</f>
        <v>-92.75</v>
      </c>
      <c r="H24" s="221">
        <f>'Balance Sheet PROJECTED'!P35-'Balance Sheet PROJECTED'!O35</f>
        <v>-92.75</v>
      </c>
      <c r="I24" s="221">
        <f>'Balance Sheet PROJECTED'!Q35-'Balance Sheet PROJECTED'!P35</f>
        <v>-92.75</v>
      </c>
      <c r="J24" s="221">
        <f>'Balance Sheet PROJECTED'!R35-'Balance Sheet PROJECTED'!Q35</f>
        <v>-92.75</v>
      </c>
    </row>
    <row r="25" spans="1:10" ht="18" customHeight="1">
      <c r="B25" s="175" t="s">
        <v>406</v>
      </c>
      <c r="F25" s="221">
        <f>'Balance Sheet PROJECTED'!N36-'Balance Sheet PROJECTED'!M36</f>
        <v>0</v>
      </c>
      <c r="G25" s="221">
        <f>'Balance Sheet PROJECTED'!O36-'Balance Sheet PROJECTED'!N36</f>
        <v>0</v>
      </c>
      <c r="H25" s="221">
        <f>'Balance Sheet PROJECTED'!P36-'Balance Sheet PROJECTED'!O36</f>
        <v>0</v>
      </c>
      <c r="I25" s="221">
        <f>'Balance Sheet PROJECTED'!Q36-'Balance Sheet PROJECTED'!P36</f>
        <v>0</v>
      </c>
      <c r="J25" s="221">
        <f>'Balance Sheet PROJECTED'!R36-'Balance Sheet PROJECTED'!Q36</f>
        <v>0</v>
      </c>
    </row>
    <row r="26" spans="1:10" ht="18" customHeight="1">
      <c r="B26" s="175" t="s">
        <v>407</v>
      </c>
      <c r="F26" s="221">
        <f>'Balance Sheet PROJECTED'!N37-'Balance Sheet PROJECTED'!M37</f>
        <v>0</v>
      </c>
      <c r="G26" s="221">
        <f>'Balance Sheet PROJECTED'!O37-'Balance Sheet PROJECTED'!N37</f>
        <v>0</v>
      </c>
      <c r="H26" s="221">
        <f>'Balance Sheet PROJECTED'!P37-'Balance Sheet PROJECTED'!O37</f>
        <v>0</v>
      </c>
      <c r="I26" s="221">
        <f>'Balance Sheet PROJECTED'!Q37-'Balance Sheet PROJECTED'!P37</f>
        <v>0</v>
      </c>
      <c r="J26" s="221">
        <f>'Balance Sheet PROJECTED'!R37-'Balance Sheet PROJECTED'!Q37</f>
        <v>0</v>
      </c>
    </row>
    <row r="27" spans="1:10" ht="18" customHeight="1">
      <c r="B27" s="175" t="s">
        <v>409</v>
      </c>
      <c r="F27" s="221">
        <f>'Balance Sheet PROJECTED'!N38-'Balance Sheet PROJECTED'!M38</f>
        <v>-231.66666666666674</v>
      </c>
      <c r="G27" s="221">
        <f>'Balance Sheet PROJECTED'!O38-'Balance Sheet PROJECTED'!N38</f>
        <v>-231.66666666666663</v>
      </c>
      <c r="H27" s="221">
        <f>'Balance Sheet PROJECTED'!P38-'Balance Sheet PROJECTED'!O38</f>
        <v>-231.66666666666663</v>
      </c>
      <c r="I27" s="221">
        <f>'Balance Sheet PROJECTED'!Q38-'Balance Sheet PROJECTED'!P38</f>
        <v>-231.66666666666663</v>
      </c>
      <c r="J27" s="221">
        <f>'Balance Sheet PROJECTED'!R38-'Balance Sheet PROJECTED'!Q38</f>
        <v>-231.66666666666666</v>
      </c>
    </row>
    <row r="28" spans="1:10" ht="18" customHeight="1">
      <c r="B28" s="175" t="s">
        <v>408</v>
      </c>
      <c r="F28" s="221">
        <f>'Balance Sheet PROJECTED'!N39-'Balance Sheet PROJECTED'!M39</f>
        <v>0</v>
      </c>
      <c r="G28" s="221">
        <f>'Balance Sheet PROJECTED'!O39-'Balance Sheet PROJECTED'!N39</f>
        <v>0</v>
      </c>
      <c r="H28" s="221">
        <f>'Balance Sheet PROJECTED'!P39-'Balance Sheet PROJECTED'!O39</f>
        <v>0</v>
      </c>
      <c r="I28" s="221">
        <f>'Balance Sheet PROJECTED'!Q39-'Balance Sheet PROJECTED'!P39</f>
        <v>0</v>
      </c>
      <c r="J28" s="221">
        <f>'Balance Sheet PROJECTED'!R39-'Balance Sheet PROJECTED'!Q39</f>
        <v>0</v>
      </c>
    </row>
    <row r="29" spans="1:10" ht="18" customHeight="1">
      <c r="B29" s="175" t="s">
        <v>411</v>
      </c>
      <c r="F29" s="221">
        <f>'Balance Sheet PROJECTED'!N40-'Balance Sheet PROJECTED'!M40</f>
        <v>-75.625</v>
      </c>
      <c r="G29" s="221">
        <f>'Balance Sheet PROJECTED'!O40-'Balance Sheet PROJECTED'!N40</f>
        <v>-75.625</v>
      </c>
      <c r="H29" s="221">
        <f>'Balance Sheet PROJECTED'!P40-'Balance Sheet PROJECTED'!O40</f>
        <v>-75.625</v>
      </c>
      <c r="I29" s="221">
        <f>'Balance Sheet PROJECTED'!Q40-'Balance Sheet PROJECTED'!P40</f>
        <v>-75.625</v>
      </c>
      <c r="J29" s="221">
        <f>'Balance Sheet PROJECTED'!R40-'Balance Sheet PROJECTED'!Q40</f>
        <v>-75.625</v>
      </c>
    </row>
    <row r="30" spans="1:10" ht="18" customHeight="1">
      <c r="B30" s="175" t="s">
        <v>412</v>
      </c>
      <c r="F30" s="221">
        <f>'Balance Sheet PROJECTED'!N41-'Balance Sheet PROJECTED'!M41</f>
        <v>-0.25</v>
      </c>
      <c r="G30" s="221">
        <f>'Balance Sheet PROJECTED'!O41-'Balance Sheet PROJECTED'!N41</f>
        <v>-0.25</v>
      </c>
      <c r="H30" s="221">
        <f>'Balance Sheet PROJECTED'!P41-'Balance Sheet PROJECTED'!O41</f>
        <v>-0.25</v>
      </c>
      <c r="I30" s="221">
        <f>'Balance Sheet PROJECTED'!Q41-'Balance Sheet PROJECTED'!P41</f>
        <v>-0.25</v>
      </c>
      <c r="J30" s="221">
        <f>'Balance Sheet PROJECTED'!R41-'Balance Sheet PROJECTED'!Q41</f>
        <v>-0.25</v>
      </c>
    </row>
    <row r="31" spans="1:10" ht="18" customHeight="1">
      <c r="B31" s="209" t="s">
        <v>410</v>
      </c>
      <c r="F31" s="247">
        <f>SUM(F20:F30)</f>
        <v>-2019.3222309299904</v>
      </c>
      <c r="G31" s="247">
        <f t="shared" ref="G31:J31" si="0">SUM(G20:G30)</f>
        <v>-2112.0722309299904</v>
      </c>
      <c r="H31" s="247">
        <f t="shared" si="0"/>
        <v>-2112.0722309299904</v>
      </c>
      <c r="I31" s="247">
        <f t="shared" si="0"/>
        <v>-2112.0722309299904</v>
      </c>
      <c r="J31" s="247">
        <f t="shared" si="0"/>
        <v>-2112.0722309299904</v>
      </c>
    </row>
    <row r="32" spans="1:10" ht="18" customHeight="1">
      <c r="B32" s="215"/>
      <c r="F32" s="213"/>
      <c r="G32" s="213"/>
      <c r="H32" s="213"/>
      <c r="I32" s="213"/>
      <c r="J32" s="213"/>
    </row>
    <row r="33" spans="1:10" ht="18" customHeight="1">
      <c r="B33" s="215"/>
      <c r="F33" s="213"/>
      <c r="G33" s="213"/>
      <c r="H33" s="213"/>
      <c r="I33" s="213"/>
      <c r="J33" s="213"/>
    </row>
    <row r="34" spans="1:10" ht="18" customHeight="1">
      <c r="B34" s="161" t="s">
        <v>348</v>
      </c>
      <c r="F34" s="213">
        <f>'Balance Sheet PROJECTED'!N54-'Balance Sheet PROJECTED'!M54</f>
        <v>0</v>
      </c>
      <c r="G34" s="213">
        <f>'Balance Sheet PROJECTED'!O54-'Balance Sheet PROJECTED'!N54</f>
        <v>0</v>
      </c>
      <c r="H34" s="213">
        <f>'Balance Sheet PROJECTED'!P54-'Balance Sheet PROJECTED'!O54</f>
        <v>0</v>
      </c>
      <c r="I34" s="213">
        <f>'Balance Sheet PROJECTED'!Q54-'Balance Sheet PROJECTED'!P54</f>
        <v>0</v>
      </c>
      <c r="J34" s="213">
        <f>'Balance Sheet PROJECTED'!R54-'Balance Sheet PROJECTED'!Q54</f>
        <v>0</v>
      </c>
    </row>
    <row r="35" spans="1:10" ht="18" customHeight="1">
      <c r="B35" s="161" t="s">
        <v>12</v>
      </c>
      <c r="F35" s="213">
        <f>'Balance Sheet PROJECTED'!N55-'Balance Sheet PROJECTED'!M55</f>
        <v>0</v>
      </c>
      <c r="G35" s="213">
        <f>'Balance Sheet PROJECTED'!O55-'Balance Sheet PROJECTED'!N55</f>
        <v>0</v>
      </c>
      <c r="H35" s="213">
        <f>'Balance Sheet PROJECTED'!P55-'Balance Sheet PROJECTED'!O55</f>
        <v>0</v>
      </c>
      <c r="I35" s="213">
        <f>'Balance Sheet PROJECTED'!Q55-'Balance Sheet PROJECTED'!P55</f>
        <v>0</v>
      </c>
      <c r="J35" s="213">
        <f>'Balance Sheet PROJECTED'!R55-'Balance Sheet PROJECTED'!Q55</f>
        <v>0</v>
      </c>
    </row>
    <row r="36" spans="1:10" ht="18" customHeight="1">
      <c r="B36" s="161" t="s">
        <v>347</v>
      </c>
      <c r="F36" s="213">
        <f>'Balance Sheet PROJECTED'!N57-'Balance Sheet PROJECTED'!M57</f>
        <v>0</v>
      </c>
      <c r="G36" s="213">
        <f>'Balance Sheet PROJECTED'!O57-'Balance Sheet PROJECTED'!N57</f>
        <v>0</v>
      </c>
      <c r="H36" s="213">
        <f>'Balance Sheet PROJECTED'!P57-'Balance Sheet PROJECTED'!O57</f>
        <v>0</v>
      </c>
      <c r="I36" s="213">
        <f>'Balance Sheet PROJECTED'!Q57-'Balance Sheet PROJECTED'!P57</f>
        <v>0</v>
      </c>
      <c r="J36" s="213">
        <f>'Balance Sheet PROJECTED'!R57-'Balance Sheet PROJECTED'!Q57</f>
        <v>0</v>
      </c>
    </row>
    <row r="37" spans="1:10" ht="18" customHeight="1">
      <c r="B37" s="161" t="s">
        <v>433</v>
      </c>
      <c r="F37" s="218">
        <v>-3000</v>
      </c>
      <c r="G37" s="213">
        <f>'Balance Sheet PROJECTED'!O58-'Balance Sheet PROJECTED'!N58</f>
        <v>0</v>
      </c>
      <c r="H37" s="213">
        <f>'Balance Sheet PROJECTED'!P58-'Balance Sheet PROJECTED'!O58</f>
        <v>0</v>
      </c>
      <c r="I37" s="213">
        <f>'Balance Sheet PROJECTED'!Q58-'Balance Sheet PROJECTED'!P58</f>
        <v>0</v>
      </c>
      <c r="J37" s="213">
        <f>'Balance Sheet PROJECTED'!R58-'Balance Sheet PROJECTED'!Q58</f>
        <v>0</v>
      </c>
    </row>
    <row r="38" spans="1:10" ht="18" customHeight="1">
      <c r="B38" s="161" t="s">
        <v>101</v>
      </c>
      <c r="F38" s="218">
        <f ca="1">-1*Calcs!N7</f>
        <v>-5058.8210088998321</v>
      </c>
      <c r="G38" s="218">
        <f ca="1">-1*Calcs!O7</f>
        <v>-5255.2123280792703</v>
      </c>
      <c r="H38" s="218">
        <f ca="1">-1*Calcs!P7</f>
        <v>-5509.9275093921196</v>
      </c>
      <c r="I38" s="218">
        <f ca="1">-1*Calcs!Q7</f>
        <v>-5765.0433295815747</v>
      </c>
      <c r="J38" s="218">
        <f ca="1">-1*Calcs!R7</f>
        <v>-6002.0391638173278</v>
      </c>
    </row>
    <row r="39" spans="1:10">
      <c r="B39" s="174" t="s">
        <v>102</v>
      </c>
      <c r="F39" s="185">
        <f ca="1">SUM(F31:F38)</f>
        <v>-10078.143239829824</v>
      </c>
      <c r="G39" s="185">
        <f ca="1">SUM(G31:G38)</f>
        <v>-7367.2845590092602</v>
      </c>
      <c r="H39" s="185">
        <f t="shared" ref="G39:J39" ca="1" si="1">SUM(H31:H38)</f>
        <v>-7621.9997403221096</v>
      </c>
      <c r="I39" s="185">
        <f t="shared" ca="1" si="1"/>
        <v>-7877.1155605115655</v>
      </c>
      <c r="J39" s="185">
        <f t="shared" ca="1" si="1"/>
        <v>-8114.1113947473186</v>
      </c>
    </row>
    <row r="41" spans="1:10">
      <c r="B41" s="217" t="s">
        <v>103</v>
      </c>
      <c r="F41" s="220">
        <f ca="1">F39+F17+F10</f>
        <v>-42.429308912065608</v>
      </c>
      <c r="G41" s="220">
        <f ca="1">G39+G17+G10</f>
        <v>745.90356760987015</v>
      </c>
      <c r="H41" s="220">
        <f ca="1">H39+H17+H10</f>
        <v>981.84039607929299</v>
      </c>
      <c r="I41" s="220">
        <f ca="1">I39+I17+I10</f>
        <v>1228.4098323308262</v>
      </c>
      <c r="J41" s="220">
        <f ca="1">J39+J17+J10</f>
        <v>1474.7821208948262</v>
      </c>
    </row>
    <row r="43" spans="1:10">
      <c r="A43" s="209" t="s">
        <v>104</v>
      </c>
    </row>
    <row r="44" spans="1:10" ht="18" customHeight="1">
      <c r="B44" s="215" t="s">
        <v>105</v>
      </c>
      <c r="F44" s="219">
        <f>E46</f>
        <v>1085</v>
      </c>
      <c r="G44" s="219">
        <f t="shared" ref="G44:J44" ca="1" si="2">F46</f>
        <v>1042.5706910879344</v>
      </c>
      <c r="H44" s="219">
        <f t="shared" ca="1" si="2"/>
        <v>1788.4742586978045</v>
      </c>
      <c r="I44" s="219">
        <f t="shared" ca="1" si="2"/>
        <v>2770.3146547770975</v>
      </c>
      <c r="J44" s="219">
        <f t="shared" ca="1" si="2"/>
        <v>3998.7244871079238</v>
      </c>
    </row>
    <row r="45" spans="1:10" ht="18" customHeight="1">
      <c r="B45" s="215" t="s">
        <v>106</v>
      </c>
      <c r="F45" s="218">
        <f ca="1">F41</f>
        <v>-42.429308912065608</v>
      </c>
      <c r="G45" s="218">
        <f t="shared" ref="G45:J45" ca="1" si="3">G41</f>
        <v>745.90356760987015</v>
      </c>
      <c r="H45" s="218">
        <f t="shared" ca="1" si="3"/>
        <v>981.84039607929299</v>
      </c>
      <c r="I45" s="218">
        <f t="shared" ca="1" si="3"/>
        <v>1228.4098323308262</v>
      </c>
      <c r="J45" s="218">
        <f t="shared" ca="1" si="3"/>
        <v>1474.7821208948262</v>
      </c>
    </row>
    <row r="46" spans="1:10" ht="18" customHeight="1">
      <c r="B46" s="217" t="s">
        <v>107</v>
      </c>
      <c r="E46" s="216">
        <f>'Balance Sheet PROJECTED'!$M$6</f>
        <v>1085</v>
      </c>
      <c r="F46" s="185">
        <f ca="1">SUM(F44:F45)</f>
        <v>1042.5706910879344</v>
      </c>
      <c r="G46" s="185">
        <f t="shared" ref="G46:J46" ca="1" si="4">SUM(G44:G45)</f>
        <v>1788.4742586978045</v>
      </c>
      <c r="H46" s="185">
        <f t="shared" ca="1" si="4"/>
        <v>2770.3146547770975</v>
      </c>
      <c r="I46" s="185">
        <f t="shared" ca="1" si="4"/>
        <v>3998.7244871079238</v>
      </c>
      <c r="J46" s="185">
        <f t="shared" ca="1" si="4"/>
        <v>5473.50660800275</v>
      </c>
    </row>
    <row r="48" spans="1:10" ht="18" customHeight="1">
      <c r="B48" s="215" t="s">
        <v>84</v>
      </c>
      <c r="F48" s="214">
        <f>'Balance Sheet PROJECTED'!N6</f>
        <v>3234.8159999999998</v>
      </c>
      <c r="G48" s="214">
        <f>'Balance Sheet PROJECTED'!O6</f>
        <v>3364.2086400000003</v>
      </c>
      <c r="H48" s="214">
        <f>'Balance Sheet PROJECTED'!P6</f>
        <v>3498.7769856</v>
      </c>
      <c r="I48" s="214">
        <f>'Balance Sheet PROJECTED'!Q6</f>
        <v>3638.7280650240004</v>
      </c>
      <c r="J48" s="214">
        <f>'Balance Sheet PROJECTED'!R6</f>
        <v>3784.2771876249603</v>
      </c>
    </row>
    <row r="49" spans="1:10" ht="18" customHeight="1">
      <c r="B49" s="215" t="s">
        <v>108</v>
      </c>
      <c r="F49" s="214">
        <f ca="1">F46-F48</f>
        <v>-2192.2453089120654</v>
      </c>
      <c r="G49" s="214">
        <f t="shared" ref="G49:J49" ca="1" si="5">G46-G48</f>
        <v>-1575.7343813021957</v>
      </c>
      <c r="H49" s="214">
        <f t="shared" ca="1" si="5"/>
        <v>-728.46233082290246</v>
      </c>
      <c r="I49" s="214">
        <f t="shared" ca="1" si="5"/>
        <v>359.99642208392333</v>
      </c>
      <c r="J49" s="214">
        <f t="shared" ca="1" si="5"/>
        <v>1689.2294203777897</v>
      </c>
    </row>
    <row r="51" spans="1:10">
      <c r="A51" s="209" t="s">
        <v>172</v>
      </c>
      <c r="B51" s="175"/>
      <c r="C51" s="175"/>
      <c r="D51" s="175"/>
      <c r="E51" s="175"/>
      <c r="F51" s="175"/>
      <c r="G51" s="175"/>
      <c r="H51" s="175"/>
      <c r="I51" s="175"/>
      <c r="J51" s="175"/>
    </row>
    <row r="52" spans="1:10">
      <c r="A52" s="175"/>
      <c r="B52" s="175" t="s">
        <v>173</v>
      </c>
      <c r="C52" s="175"/>
      <c r="D52" s="175"/>
      <c r="E52" s="175"/>
      <c r="F52" s="212">
        <f>'Income Statement'!N18</f>
        <v>11726.208000000001</v>
      </c>
      <c r="G52" s="212">
        <f>'Income Statement'!O18</f>
        <v>12108.994560000003</v>
      </c>
      <c r="H52" s="212">
        <f>'Income Statement'!P18</f>
        <v>12500.191641599997</v>
      </c>
      <c r="I52" s="212">
        <f>'Income Statement'!Q18</f>
        <v>12899.5835904</v>
      </c>
      <c r="J52" s="212">
        <f>'Income Statement'!R18</f>
        <v>13306.901959802884</v>
      </c>
    </row>
    <row r="53" spans="1:10">
      <c r="A53" s="175"/>
      <c r="B53" s="175" t="s">
        <v>174</v>
      </c>
      <c r="C53" s="175"/>
      <c r="D53" s="175"/>
      <c r="E53" s="175"/>
      <c r="F53" s="172">
        <f>'Income Statement'!N13</f>
        <v>2695.6800000000003</v>
      </c>
      <c r="G53" s="172">
        <f>'Income Statement'!O13</f>
        <v>2803.5072000000005</v>
      </c>
      <c r="H53" s="172">
        <f>'Income Statement'!P13</f>
        <v>2915.6474880000005</v>
      </c>
      <c r="I53" s="172">
        <f>'Income Statement'!Q13</f>
        <v>3032.2733875200006</v>
      </c>
      <c r="J53" s="172">
        <f>'Income Statement'!R13</f>
        <v>3153.5643230208007</v>
      </c>
    </row>
    <row r="54" spans="1:10">
      <c r="A54" s="175"/>
      <c r="B54" s="175" t="s">
        <v>175</v>
      </c>
      <c r="C54" s="175"/>
      <c r="D54" s="175"/>
      <c r="E54" s="175"/>
      <c r="F54" s="172">
        <f ca="1">'Income Statement'!N23</f>
        <v>1820.4473842502396</v>
      </c>
      <c r="G54" s="172">
        <f ca="1">'Income Statement'!O23</f>
        <v>1891.1199901124919</v>
      </c>
      <c r="H54" s="172">
        <f ca="1">'Income Statement'!P23</f>
        <v>1982.7807910647371</v>
      </c>
      <c r="I54" s="172">
        <f ca="1">'Income Statement'!Q23</f>
        <v>2074.5857643436293</v>
      </c>
      <c r="J54" s="172">
        <f ca="1">'Income Statement'!R23</f>
        <v>2159.8701509138727</v>
      </c>
    </row>
    <row r="55" spans="1:10">
      <c r="A55" s="175"/>
      <c r="B55" s="174" t="s">
        <v>176</v>
      </c>
      <c r="C55" s="175"/>
      <c r="D55" s="175"/>
      <c r="E55" s="175"/>
      <c r="F55" s="185">
        <f ca="1">F52+F53-F54</f>
        <v>12601.440615749761</v>
      </c>
      <c r="G55" s="185">
        <f ca="1">G52+G53-G54</f>
        <v>13021.38176988751</v>
      </c>
      <c r="H55" s="185">
        <f ca="1">H52+H53-H54</f>
        <v>13433.05833853526</v>
      </c>
      <c r="I55" s="185">
        <f ca="1">I52+I53-I54</f>
        <v>13857.271213576372</v>
      </c>
      <c r="J55" s="185">
        <f ca="1">J52+J53-J54</f>
        <v>14300.59613190981</v>
      </c>
    </row>
    <row r="56" spans="1:10">
      <c r="A56" s="175"/>
      <c r="B56" s="175"/>
      <c r="C56" s="175"/>
      <c r="D56" s="175"/>
      <c r="E56" s="175"/>
      <c r="F56" s="175"/>
      <c r="G56" s="175"/>
      <c r="H56" s="175"/>
      <c r="I56" s="175"/>
      <c r="J56" s="175"/>
    </row>
    <row r="57" spans="1:10">
      <c r="A57" s="175"/>
      <c r="B57" s="175" t="s">
        <v>176</v>
      </c>
      <c r="C57" s="175"/>
      <c r="D57" s="175"/>
      <c r="E57" s="175"/>
      <c r="F57" s="212">
        <f ca="1">F55</f>
        <v>12601.440615749761</v>
      </c>
      <c r="G57" s="212">
        <f ca="1">G55</f>
        <v>13021.38176988751</v>
      </c>
      <c r="H57" s="212">
        <f ca="1">H55</f>
        <v>13433.05833853526</v>
      </c>
      <c r="I57" s="212">
        <f ca="1">I55</f>
        <v>13857.271213576372</v>
      </c>
      <c r="J57" s="212">
        <f ca="1">J55</f>
        <v>14300.59613190981</v>
      </c>
    </row>
    <row r="58" spans="1:10">
      <c r="A58" s="175"/>
      <c r="B58" s="175" t="s">
        <v>393</v>
      </c>
      <c r="C58" s="175"/>
      <c r="D58" s="175"/>
      <c r="E58" s="175"/>
      <c r="F58" s="172">
        <f>'Cash Flow Statement'!F8</f>
        <v>2156.5439999999999</v>
      </c>
      <c r="G58" s="172">
        <f>'Cash Flow Statement'!G8</f>
        <v>2329.0675200000001</v>
      </c>
      <c r="H58" s="172">
        <f>'Cash Flow Statement'!H8</f>
        <v>2515.3929216000001</v>
      </c>
      <c r="I58" s="172">
        <f>'Cash Flow Statement'!I8</f>
        <v>2716.6243553280005</v>
      </c>
      <c r="J58" s="172">
        <f>'Cash Flow Statement'!J8</f>
        <v>2933.9543037542408</v>
      </c>
    </row>
    <row r="59" spans="1:10">
      <c r="A59" s="175"/>
      <c r="B59" s="210" t="s">
        <v>209</v>
      </c>
      <c r="C59" s="175"/>
      <c r="D59" s="175"/>
      <c r="E59" s="175"/>
      <c r="F59" s="172">
        <f>'Cash Flow Statement'!F9</f>
        <v>232.11033600000019</v>
      </c>
      <c r="G59" s="172">
        <f>'Cash Flow Statement'!G9</f>
        <v>23.204413439999826</v>
      </c>
      <c r="H59" s="172">
        <f>'Cash Flow Statement'!H9</f>
        <v>24.132589977600219</v>
      </c>
      <c r="I59" s="172">
        <f>'Cash Flow Statement'!I9</f>
        <v>25.097893576702518</v>
      </c>
      <c r="J59" s="172">
        <f>'Cash Flow Statement'!J9</f>
        <v>26.10180931977311</v>
      </c>
    </row>
    <row r="60" spans="1:10">
      <c r="A60" s="175"/>
      <c r="B60" s="175" t="s">
        <v>98</v>
      </c>
      <c r="C60" s="175"/>
      <c r="D60" s="175"/>
      <c r="E60" s="175"/>
      <c r="F60" s="172">
        <f>'Cash Flow Statement'!F13</f>
        <v>-2506.9823999999999</v>
      </c>
      <c r="G60" s="172">
        <f>'Cash Flow Statement'!G13</f>
        <v>-2607.2616960000005</v>
      </c>
      <c r="H60" s="172">
        <f>'Cash Flow Statement'!H13</f>
        <v>-2711.55216384</v>
      </c>
      <c r="I60" s="172">
        <f>'Cash Flow Statement'!I13</f>
        <v>-2820.0142503936004</v>
      </c>
      <c r="J60" s="172">
        <f>'Cash Flow Statement'!J13</f>
        <v>-2932.8148204093441</v>
      </c>
    </row>
    <row r="61" spans="1:10">
      <c r="A61" s="175"/>
      <c r="B61" s="211" t="s">
        <v>392</v>
      </c>
      <c r="C61" s="175"/>
      <c r="D61" s="175"/>
      <c r="E61" s="175"/>
      <c r="F61" s="172">
        <f t="shared" ref="F61:J62" si="6">F14</f>
        <v>1038.6784</v>
      </c>
      <c r="G61" s="172">
        <f t="shared" si="6"/>
        <v>-66.852864000000181</v>
      </c>
      <c r="H61" s="172">
        <f t="shared" si="6"/>
        <v>-69.526978559999861</v>
      </c>
      <c r="I61" s="172">
        <f t="shared" si="6"/>
        <v>-72.30805770240022</v>
      </c>
      <c r="J61" s="172">
        <f t="shared" si="6"/>
        <v>-75.200380010496019</v>
      </c>
    </row>
    <row r="62" spans="1:10">
      <c r="A62" s="175"/>
      <c r="B62" s="211" t="s">
        <v>391</v>
      </c>
      <c r="C62" s="175"/>
      <c r="D62" s="175"/>
      <c r="E62" s="175"/>
      <c r="F62" s="172">
        <f t="shared" si="6"/>
        <v>434.07200000000012</v>
      </c>
      <c r="G62" s="172">
        <f t="shared" si="6"/>
        <v>-226.4371200000005</v>
      </c>
      <c r="H62" s="172">
        <f t="shared" si="6"/>
        <v>-235.49460480000016</v>
      </c>
      <c r="I62" s="172">
        <f t="shared" si="6"/>
        <v>-244.91438899199966</v>
      </c>
      <c r="J62" s="172">
        <f t="shared" si="6"/>
        <v>-254.71096455168026</v>
      </c>
    </row>
    <row r="63" spans="1:10">
      <c r="A63" s="175"/>
      <c r="B63" s="210" t="s">
        <v>210</v>
      </c>
      <c r="C63" s="175"/>
      <c r="D63" s="175"/>
      <c r="E63" s="175"/>
      <c r="F63" s="172">
        <f>'Cash Flow Statement'!F16</f>
        <v>388.14239999999995</v>
      </c>
      <c r="G63" s="172">
        <f>'Cash Flow Statement'!G16</f>
        <v>46.365696000000071</v>
      </c>
      <c r="H63" s="172">
        <f>'Cash Flow Statement'!H16</f>
        <v>48.220323839999992</v>
      </c>
      <c r="I63" s="172">
        <f>'Cash Flow Statement'!I16</f>
        <v>50.149136793600064</v>
      </c>
      <c r="J63" s="172">
        <f>'Cash Flow Statement'!J16</f>
        <v>52.155102265343885</v>
      </c>
    </row>
    <row r="64" spans="1:10">
      <c r="A64" s="175"/>
      <c r="B64" s="174" t="s">
        <v>177</v>
      </c>
      <c r="C64" s="175"/>
      <c r="D64" s="175"/>
      <c r="E64" s="175"/>
      <c r="F64" s="185">
        <f ca="1">SUM(F57:F63)</f>
        <v>14344.005351749762</v>
      </c>
      <c r="G64" s="185">
        <f ca="1">SUM(G57:G63)</f>
        <v>12519.467719327511</v>
      </c>
      <c r="H64" s="185">
        <f ca="1">SUM(H57:H63)</f>
        <v>13004.23042675286</v>
      </c>
      <c r="I64" s="185">
        <f ca="1">SUM(I57:I63)</f>
        <v>13511.905902186672</v>
      </c>
      <c r="J64" s="185">
        <f ca="1">SUM(J57:J63)</f>
        <v>14050.081182277649</v>
      </c>
    </row>
    <row r="65" spans="1:11">
      <c r="A65" s="175"/>
      <c r="B65" s="175"/>
      <c r="C65" s="175"/>
      <c r="D65" s="175"/>
      <c r="E65" s="175"/>
      <c r="F65" s="175"/>
      <c r="G65" s="175"/>
      <c r="H65" s="175"/>
      <c r="I65" s="175"/>
      <c r="J65" s="175"/>
    </row>
    <row r="66" spans="1:11">
      <c r="A66" s="209" t="s">
        <v>178</v>
      </c>
      <c r="B66" s="175"/>
      <c r="C66" s="175"/>
      <c r="D66" s="175"/>
      <c r="E66" s="175"/>
      <c r="F66" s="175"/>
      <c r="G66" s="175"/>
      <c r="H66" s="175"/>
      <c r="I66" s="175"/>
      <c r="J66" s="175"/>
    </row>
    <row r="67" spans="1:11">
      <c r="A67" s="175"/>
      <c r="B67" s="175" t="s">
        <v>179</v>
      </c>
      <c r="C67" s="175"/>
      <c r="D67" s="208">
        <v>0.01</v>
      </c>
      <c r="E67" s="175"/>
      <c r="F67" s="175"/>
      <c r="G67" s="175"/>
      <c r="H67" s="175"/>
      <c r="I67" s="175"/>
      <c r="J67" s="175"/>
      <c r="K67" s="235"/>
    </row>
    <row r="68" spans="1:11">
      <c r="A68" s="175"/>
      <c r="B68" s="175" t="s">
        <v>180</v>
      </c>
      <c r="C68" s="175"/>
      <c r="D68" s="207">
        <f>WACC!B15</f>
        <v>6.0599110612796089E-2</v>
      </c>
      <c r="E68" s="175"/>
      <c r="F68" s="175"/>
      <c r="G68" s="175"/>
      <c r="H68" s="175"/>
      <c r="I68" s="175"/>
      <c r="J68" s="175"/>
    </row>
    <row r="69" spans="1:11">
      <c r="A69" s="175"/>
      <c r="B69" s="174" t="s">
        <v>178</v>
      </c>
      <c r="C69" s="175"/>
      <c r="D69" s="185">
        <f ca="1">J64*(1+D67)/(D68-D67)</f>
        <v>280451.21390951378</v>
      </c>
      <c r="E69" s="175"/>
      <c r="F69" s="175"/>
      <c r="G69" s="175"/>
      <c r="H69" s="175"/>
      <c r="I69" s="175"/>
      <c r="J69" s="175"/>
    </row>
    <row r="70" spans="1:11">
      <c r="A70" s="175"/>
      <c r="B70" s="175"/>
      <c r="C70" s="167"/>
      <c r="D70" s="167"/>
      <c r="E70" s="167"/>
      <c r="F70" s="165" t="s">
        <v>181</v>
      </c>
      <c r="G70" s="165" t="s">
        <v>182</v>
      </c>
      <c r="H70" s="165" t="s">
        <v>183</v>
      </c>
      <c r="I70" s="165" t="s">
        <v>145</v>
      </c>
      <c r="J70" s="165" t="s">
        <v>184</v>
      </c>
    </row>
    <row r="71" spans="1:11">
      <c r="A71" s="178" t="s">
        <v>185</v>
      </c>
      <c r="B71" s="167"/>
      <c r="C71" s="167"/>
      <c r="D71" s="167"/>
      <c r="E71" s="167"/>
      <c r="F71" s="206">
        <v>45784</v>
      </c>
      <c r="G71" s="205">
        <v>46022</v>
      </c>
      <c r="H71" s="204">
        <f>G71-F71</f>
        <v>238</v>
      </c>
      <c r="I71" s="203">
        <v>365.25</v>
      </c>
      <c r="J71" s="202">
        <f>H71/I71</f>
        <v>0.65160848733744015</v>
      </c>
    </row>
    <row r="72" spans="1:11">
      <c r="A72" s="167"/>
      <c r="B72" s="167" t="s">
        <v>186</v>
      </c>
      <c r="C72" s="201" t="s">
        <v>187</v>
      </c>
      <c r="D72" s="167"/>
      <c r="E72" s="167"/>
      <c r="F72" s="167"/>
      <c r="G72" s="167"/>
      <c r="H72" s="167"/>
      <c r="I72" s="167"/>
      <c r="J72" s="167"/>
    </row>
    <row r="73" spans="1:11">
      <c r="A73" s="167"/>
      <c r="B73" s="167" t="s">
        <v>188</v>
      </c>
      <c r="C73" s="167"/>
      <c r="D73" s="167"/>
      <c r="E73" s="167"/>
      <c r="F73" s="200">
        <f>IF($C$72="YES",J71/2,1)</f>
        <v>0.32580424366872007</v>
      </c>
      <c r="G73" s="200">
        <f>F73+1</f>
        <v>1.3258042436687201</v>
      </c>
      <c r="H73" s="200">
        <f>G73+1</f>
        <v>2.3258042436687201</v>
      </c>
      <c r="I73" s="200">
        <f>H73+1</f>
        <v>3.3258042436687201</v>
      </c>
      <c r="J73" s="200">
        <f>I73+1</f>
        <v>4.3258042436687205</v>
      </c>
    </row>
    <row r="74" spans="1:11">
      <c r="A74" s="167"/>
      <c r="B74" s="167" t="s">
        <v>189</v>
      </c>
      <c r="C74" s="167"/>
      <c r="D74" s="167"/>
      <c r="E74" s="167"/>
      <c r="F74" s="200">
        <f>1/(1+$D$68)^F73</f>
        <v>0.98101419494049991</v>
      </c>
      <c r="G74" s="200">
        <f>1/(1+$D$68)^G73</f>
        <v>0.92496230208385388</v>
      </c>
      <c r="H74" s="200">
        <f>1/(1+$D$68)^H73</f>
        <v>0.87211302821989567</v>
      </c>
      <c r="I74" s="200">
        <f>1/(1+$D$68)^I73</f>
        <v>0.82228338633624132</v>
      </c>
      <c r="J74" s="200">
        <f>1/(1+$D$68)^J73</f>
        <v>0.77530084469063898</v>
      </c>
    </row>
    <row r="75" spans="1:11">
      <c r="A75" s="167"/>
      <c r="B75" s="164" t="s">
        <v>190</v>
      </c>
      <c r="C75" s="167"/>
      <c r="D75" s="167"/>
      <c r="E75" s="167"/>
      <c r="F75" s="197">
        <f ca="1">F64*F74*J71</f>
        <v>9169.2214681555797</v>
      </c>
      <c r="G75" s="197">
        <f ca="1">G64*G74</f>
        <v>11580.035682533671</v>
      </c>
      <c r="H75" s="197">
        <f ca="1">H64*H74</f>
        <v>11341.158777144743</v>
      </c>
      <c r="I75" s="197">
        <f ca="1">I64*I74</f>
        <v>11110.615741106703</v>
      </c>
      <c r="J75" s="197">
        <f ca="1">J64*J74</f>
        <v>10893.039808591913</v>
      </c>
    </row>
    <row r="76" spans="1:11">
      <c r="A76" s="175"/>
      <c r="B76" s="175"/>
      <c r="C76" s="175"/>
      <c r="D76" s="175"/>
      <c r="E76" s="175"/>
      <c r="F76" s="175"/>
      <c r="G76" s="175"/>
      <c r="H76" s="175"/>
      <c r="I76" s="175"/>
      <c r="J76" s="175"/>
    </row>
    <row r="77" spans="1:11">
      <c r="A77" s="175"/>
      <c r="B77" s="167" t="s">
        <v>191</v>
      </c>
      <c r="C77" s="199">
        <f ca="1">SUM(F75:J75)</f>
        <v>54094.071477532612</v>
      </c>
      <c r="D77" s="175"/>
      <c r="E77" s="189" t="s">
        <v>120</v>
      </c>
      <c r="F77" s="188"/>
      <c r="G77" s="188"/>
      <c r="H77" s="188"/>
      <c r="I77" s="188"/>
      <c r="J77" s="187" t="s">
        <v>299</v>
      </c>
    </row>
    <row r="78" spans="1:11">
      <c r="A78" s="175"/>
      <c r="B78" s="167" t="s">
        <v>192</v>
      </c>
      <c r="C78" s="198">
        <f ca="1">D69*J74</f>
        <v>217434.06303856111</v>
      </c>
      <c r="D78" s="175"/>
      <c r="E78" s="186">
        <f ca="1">$C$94</f>
        <v>321.73256562178005</v>
      </c>
      <c r="F78" s="170">
        <f>G78-0.5%</f>
        <v>0</v>
      </c>
      <c r="G78" s="170">
        <f>H78-0.5%</f>
        <v>5.0000000000000001E-3</v>
      </c>
      <c r="H78" s="182">
        <f>D67</f>
        <v>0.01</v>
      </c>
      <c r="I78" s="170">
        <f>H78+0.5%</f>
        <v>1.4999999999999999E-2</v>
      </c>
      <c r="J78" s="170">
        <f>I78+0.5%</f>
        <v>0.02</v>
      </c>
    </row>
    <row r="79" spans="1:11">
      <c r="A79" s="175"/>
      <c r="B79" s="178" t="s">
        <v>193</v>
      </c>
      <c r="C79" s="197">
        <f ca="1">SUM(C77:C78)</f>
        <v>271528.13451609371</v>
      </c>
      <c r="D79" s="175"/>
      <c r="E79" s="170">
        <f>E80+0.5%</f>
        <v>7.0599110612796098E-2</v>
      </c>
      <c r="F79" s="196">
        <f t="dataTable" ref="F79:J83" dt2D="1" dtr="1" r1="D67" r2="D68" ca="1"/>
        <v>224.92151109311902</v>
      </c>
      <c r="G79" s="195">
        <v>210.50938660133551</v>
      </c>
      <c r="H79" s="195">
        <v>210.50938660133551</v>
      </c>
      <c r="I79" s="195">
        <v>224.92151109311902</v>
      </c>
      <c r="J79" s="195">
        <v>260.88057988478749</v>
      </c>
    </row>
    <row r="80" spans="1:11">
      <c r="A80" s="175"/>
      <c r="B80" s="175"/>
      <c r="C80" s="175"/>
      <c r="D80" s="175"/>
      <c r="E80" s="170">
        <f>E81+0.5%</f>
        <v>6.5599110612796094E-2</v>
      </c>
      <c r="F80" s="192">
        <v>206.87263338907269</v>
      </c>
      <c r="G80" s="193">
        <v>194.44275059288773</v>
      </c>
      <c r="H80" s="193">
        <v>194.44275059288773</v>
      </c>
      <c r="I80" s="193">
        <v>206.87263338907269</v>
      </c>
      <c r="J80" s="191">
        <v>237.41687367023198</v>
      </c>
    </row>
    <row r="81" spans="1:10">
      <c r="A81" s="175"/>
      <c r="B81" s="167"/>
      <c r="C81" s="190"/>
      <c r="D81" s="175"/>
      <c r="E81" s="182">
        <f>D68</f>
        <v>6.0599110612796089E-2</v>
      </c>
      <c r="F81" s="192">
        <v>206.87263338907269</v>
      </c>
      <c r="G81" s="193">
        <v>194.44275059288773</v>
      </c>
      <c r="H81" s="194">
        <v>194.44275059288773</v>
      </c>
      <c r="I81" s="193">
        <v>206.87263338907269</v>
      </c>
      <c r="J81" s="191">
        <v>237.41687367023198</v>
      </c>
    </row>
    <row r="82" spans="1:10">
      <c r="A82" s="175"/>
      <c r="B82" s="167" t="s">
        <v>194</v>
      </c>
      <c r="C82" s="181">
        <f>WACC!C9</f>
        <v>38424</v>
      </c>
      <c r="D82" s="175"/>
      <c r="E82" s="170">
        <f>E81-0.5%</f>
        <v>5.5599110612796092E-2</v>
      </c>
      <c r="F82" s="192">
        <v>224.92151109311902</v>
      </c>
      <c r="G82" s="193">
        <v>210.50938660133551</v>
      </c>
      <c r="H82" s="193">
        <v>210.50938660133551</v>
      </c>
      <c r="I82" s="193">
        <v>224.92151109311902</v>
      </c>
      <c r="J82" s="191">
        <v>260.88057988478749</v>
      </c>
    </row>
    <row r="83" spans="1:10">
      <c r="A83" s="175"/>
      <c r="B83" s="164" t="s">
        <v>195</v>
      </c>
      <c r="C83" s="185">
        <f>SUM(C81:C82)</f>
        <v>38424</v>
      </c>
      <c r="D83" s="175"/>
      <c r="E83" s="170">
        <f>E82-0.5%</f>
        <v>5.0599110612796094E-2</v>
      </c>
      <c r="F83" s="192">
        <v>269.96955871999279</v>
      </c>
      <c r="G83" s="191">
        <v>250.00616220891607</v>
      </c>
      <c r="H83" s="191">
        <v>250.00616220891607</v>
      </c>
      <c r="I83" s="191">
        <v>269.96955871999279</v>
      </c>
      <c r="J83" s="191">
        <v>321.73256562178</v>
      </c>
    </row>
    <row r="84" spans="1:10">
      <c r="A84" s="175"/>
      <c r="B84" s="167"/>
      <c r="C84" s="175"/>
      <c r="D84" s="175"/>
      <c r="E84" s="170"/>
      <c r="F84" s="175"/>
      <c r="G84" s="175"/>
      <c r="H84" s="175"/>
      <c r="I84" s="175"/>
      <c r="J84" s="175"/>
    </row>
    <row r="85" spans="1:10">
      <c r="A85" s="175"/>
      <c r="B85" s="167" t="s">
        <v>196</v>
      </c>
      <c r="C85" s="190">
        <f>'Balance Sheet PROJECTED'!M6</f>
        <v>1085</v>
      </c>
      <c r="D85" s="175"/>
      <c r="E85" s="189" t="s">
        <v>120</v>
      </c>
      <c r="F85" s="188"/>
      <c r="G85" s="188"/>
      <c r="H85" s="188"/>
      <c r="I85" s="188"/>
      <c r="J85" s="187" t="s">
        <v>299</v>
      </c>
    </row>
    <row r="86" spans="1:10">
      <c r="A86" s="175"/>
      <c r="B86" s="167" t="s">
        <v>197</v>
      </c>
      <c r="C86" s="181">
        <v>0</v>
      </c>
      <c r="D86" s="175"/>
      <c r="E86" s="186">
        <f ca="1">$C$94</f>
        <v>321.73256562178005</v>
      </c>
      <c r="F86" s="170">
        <f>G86-0.5%</f>
        <v>0</v>
      </c>
      <c r="G86" s="170">
        <f>H86-0.5%</f>
        <v>5.0000000000000001E-3</v>
      </c>
      <c r="H86" s="182">
        <f>D67</f>
        <v>0.01</v>
      </c>
      <c r="I86" s="170">
        <f>H86+0.5%</f>
        <v>1.4999999999999999E-2</v>
      </c>
      <c r="J86" s="170">
        <f>I86+0.5%</f>
        <v>0.02</v>
      </c>
    </row>
    <row r="87" spans="1:10">
      <c r="A87" s="175"/>
      <c r="B87" s="164" t="s">
        <v>198</v>
      </c>
      <c r="C87" s="185">
        <f>SUM(C85:C86)</f>
        <v>1085</v>
      </c>
      <c r="D87" s="175"/>
      <c r="E87" s="170">
        <f>E88+0.5%</f>
        <v>7.0599110612796098E-2</v>
      </c>
      <c r="F87" s="184">
        <f t="shared" ref="F87:J91" si="7">$C$95/F79-1</f>
        <v>0.40693523915099239</v>
      </c>
      <c r="G87" s="183">
        <f t="shared" si="7"/>
        <v>0.50325838248389232</v>
      </c>
      <c r="H87" s="183">
        <f t="shared" si="7"/>
        <v>0.50325838248389232</v>
      </c>
      <c r="I87" s="183">
        <f t="shared" si="7"/>
        <v>0.40693523915099239</v>
      </c>
      <c r="J87" s="183">
        <f t="shared" si="7"/>
        <v>0.21300711666523275</v>
      </c>
    </row>
    <row r="88" spans="1:10">
      <c r="A88" s="175"/>
      <c r="B88" s="167"/>
      <c r="C88" s="175"/>
      <c r="D88" s="175"/>
      <c r="E88" s="170">
        <f>E89+0.5%</f>
        <v>6.5599110612796094E-2</v>
      </c>
      <c r="F88" s="180">
        <f t="shared" si="7"/>
        <v>0.52968517302547835</v>
      </c>
      <c r="G88" s="179">
        <f t="shared" si="7"/>
        <v>0.62747132014483542</v>
      </c>
      <c r="H88" s="179">
        <f t="shared" si="7"/>
        <v>0.62747132014483542</v>
      </c>
      <c r="I88" s="179">
        <f t="shared" si="7"/>
        <v>0.52968517302547835</v>
      </c>
      <c r="J88" s="179">
        <f t="shared" si="7"/>
        <v>0.33288757074420783</v>
      </c>
    </row>
    <row r="89" spans="1:10">
      <c r="A89" s="175"/>
      <c r="B89" s="167" t="s">
        <v>199</v>
      </c>
      <c r="C89" s="181">
        <v>0</v>
      </c>
      <c r="D89" s="175"/>
      <c r="E89" s="182">
        <f>D68</f>
        <v>6.0599110612796089E-2</v>
      </c>
      <c r="F89" s="180">
        <f t="shared" si="7"/>
        <v>0.52968517302547835</v>
      </c>
      <c r="G89" s="179">
        <f>$C$95/G81-1</f>
        <v>0.62747132014483542</v>
      </c>
      <c r="H89" s="179">
        <f t="shared" si="7"/>
        <v>0.62747132014483542</v>
      </c>
      <c r="I89" s="179">
        <f t="shared" si="7"/>
        <v>0.52968517302547835</v>
      </c>
      <c r="J89" s="179">
        <f t="shared" si="7"/>
        <v>0.33288757074420783</v>
      </c>
    </row>
    <row r="90" spans="1:10">
      <c r="A90" s="175"/>
      <c r="B90" s="167" t="s">
        <v>200</v>
      </c>
      <c r="C90" s="181">
        <v>0</v>
      </c>
      <c r="D90" s="175"/>
      <c r="E90" s="170">
        <f>E89-0.5%</f>
        <v>5.5599110612796092E-2</v>
      </c>
      <c r="F90" s="180">
        <f t="shared" si="7"/>
        <v>0.40693523915099239</v>
      </c>
      <c r="G90" s="179">
        <f t="shared" si="7"/>
        <v>0.50325838248389232</v>
      </c>
      <c r="H90" s="179">
        <f t="shared" si="7"/>
        <v>0.50325838248389232</v>
      </c>
      <c r="I90" s="179">
        <f t="shared" si="7"/>
        <v>0.40693523915099239</v>
      </c>
      <c r="J90" s="179">
        <f t="shared" si="7"/>
        <v>0.21300711666523275</v>
      </c>
    </row>
    <row r="91" spans="1:10">
      <c r="A91" s="175"/>
      <c r="B91" s="167" t="s">
        <v>208</v>
      </c>
      <c r="C91" s="181">
        <v>0</v>
      </c>
      <c r="D91" s="175"/>
      <c r="E91" s="170">
        <f>E90-0.5%</f>
        <v>5.0599110612796094E-2</v>
      </c>
      <c r="F91" s="180">
        <f t="shared" si="7"/>
        <v>0.17216919381720297</v>
      </c>
      <c r="G91" s="179">
        <f t="shared" si="7"/>
        <v>0.2657688002728531</v>
      </c>
      <c r="H91" s="179">
        <f t="shared" si="7"/>
        <v>0.2657688002728531</v>
      </c>
      <c r="I91" s="179">
        <f t="shared" si="7"/>
        <v>0.17216919381720297</v>
      </c>
      <c r="J91" s="179">
        <f t="shared" si="7"/>
        <v>-1.6419120058831838E-2</v>
      </c>
    </row>
    <row r="92" spans="1:10">
      <c r="A92" s="175"/>
      <c r="B92" s="178" t="s">
        <v>201</v>
      </c>
      <c r="C92" s="173">
        <f ca="1">C79-C83+C87-SUM(C89:C90)+C91</f>
        <v>234189.13451609371</v>
      </c>
      <c r="D92" s="175"/>
      <c r="E92" s="175"/>
      <c r="F92" s="175"/>
      <c r="G92" s="175"/>
      <c r="H92" s="175"/>
      <c r="I92" s="175"/>
      <c r="J92" s="175"/>
    </row>
    <row r="93" spans="1:10">
      <c r="A93" s="175"/>
      <c r="B93" s="167" t="s">
        <v>202</v>
      </c>
      <c r="C93" s="172">
        <f>WACC!$L$6</f>
        <v>727.9</v>
      </c>
      <c r="D93" s="175"/>
      <c r="E93" s="175"/>
      <c r="F93" s="175"/>
      <c r="G93" s="175"/>
      <c r="H93" s="175"/>
      <c r="I93" s="175"/>
      <c r="J93" s="175"/>
    </row>
    <row r="94" spans="1:10">
      <c r="A94" s="175"/>
      <c r="B94" s="164" t="s">
        <v>203</v>
      </c>
      <c r="C94" s="177">
        <f ca="1">C92/C93</f>
        <v>321.73256562178005</v>
      </c>
      <c r="D94" s="175"/>
      <c r="E94" s="175"/>
      <c r="F94" s="175"/>
      <c r="G94" s="175"/>
      <c r="H94" s="175"/>
      <c r="I94" s="175"/>
      <c r="J94" s="175"/>
    </row>
    <row r="95" spans="1:10">
      <c r="A95" s="175"/>
      <c r="B95" s="167" t="s">
        <v>303</v>
      </c>
      <c r="C95" s="166">
        <f>WACC!$L$5</f>
        <v>316.45</v>
      </c>
      <c r="D95" s="165" t="s">
        <v>205</v>
      </c>
      <c r="E95" s="175"/>
      <c r="F95" s="175"/>
      <c r="G95" s="175"/>
      <c r="H95" s="175"/>
      <c r="I95" s="175"/>
      <c r="J95" s="175"/>
    </row>
    <row r="96" spans="1:10">
      <c r="A96" s="175"/>
      <c r="B96" s="164" t="s">
        <v>206</v>
      </c>
      <c r="C96" s="163">
        <f ca="1">C95/C94-1</f>
        <v>-1.641912005883206E-2</v>
      </c>
      <c r="D96" s="240" t="s">
        <v>461</v>
      </c>
      <c r="E96" s="175"/>
      <c r="F96" s="176"/>
      <c r="G96" s="175"/>
      <c r="H96" s="175"/>
      <c r="I96" s="175"/>
      <c r="J96" s="175"/>
    </row>
    <row r="98" spans="2:4" outlineLevel="1">
      <c r="B98" s="161" t="s">
        <v>101</v>
      </c>
      <c r="C98" s="172">
        <f ca="1">-F38</f>
        <v>5058.8210088998321</v>
      </c>
    </row>
    <row r="99" spans="2:4" outlineLevel="1">
      <c r="B99" s="161" t="s">
        <v>300</v>
      </c>
      <c r="C99" s="170">
        <f>WACC!F9+(WACC!G9*WACC!H9)</f>
        <v>6.4484E-2</v>
      </c>
    </row>
    <row r="100" spans="2:4" outlineLevel="1">
      <c r="B100" s="161" t="s">
        <v>301</v>
      </c>
      <c r="C100" s="169">
        <f>$D$67</f>
        <v>0.01</v>
      </c>
    </row>
    <row r="101" spans="2:4" outlineLevel="1">
      <c r="B101" s="174" t="s">
        <v>201</v>
      </c>
      <c r="C101" s="173">
        <f ca="1">(C98*(1+C100))/(C99-C100)</f>
        <v>93778.159074018622</v>
      </c>
    </row>
    <row r="102" spans="2:4" outlineLevel="1">
      <c r="B102" s="167" t="s">
        <v>202</v>
      </c>
      <c r="C102" s="172">
        <f>WACC!$L$6</f>
        <v>727.9</v>
      </c>
    </row>
    <row r="103" spans="2:4" outlineLevel="1">
      <c r="B103" s="164" t="s">
        <v>203</v>
      </c>
      <c r="C103" s="168">
        <f ca="1">C101/C102</f>
        <v>128.83384953155465</v>
      </c>
    </row>
    <row r="104" spans="2:4" outlineLevel="1">
      <c r="B104" s="167" t="s">
        <v>204</v>
      </c>
      <c r="C104" s="166">
        <f>WACC!$L$5</f>
        <v>316.45</v>
      </c>
      <c r="D104" s="165" t="s">
        <v>205</v>
      </c>
    </row>
    <row r="105" spans="2:4" outlineLevel="1">
      <c r="B105" s="164" t="s">
        <v>206</v>
      </c>
      <c r="C105" s="163">
        <f ca="1">C104/C103-1</f>
        <v>1.4562644145977601</v>
      </c>
      <c r="D105" s="162" t="s">
        <v>207</v>
      </c>
    </row>
    <row r="106" spans="2:4" outlineLevel="1"/>
    <row r="107" spans="2:4" outlineLevel="1">
      <c r="B107" s="161" t="s">
        <v>302</v>
      </c>
      <c r="C107" s="171">
        <v>7.08</v>
      </c>
    </row>
    <row r="108" spans="2:4" outlineLevel="1">
      <c r="B108" s="161" t="s">
        <v>300</v>
      </c>
      <c r="C108" s="170">
        <f>WACC!F9+(WACC!G9*WACC!H9)</f>
        <v>6.4484E-2</v>
      </c>
    </row>
    <row r="109" spans="2:4" outlineLevel="1">
      <c r="B109" s="161" t="s">
        <v>301</v>
      </c>
      <c r="C109" s="169">
        <f>$D$67</f>
        <v>0.01</v>
      </c>
    </row>
    <row r="110" spans="2:4" outlineLevel="1">
      <c r="B110" s="164" t="s">
        <v>203</v>
      </c>
      <c r="C110" s="168">
        <f>(C107*(1+C109))/(C108-C109)</f>
        <v>131.24587034725792</v>
      </c>
    </row>
    <row r="111" spans="2:4" outlineLevel="1">
      <c r="B111" s="167" t="s">
        <v>204</v>
      </c>
      <c r="C111" s="166">
        <f>WACC!$L$5</f>
        <v>316.45</v>
      </c>
      <c r="D111" s="165" t="s">
        <v>205</v>
      </c>
    </row>
    <row r="112" spans="2:4" outlineLevel="1">
      <c r="B112" s="164" t="s">
        <v>206</v>
      </c>
      <c r="C112" s="163">
        <f>C111/C110-1</f>
        <v>1.4111234826872514</v>
      </c>
      <c r="D112" s="162" t="s">
        <v>207</v>
      </c>
    </row>
  </sheetData>
  <conditionalFormatting sqref="F87:J91">
    <cfRule type="cellIs" dxfId="2" priority="1" operator="between">
      <formula>0</formula>
      <formula>-0.2</formula>
    </cfRule>
    <cfRule type="cellIs" dxfId="1" priority="2" operator="lessThan">
      <formula>-0.2</formula>
    </cfRule>
    <cfRule type="cellIs" dxfId="0" priority="3" operator="greaterThan">
      <formula>0</formula>
    </cfRule>
  </conditionalFormatting>
  <pageMargins left="0.7" right="0.7" top="0.75" bottom="0.75" header="0.3" footer="0.3"/>
  <pageSetup scale="37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806A-F7B6-4A52-83F0-CBE154322593}">
  <dimension ref="A1:F40"/>
  <sheetViews>
    <sheetView workbookViewId="0"/>
    <sheetView workbookViewId="1"/>
  </sheetViews>
  <sheetFormatPr defaultColWidth="8.6640625" defaultRowHeight="12.5"/>
  <cols>
    <col min="1" max="256" width="8.6640625" style="82" customWidth="1"/>
    <col min="257" max="16384" width="8.6640625" style="82"/>
  </cols>
  <sheetData>
    <row r="1" spans="1:5" s="84" customFormat="1" ht="13">
      <c r="A1" s="84" t="s">
        <v>142</v>
      </c>
    </row>
    <row r="2" spans="1:5" s="83" customFormat="1" ht="13">
      <c r="A2" s="83" t="s">
        <v>143</v>
      </c>
      <c r="E2" s="87">
        <v>25</v>
      </c>
    </row>
    <row r="3" spans="1:5" s="85" customFormat="1" ht="13">
      <c r="A3" s="85" t="s">
        <v>144</v>
      </c>
    </row>
    <row r="4" spans="1:5" s="83" customFormat="1" ht="13">
      <c r="A4" s="86" t="s">
        <v>145</v>
      </c>
      <c r="B4" s="86" t="s">
        <v>146</v>
      </c>
      <c r="C4" s="83" t="s">
        <v>147</v>
      </c>
    </row>
    <row r="5" spans="1:5" s="83" customFormat="1" ht="13">
      <c r="A5" s="86">
        <v>1</v>
      </c>
      <c r="B5" s="87">
        <v>24</v>
      </c>
    </row>
    <row r="6" spans="1:5" s="83" customFormat="1" ht="13">
      <c r="A6" s="86">
        <v>2</v>
      </c>
      <c r="B6" s="87">
        <v>22</v>
      </c>
    </row>
    <row r="7" spans="1:5" s="83" customFormat="1" ht="13">
      <c r="A7" s="86">
        <v>3</v>
      </c>
      <c r="B7" s="87">
        <v>22</v>
      </c>
    </row>
    <row r="8" spans="1:5" s="83" customFormat="1" ht="13">
      <c r="A8" s="86">
        <v>4</v>
      </c>
      <c r="B8" s="87">
        <v>21</v>
      </c>
    </row>
    <row r="9" spans="1:5" s="83" customFormat="1" ht="13">
      <c r="A9" s="86">
        <v>5</v>
      </c>
      <c r="B9" s="87">
        <v>20</v>
      </c>
    </row>
    <row r="10" spans="1:5" s="83" customFormat="1" ht="13">
      <c r="A10" s="86" t="s">
        <v>148</v>
      </c>
      <c r="B10" s="87">
        <v>111</v>
      </c>
    </row>
    <row r="11" spans="1:5" s="83" customFormat="1" ht="13.5" thickBot="1"/>
    <row r="12" spans="1:5" s="83" customFormat="1" ht="13.5" thickBot="1">
      <c r="A12" s="83" t="s">
        <v>149</v>
      </c>
      <c r="C12" s="88" t="e">
        <f>#REF!</f>
        <v>#REF!</v>
      </c>
      <c r="D12" s="83" t="s">
        <v>150</v>
      </c>
    </row>
    <row r="13" spans="1:5" s="83" customFormat="1" ht="13"/>
    <row r="14" spans="1:5" s="85" customFormat="1" ht="13">
      <c r="A14" s="85" t="s">
        <v>151</v>
      </c>
    </row>
    <row r="15" spans="1:5" s="83" customFormat="1" ht="13">
      <c r="A15" s="83" t="s">
        <v>152</v>
      </c>
      <c r="D15" s="89" t="e">
        <f>#REF!</f>
        <v>#REF!</v>
      </c>
      <c r="E15" s="83" t="s">
        <v>153</v>
      </c>
    </row>
    <row r="16" spans="1:5" s="83" customFormat="1" ht="13">
      <c r="A16" s="83" t="s">
        <v>154</v>
      </c>
      <c r="D16" s="87">
        <v>92.97</v>
      </c>
      <c r="E16" s="83" t="s">
        <v>155</v>
      </c>
    </row>
    <row r="17" spans="1:6" s="83" customFormat="1" ht="13">
      <c r="A17" s="83" t="s">
        <v>156</v>
      </c>
      <c r="D17" s="89" t="e">
        <f>#REF!</f>
        <v>#REF!</v>
      </c>
    </row>
    <row r="18" spans="1:6" s="84" customFormat="1" ht="13">
      <c r="A18" s="84" t="s">
        <v>141</v>
      </c>
      <c r="D18" s="90"/>
    </row>
    <row r="19" spans="1:6" s="83" customFormat="1" ht="13">
      <c r="A19" s="83" t="s">
        <v>157</v>
      </c>
      <c r="D19" s="91">
        <f>ROUND(B10/AVERAGE(B5:B9),0)</f>
        <v>5</v>
      </c>
      <c r="E19" s="83" t="s">
        <v>158</v>
      </c>
    </row>
    <row r="20" spans="1:6" s="84" customFormat="1" ht="13">
      <c r="E20" s="83" t="s">
        <v>159</v>
      </c>
    </row>
    <row r="21" spans="1:6" s="85" customFormat="1" ht="13">
      <c r="A21" s="85" t="s">
        <v>160</v>
      </c>
    </row>
    <row r="22" spans="1:6" s="83" customFormat="1" ht="13">
      <c r="A22" s="86" t="s">
        <v>145</v>
      </c>
      <c r="B22" s="86" t="s">
        <v>146</v>
      </c>
      <c r="C22" s="86" t="s">
        <v>161</v>
      </c>
    </row>
    <row r="23" spans="1:6" s="83" customFormat="1" ht="13">
      <c r="A23" s="92">
        <f>A5</f>
        <v>1</v>
      </c>
      <c r="B23" s="93">
        <f>B5</f>
        <v>24</v>
      </c>
      <c r="C23" s="89" t="e">
        <f>B23/(1+$C$12)^A23</f>
        <v>#REF!</v>
      </c>
    </row>
    <row r="24" spans="1:6" s="83" customFormat="1" ht="13">
      <c r="A24" s="92">
        <f t="shared" ref="A24:B27" si="0">A6</f>
        <v>2</v>
      </c>
      <c r="B24" s="93">
        <f t="shared" si="0"/>
        <v>22</v>
      </c>
      <c r="C24" s="89" t="e">
        <f>B24/(1+$C$12)^A24</f>
        <v>#REF!</v>
      </c>
    </row>
    <row r="25" spans="1:6" s="83" customFormat="1" ht="13">
      <c r="A25" s="92">
        <f t="shared" si="0"/>
        <v>3</v>
      </c>
      <c r="B25" s="93">
        <f t="shared" si="0"/>
        <v>22</v>
      </c>
      <c r="C25" s="89" t="e">
        <f>B25/(1+$C$12)^A25</f>
        <v>#REF!</v>
      </c>
    </row>
    <row r="26" spans="1:6" s="83" customFormat="1" ht="13">
      <c r="A26" s="92">
        <f t="shared" si="0"/>
        <v>4</v>
      </c>
      <c r="B26" s="93">
        <f t="shared" si="0"/>
        <v>21</v>
      </c>
      <c r="C26" s="89" t="e">
        <f>B26/(1+$C$12)^A26</f>
        <v>#REF!</v>
      </c>
    </row>
    <row r="27" spans="1:6" s="83" customFormat="1" ht="13">
      <c r="A27" s="92">
        <f t="shared" si="0"/>
        <v>5</v>
      </c>
      <c r="B27" s="93">
        <f t="shared" si="0"/>
        <v>20</v>
      </c>
      <c r="C27" s="89" t="e">
        <f>B27/(1+$C$12)^A27</f>
        <v>#REF!</v>
      </c>
    </row>
    <row r="28" spans="1:6" s="83" customFormat="1" ht="13.5" thickBot="1">
      <c r="A28" s="94" t="str">
        <f>A10</f>
        <v>6 and beyond</v>
      </c>
      <c r="B28" s="95">
        <f>IF(B10&gt;0,IF(D19&gt;1,B10/D19,B10),0)</f>
        <v>22.2</v>
      </c>
      <c r="C28" s="96" t="e">
        <f>IF(D19&gt;0,(B28*(1-(1+C12)^(-D19))/C12)/(1+$C$12)^5,B28/(1+C12)^6)</f>
        <v>#REF!</v>
      </c>
      <c r="D28" s="83" t="s">
        <v>162</v>
      </c>
    </row>
    <row r="29" spans="1:6" s="83" customFormat="1" ht="13.5" thickBot="1">
      <c r="A29" s="97" t="s">
        <v>163</v>
      </c>
      <c r="B29" s="97"/>
      <c r="C29" s="98" t="e">
        <f>SUM(C23:C28)</f>
        <v>#REF!</v>
      </c>
    </row>
    <row r="31" spans="1:6" s="83" customFormat="1" ht="13.5" thickBot="1">
      <c r="A31" s="85" t="s">
        <v>164</v>
      </c>
    </row>
    <row r="32" spans="1:6" s="83" customFormat="1" ht="13.5" thickBot="1">
      <c r="A32" s="83" t="s">
        <v>165</v>
      </c>
      <c r="F32" s="98" t="e">
        <f>D15+E2-C29/(5+D19)</f>
        <v>#REF!</v>
      </c>
    </row>
    <row r="33" spans="1:6" s="83" customFormat="1" ht="13.5" thickBot="1">
      <c r="A33" s="83" t="s">
        <v>166</v>
      </c>
      <c r="F33" s="99" t="e">
        <f>D16+C29</f>
        <v>#REF!</v>
      </c>
    </row>
    <row r="36" spans="1:6">
      <c r="A36" s="82" t="s">
        <v>167</v>
      </c>
    </row>
    <row r="37" spans="1:6">
      <c r="A37" s="82" t="s">
        <v>168</v>
      </c>
      <c r="D37" s="100" t="e">
        <f>D15</f>
        <v>#REF!</v>
      </c>
    </row>
    <row r="38" spans="1:6">
      <c r="A38" s="82" t="s">
        <v>169</v>
      </c>
      <c r="D38" s="100">
        <f>E2</f>
        <v>25</v>
      </c>
    </row>
    <row r="39" spans="1:6">
      <c r="A39" s="82" t="s">
        <v>170</v>
      </c>
      <c r="D39" s="100" t="e">
        <f>C29/(5+D19)</f>
        <v>#REF!</v>
      </c>
    </row>
    <row r="40" spans="1:6">
      <c r="A40" s="82" t="s">
        <v>171</v>
      </c>
      <c r="D40" s="100" t="e">
        <f>D37+D38-D39</f>
        <v>#REF!</v>
      </c>
    </row>
  </sheetData>
  <printOptions gridLines="1" gridLinesSet="0"/>
  <pageMargins left="0.75" right="0.75" top="1" bottom="1" header="0.5" footer="0.5"/>
  <pageSetup paperSize="0" orientation="portrait" horizontalDpi="4294967292" verticalDpi="4294967292"/>
  <headerFooter alignWithMargins="0">
    <oddHeader>&amp;A</oddHeader>
    <oddFooter>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329A-46A3-4DE1-BF31-ABFD73BC37D0}">
  <sheetPr>
    <pageSetUpPr fitToPage="1"/>
  </sheetPr>
  <dimension ref="A1:Z83"/>
  <sheetViews>
    <sheetView tabSelected="1" zoomScale="90" zoomScaleNormal="9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I29" sqref="I29"/>
    </sheetView>
    <sheetView workbookViewId="1"/>
  </sheetViews>
  <sheetFormatPr defaultColWidth="8.6640625" defaultRowHeight="14" outlineLevelRow="1" outlineLevelCol="1"/>
  <cols>
    <col min="1" max="1" width="20.6640625" style="108" bestFit="1" customWidth="1"/>
    <col min="2" max="2" width="14.6640625" style="108" bestFit="1" customWidth="1"/>
    <col min="3" max="3" width="8.6640625" style="108"/>
    <col min="4" max="4" width="2.9140625" style="108" customWidth="1"/>
    <col min="5" max="5" width="18.9140625" style="108" bestFit="1" customWidth="1"/>
    <col min="6" max="6" width="8.6640625" style="108"/>
    <col min="7" max="7" width="2.9140625" style="108" customWidth="1"/>
    <col min="8" max="8" width="16.1640625" style="108" bestFit="1" customWidth="1"/>
    <col min="9" max="10" width="6.9140625" style="108" customWidth="1"/>
    <col min="11" max="11" width="14.1640625" style="108" bestFit="1" customWidth="1"/>
    <col min="12" max="13" width="6.9140625" style="108" customWidth="1"/>
    <col min="14" max="14" width="2.9140625" style="108" customWidth="1"/>
    <col min="15" max="15" width="13.4140625" style="108" hidden="1" customWidth="1" outlineLevel="1"/>
    <col min="16" max="16" width="14" style="108" hidden="1" customWidth="1" outlineLevel="1"/>
    <col min="17" max="17" width="14.58203125" style="108" hidden="1" customWidth="1" outlineLevel="1"/>
    <col min="18" max="18" width="16.1640625" style="108" hidden="1" customWidth="1" outlineLevel="1"/>
    <col min="19" max="19" width="13.58203125" style="108" hidden="1" customWidth="1" outlineLevel="1"/>
    <col min="20" max="20" width="8.6640625" style="108" collapsed="1"/>
    <col min="21" max="25" width="8.6640625" style="108" hidden="1" customWidth="1" outlineLevel="1"/>
    <col min="26" max="26" width="8.6640625" style="108" collapsed="1"/>
    <col min="27" max="16384" width="8.6640625" style="108"/>
  </cols>
  <sheetData>
    <row r="1" spans="1:23" ht="30">
      <c r="A1" s="106" t="s">
        <v>211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23" ht="14.5">
      <c r="A2" s="109" t="s">
        <v>212</v>
      </c>
    </row>
    <row r="4" spans="1:23">
      <c r="A4" s="108" t="s">
        <v>213</v>
      </c>
      <c r="B4" s="110" t="s">
        <v>396</v>
      </c>
      <c r="E4" s="110" t="s">
        <v>399</v>
      </c>
      <c r="H4" s="110" t="s">
        <v>453</v>
      </c>
      <c r="K4" s="110" t="s">
        <v>456</v>
      </c>
    </row>
    <row r="5" spans="1:23">
      <c r="A5" s="108" t="s">
        <v>214</v>
      </c>
      <c r="B5" s="110" t="s">
        <v>397</v>
      </c>
      <c r="E5" s="110" t="s">
        <v>400</v>
      </c>
      <c r="H5" s="110" t="s">
        <v>454</v>
      </c>
      <c r="K5" s="110" t="s">
        <v>455</v>
      </c>
    </row>
    <row r="6" spans="1:23">
      <c r="O6" s="111" t="s">
        <v>444</v>
      </c>
      <c r="W6" s="122" t="s">
        <v>249</v>
      </c>
    </row>
    <row r="7" spans="1:23">
      <c r="A7" s="108" t="s">
        <v>398</v>
      </c>
      <c r="B7" s="112">
        <v>313.69</v>
      </c>
      <c r="E7" s="112">
        <v>147.13</v>
      </c>
      <c r="H7" s="112">
        <v>67.13</v>
      </c>
      <c r="K7" s="112">
        <f>Q27</f>
        <v>12</v>
      </c>
      <c r="O7" s="108" t="s">
        <v>215</v>
      </c>
      <c r="P7" s="108" t="s">
        <v>216</v>
      </c>
      <c r="Q7" s="108" t="s">
        <v>125</v>
      </c>
      <c r="R7" s="108" t="s">
        <v>217</v>
      </c>
      <c r="S7" s="108" t="s">
        <v>218</v>
      </c>
      <c r="U7" s="9" t="s">
        <v>221</v>
      </c>
      <c r="V7" s="9" t="s">
        <v>248</v>
      </c>
      <c r="W7" s="122" t="s">
        <v>250</v>
      </c>
    </row>
    <row r="8" spans="1:23">
      <c r="O8" s="108" t="s">
        <v>219</v>
      </c>
      <c r="P8" s="108" t="s">
        <v>220</v>
      </c>
      <c r="Q8" s="108" t="s">
        <v>221</v>
      </c>
      <c r="R8" s="108" t="s">
        <v>222</v>
      </c>
      <c r="S8" s="108" t="s">
        <v>223</v>
      </c>
      <c r="U8" s="137">
        <v>100</v>
      </c>
      <c r="V8" s="137">
        <v>50</v>
      </c>
      <c r="W8" s="138">
        <f>U8-V8</f>
        <v>50</v>
      </c>
    </row>
    <row r="9" spans="1:23">
      <c r="A9" s="108" t="s">
        <v>224</v>
      </c>
      <c r="B9" s="113">
        <v>718300</v>
      </c>
      <c r="E9" s="113">
        <v>282000</v>
      </c>
      <c r="H9" s="113">
        <v>456000</v>
      </c>
      <c r="K9" s="113"/>
      <c r="O9" s="114">
        <v>6700</v>
      </c>
      <c r="P9" s="112">
        <v>184.29</v>
      </c>
      <c r="Q9" s="115">
        <f>B7</f>
        <v>313.69</v>
      </c>
      <c r="R9" s="110" t="str">
        <f>IF(Q9&gt;P9,"YES","NO")</f>
        <v>YES</v>
      </c>
      <c r="S9" s="108">
        <f>IF(R9="YES",((Q9-P9)/Q9)*O9,0)</f>
        <v>2763.8114061653223</v>
      </c>
    </row>
    <row r="10" spans="1:23">
      <c r="A10" s="108" t="s">
        <v>225</v>
      </c>
      <c r="B10" s="116">
        <f>S9</f>
        <v>2763.8114061653223</v>
      </c>
      <c r="E10" s="116">
        <f>S16</f>
        <v>2217.5229388975736</v>
      </c>
      <c r="H10" s="116">
        <f>S22</f>
        <v>240.27171160434969</v>
      </c>
      <c r="K10" s="116">
        <f>S27</f>
        <v>0</v>
      </c>
      <c r="U10" s="122" t="s">
        <v>249</v>
      </c>
      <c r="W10" s="122" t="s">
        <v>251</v>
      </c>
    </row>
    <row r="11" spans="1:23" ht="14.5">
      <c r="A11" s="117" t="s">
        <v>123</v>
      </c>
      <c r="B11" s="118">
        <f>SUM(B9:B10)</f>
        <v>721063.81140616536</v>
      </c>
      <c r="E11" s="118">
        <f>SUM(E9:E10)</f>
        <v>284217.5229388976</v>
      </c>
      <c r="H11" s="118">
        <f>SUM(H9:H10)</f>
        <v>456240.27171160438</v>
      </c>
      <c r="K11" s="119">
        <v>205614</v>
      </c>
      <c r="O11" s="109" t="s">
        <v>445</v>
      </c>
      <c r="U11" s="122" t="s">
        <v>250</v>
      </c>
      <c r="V11" s="9" t="s">
        <v>221</v>
      </c>
      <c r="W11" s="122" t="s">
        <v>252</v>
      </c>
    </row>
    <row r="12" spans="1:23">
      <c r="U12" s="115">
        <f>W8</f>
        <v>50</v>
      </c>
      <c r="V12" s="115">
        <f>U8</f>
        <v>100</v>
      </c>
      <c r="W12" s="117">
        <f>U12/V12</f>
        <v>0.5</v>
      </c>
    </row>
    <row r="13" spans="1:23">
      <c r="A13" s="117" t="s">
        <v>226</v>
      </c>
      <c r="B13" s="119">
        <f>B11*B7</f>
        <v>226190507</v>
      </c>
      <c r="E13" s="119">
        <f>E11*E7</f>
        <v>41816924.150000006</v>
      </c>
      <c r="H13" s="119">
        <f>H11*H7</f>
        <v>30627409.440000001</v>
      </c>
      <c r="K13" s="119">
        <f>K11*K7</f>
        <v>2467368</v>
      </c>
      <c r="O13" s="111" t="s">
        <v>446</v>
      </c>
    </row>
    <row r="14" spans="1:23">
      <c r="O14" s="108" t="s">
        <v>215</v>
      </c>
      <c r="P14" s="108" t="s">
        <v>216</v>
      </c>
      <c r="Q14" s="108" t="s">
        <v>125</v>
      </c>
      <c r="R14" s="108" t="s">
        <v>217</v>
      </c>
      <c r="S14" s="108" t="s">
        <v>218</v>
      </c>
      <c r="U14" s="122" t="s">
        <v>255</v>
      </c>
      <c r="V14" s="122" t="s">
        <v>251</v>
      </c>
      <c r="W14" s="122" t="s">
        <v>253</v>
      </c>
    </row>
    <row r="15" spans="1:23">
      <c r="A15" s="108" t="s">
        <v>83</v>
      </c>
      <c r="B15" s="120">
        <v>38424</v>
      </c>
      <c r="E15" s="19">
        <v>11357000</v>
      </c>
      <c r="H15" s="120">
        <f>(13455+222)*1000</f>
        <v>13677000</v>
      </c>
      <c r="K15" s="120">
        <v>2767600</v>
      </c>
      <c r="O15" s="108" t="s">
        <v>219</v>
      </c>
      <c r="P15" s="108" t="s">
        <v>220</v>
      </c>
      <c r="Q15" s="108" t="s">
        <v>221</v>
      </c>
      <c r="R15" s="108" t="s">
        <v>222</v>
      </c>
      <c r="S15" s="108" t="s">
        <v>223</v>
      </c>
      <c r="U15" s="122" t="s">
        <v>256</v>
      </c>
      <c r="V15" s="122" t="s">
        <v>252</v>
      </c>
      <c r="W15" s="122" t="s">
        <v>254</v>
      </c>
    </row>
    <row r="16" spans="1:23">
      <c r="A16" s="108" t="s">
        <v>227</v>
      </c>
      <c r="B16" s="20">
        <v>1085</v>
      </c>
      <c r="E16" s="20">
        <v>607000</v>
      </c>
      <c r="H16" s="113">
        <v>1334000</v>
      </c>
      <c r="K16" s="113">
        <v>335259</v>
      </c>
      <c r="O16" s="113">
        <v>5689</v>
      </c>
      <c r="P16" s="112">
        <v>89.78</v>
      </c>
      <c r="Q16" s="115">
        <f>$E$7</f>
        <v>147.13</v>
      </c>
      <c r="R16" s="110" t="str">
        <f>IF(Q16&gt;P16,"YES","NO")</f>
        <v>YES</v>
      </c>
      <c r="S16" s="121">
        <f>IF(R16="YES",((Q16-P16)/Q16)*O16,0)</f>
        <v>2217.5229388975736</v>
      </c>
      <c r="U16" s="113">
        <v>1000</v>
      </c>
      <c r="V16" s="139">
        <f>W12</f>
        <v>0.5</v>
      </c>
      <c r="W16" s="117">
        <f>U16*V16</f>
        <v>500</v>
      </c>
    </row>
    <row r="17" spans="1:25" ht="14.5">
      <c r="A17" s="117" t="s">
        <v>228</v>
      </c>
      <c r="B17" s="119">
        <f>B15-B16</f>
        <v>37339</v>
      </c>
      <c r="E17" s="119">
        <f>E15-E16</f>
        <v>10750000</v>
      </c>
      <c r="H17" s="119">
        <f>H15-H16</f>
        <v>12343000</v>
      </c>
      <c r="K17" s="119">
        <f>K15-K16</f>
        <v>2432341</v>
      </c>
      <c r="O17" s="109" t="s">
        <v>452</v>
      </c>
      <c r="P17" s="112"/>
      <c r="Q17" s="115"/>
      <c r="R17" s="110"/>
      <c r="S17" s="121"/>
    </row>
    <row r="18" spans="1:25">
      <c r="O18" s="113"/>
      <c r="P18" s="112"/>
      <c r="Q18" s="115"/>
      <c r="R18" s="110"/>
      <c r="S18" s="121"/>
    </row>
    <row r="19" spans="1:25">
      <c r="A19" s="108" t="s">
        <v>229</v>
      </c>
      <c r="B19" s="113">
        <v>0</v>
      </c>
      <c r="E19" s="113">
        <v>0</v>
      </c>
      <c r="H19" s="113">
        <v>0</v>
      </c>
      <c r="K19" s="113">
        <v>0</v>
      </c>
      <c r="O19" s="111" t="s">
        <v>459</v>
      </c>
    </row>
    <row r="20" spans="1:25">
      <c r="A20" s="108" t="s">
        <v>200</v>
      </c>
      <c r="B20" s="113">
        <v>0</v>
      </c>
      <c r="E20" s="113">
        <v>0</v>
      </c>
      <c r="H20" s="113">
        <v>0</v>
      </c>
      <c r="K20" s="113">
        <v>0</v>
      </c>
      <c r="O20" s="108" t="s">
        <v>215</v>
      </c>
      <c r="P20" s="108" t="s">
        <v>216</v>
      </c>
      <c r="Q20" s="108" t="s">
        <v>125</v>
      </c>
      <c r="R20" s="108" t="s">
        <v>217</v>
      </c>
      <c r="S20" s="108" t="s">
        <v>218</v>
      </c>
    </row>
    <row r="21" spans="1:25">
      <c r="A21" s="108" t="s">
        <v>208</v>
      </c>
      <c r="B21" s="113">
        <v>2710</v>
      </c>
      <c r="E21" s="113">
        <v>0</v>
      </c>
      <c r="H21" s="113">
        <v>0</v>
      </c>
      <c r="K21" s="113">
        <v>0</v>
      </c>
      <c r="O21" s="108" t="s">
        <v>219</v>
      </c>
      <c r="P21" s="108" t="s">
        <v>220</v>
      </c>
      <c r="Q21" s="108" t="s">
        <v>221</v>
      </c>
      <c r="R21" s="108" t="s">
        <v>222</v>
      </c>
      <c r="S21" s="108" t="s">
        <v>223</v>
      </c>
    </row>
    <row r="22" spans="1:25">
      <c r="A22" s="117" t="s">
        <v>230</v>
      </c>
      <c r="B22" s="119">
        <f>B13+B17+SUM(B19:B20)-B21</f>
        <v>226225136</v>
      </c>
      <c r="E22" s="119">
        <f>E13+E17+SUM(E19:E20)-E21</f>
        <v>52566924.150000006</v>
      </c>
      <c r="H22" s="119">
        <f>H17</f>
        <v>12343000</v>
      </c>
      <c r="K22" s="119">
        <f>K17</f>
        <v>2432341</v>
      </c>
      <c r="O22" s="20">
        <v>1656</v>
      </c>
      <c r="P22" s="79">
        <v>57.39</v>
      </c>
      <c r="Q22" s="143">
        <f>H7</f>
        <v>67.13</v>
      </c>
      <c r="R22" s="144" t="str">
        <f>IF(Q22&gt;P22,"YES","NO")</f>
        <v>YES</v>
      </c>
      <c r="S22" s="41">
        <f>IF(R22="YES",((Q22-P22)/Q22*O22),0)</f>
        <v>240.27171160434969</v>
      </c>
    </row>
    <row r="23" spans="1:25">
      <c r="C23" s="124"/>
      <c r="O23" s="18"/>
      <c r="P23" s="18"/>
      <c r="Q23" s="18"/>
      <c r="R23" s="18"/>
      <c r="S23" s="18"/>
    </row>
    <row r="24" spans="1:25">
      <c r="A24" s="117" t="s">
        <v>231</v>
      </c>
      <c r="B24" s="122"/>
      <c r="C24" s="124"/>
      <c r="E24" s="122"/>
      <c r="F24" s="122"/>
      <c r="H24" s="122"/>
      <c r="I24" s="122"/>
      <c r="J24" s="122"/>
      <c r="K24" s="122"/>
      <c r="L24" s="122"/>
      <c r="M24" s="122"/>
      <c r="O24" s="111" t="s">
        <v>460</v>
      </c>
    </row>
    <row r="25" spans="1:25">
      <c r="A25" s="108" t="s">
        <v>232</v>
      </c>
      <c r="B25" s="123">
        <f>S32</f>
        <v>25920000</v>
      </c>
      <c r="C25" s="124">
        <f>B25/B13</f>
        <v>0.1145936686016624</v>
      </c>
      <c r="E25" s="133">
        <f>S62</f>
        <v>7682000</v>
      </c>
      <c r="F25" s="124">
        <f>E25/E13</f>
        <v>0.18370552488375688</v>
      </c>
      <c r="H25" s="123">
        <f>S62</f>
        <v>7682000</v>
      </c>
      <c r="I25" s="124">
        <f>H13/H25</f>
        <v>3.9869056808122885</v>
      </c>
      <c r="J25" s="124"/>
      <c r="K25" s="123">
        <f>S75</f>
        <v>914624</v>
      </c>
      <c r="L25" s="124">
        <f>K13/K25</f>
        <v>2.6976856063256593</v>
      </c>
      <c r="M25" s="124"/>
      <c r="O25" s="108" t="s">
        <v>215</v>
      </c>
      <c r="P25" s="108" t="s">
        <v>216</v>
      </c>
      <c r="Q25" s="108" t="s">
        <v>125</v>
      </c>
      <c r="R25" s="108" t="s">
        <v>217</v>
      </c>
      <c r="S25" s="108" t="s">
        <v>218</v>
      </c>
    </row>
    <row r="26" spans="1:25">
      <c r="A26" s="108" t="s">
        <v>233</v>
      </c>
      <c r="B26" s="125"/>
      <c r="C26" s="124"/>
      <c r="E26" s="125">
        <f>R62*4</f>
        <v>2428000</v>
      </c>
      <c r="F26" s="124">
        <f>E26/E13</f>
        <v>5.8062615779453486E-2</v>
      </c>
      <c r="H26" s="125">
        <f>R62*4</f>
        <v>2428000</v>
      </c>
      <c r="I26" s="124">
        <f>H13/H26</f>
        <v>12.614254299835256</v>
      </c>
      <c r="J26" s="124"/>
      <c r="K26" s="123">
        <f>R75*4</f>
        <v>2093888</v>
      </c>
      <c r="L26" s="124">
        <f>K13/K26</f>
        <v>1.1783667512302474</v>
      </c>
      <c r="M26" s="124"/>
      <c r="O26" s="108" t="s">
        <v>219</v>
      </c>
      <c r="P26" s="108" t="s">
        <v>220</v>
      </c>
      <c r="Q26" s="108" t="s">
        <v>221</v>
      </c>
      <c r="R26" s="108" t="s">
        <v>222</v>
      </c>
      <c r="S26" s="108" t="s">
        <v>223</v>
      </c>
    </row>
    <row r="27" spans="1:25">
      <c r="C27" s="124"/>
      <c r="F27" s="117"/>
      <c r="I27" s="117"/>
      <c r="J27" s="117"/>
      <c r="K27" s="123"/>
      <c r="L27" s="117"/>
      <c r="M27" s="117"/>
      <c r="O27" s="20">
        <v>6525</v>
      </c>
      <c r="P27" s="79">
        <v>19.93</v>
      </c>
      <c r="Q27" s="143">
        <v>12</v>
      </c>
      <c r="R27" s="144" t="str">
        <f>IF(Q27&gt;P27,"YES","NO")</f>
        <v>NO</v>
      </c>
      <c r="S27" s="41">
        <f>IF(R27="YES",((Q27-P27)/Q27*O27),0)</f>
        <v>0</v>
      </c>
    </row>
    <row r="28" spans="1:25">
      <c r="A28" s="117" t="s">
        <v>234</v>
      </c>
      <c r="C28" s="124"/>
      <c r="F28" s="117"/>
      <c r="I28" s="117"/>
      <c r="J28" s="117"/>
      <c r="K28" s="123"/>
      <c r="L28" s="117"/>
      <c r="M28" s="117"/>
    </row>
    <row r="29" spans="1:25">
      <c r="A29" s="108" t="s">
        <v>232</v>
      </c>
      <c r="B29" s="123">
        <f>P39</f>
        <v>13809000</v>
      </c>
      <c r="C29" s="124">
        <f>B22/P39</f>
        <v>16.382441596060541</v>
      </c>
      <c r="E29" s="120">
        <f>S67</f>
        <v>1296000</v>
      </c>
      <c r="F29" s="124">
        <f>E22/E29</f>
        <v>40.560898263888895</v>
      </c>
      <c r="H29" s="123">
        <f>S53</f>
        <v>1440000</v>
      </c>
      <c r="I29" s="124">
        <f>H22/H29</f>
        <v>8.5715277777777779</v>
      </c>
      <c r="J29" s="124"/>
      <c r="K29" s="123">
        <f>S80</f>
        <v>8533</v>
      </c>
      <c r="L29" s="124">
        <f>K22/K29</f>
        <v>285.05109574592757</v>
      </c>
      <c r="M29" s="124"/>
      <c r="O29" s="111" t="s">
        <v>447</v>
      </c>
    </row>
    <row r="30" spans="1:25">
      <c r="A30" s="108" t="s">
        <v>233</v>
      </c>
      <c r="B30" s="125"/>
      <c r="C30" s="124"/>
      <c r="E30" s="121">
        <f>R67*4</f>
        <v>1060000</v>
      </c>
      <c r="F30" s="124">
        <f>E22/E30</f>
        <v>49.591437877358494</v>
      </c>
      <c r="H30" s="121">
        <f>R53*4</f>
        <v>1088000</v>
      </c>
      <c r="I30" s="124">
        <f>H22/H30</f>
        <v>11.344669117647058</v>
      </c>
      <c r="J30" s="124"/>
      <c r="K30" s="123">
        <f>R80*4</f>
        <v>-49160</v>
      </c>
      <c r="L30" s="124">
        <f>K22/K30</f>
        <v>-49.478051261187957</v>
      </c>
      <c r="M30" s="124"/>
      <c r="P30" s="122" t="s">
        <v>448</v>
      </c>
      <c r="Q30" s="122"/>
      <c r="R30" s="122"/>
    </row>
    <row r="31" spans="1:25">
      <c r="C31" s="124"/>
      <c r="F31" s="117"/>
      <c r="I31" s="117"/>
      <c r="J31" s="117"/>
      <c r="K31" s="123"/>
      <c r="L31" s="117"/>
      <c r="M31" s="117"/>
      <c r="P31" s="126">
        <v>45657</v>
      </c>
      <c r="Q31" s="126"/>
      <c r="R31" s="126"/>
      <c r="S31" s="122" t="s">
        <v>232</v>
      </c>
    </row>
    <row r="32" spans="1:25">
      <c r="A32" s="117" t="s">
        <v>235</v>
      </c>
      <c r="C32" s="124"/>
      <c r="F32" s="117"/>
      <c r="I32" s="117"/>
      <c r="J32" s="117"/>
      <c r="K32" s="123"/>
      <c r="L32" s="117"/>
      <c r="M32" s="117"/>
      <c r="O32" s="108" t="s">
        <v>236</v>
      </c>
      <c r="P32" s="133">
        <v>25920000</v>
      </c>
      <c r="Q32" s="123"/>
      <c r="R32" s="133"/>
      <c r="S32" s="127">
        <f>P32</f>
        <v>25920000</v>
      </c>
      <c r="Y32" s="140" t="s">
        <v>261</v>
      </c>
    </row>
    <row r="33" spans="1:26">
      <c r="A33" s="108" t="s">
        <v>232</v>
      </c>
      <c r="B33" s="121">
        <f>S33</f>
        <v>14347000</v>
      </c>
      <c r="C33" s="124">
        <f>B13/S33</f>
        <v>15.765700634278943</v>
      </c>
      <c r="E33" s="133">
        <f>S68</f>
        <v>1425000</v>
      </c>
      <c r="F33" s="124">
        <f>E13/E33</f>
        <v>29.345209929824566</v>
      </c>
      <c r="H33" s="123">
        <f>S54</f>
        <v>1425000</v>
      </c>
      <c r="I33" s="124">
        <f>H13/H33</f>
        <v>21.49291890526316</v>
      </c>
      <c r="J33" s="124"/>
      <c r="K33" s="123">
        <f>S81</f>
        <v>191596</v>
      </c>
      <c r="L33" s="124">
        <f>K13/K33</f>
        <v>12.877972400258878</v>
      </c>
      <c r="M33" s="124"/>
      <c r="O33" s="108" t="s">
        <v>237</v>
      </c>
      <c r="P33" s="113">
        <f>(14208+139)*1000</f>
        <v>14347000</v>
      </c>
      <c r="Q33" s="116"/>
      <c r="R33" s="113"/>
      <c r="S33" s="121">
        <f>P33</f>
        <v>14347000</v>
      </c>
      <c r="U33" s="141" t="s">
        <v>257</v>
      </c>
      <c r="V33" s="140" t="s">
        <v>258</v>
      </c>
      <c r="W33" s="140" t="s">
        <v>259</v>
      </c>
      <c r="X33" s="140" t="s">
        <v>260</v>
      </c>
    </row>
    <row r="34" spans="1:26">
      <c r="A34" s="108" t="s">
        <v>233</v>
      </c>
      <c r="B34" s="125"/>
      <c r="C34" s="124"/>
      <c r="E34" s="125">
        <f>R68*4</f>
        <v>1012000</v>
      </c>
      <c r="F34" s="124">
        <f>E13/E34</f>
        <v>41.321071294466407</v>
      </c>
      <c r="H34" s="125">
        <f>R54*4</f>
        <v>1012000</v>
      </c>
      <c r="I34" s="124">
        <f>H13/H34</f>
        <v>30.264238577075101</v>
      </c>
      <c r="J34" s="124"/>
      <c r="K34" s="123">
        <f>R81*4</f>
        <v>156928</v>
      </c>
      <c r="L34" s="124">
        <f>K13/K34</f>
        <v>15.722930261011419</v>
      </c>
      <c r="M34" s="124"/>
      <c r="O34" s="108" t="s">
        <v>239</v>
      </c>
      <c r="P34" s="113">
        <f>2775000</f>
        <v>2775000</v>
      </c>
      <c r="Q34" s="125"/>
      <c r="R34" s="113"/>
      <c r="S34" s="121">
        <f>P34</f>
        <v>2775000</v>
      </c>
    </row>
    <row r="35" spans="1:26">
      <c r="C35" s="124"/>
      <c r="F35" s="117"/>
      <c r="I35" s="117"/>
      <c r="J35" s="117"/>
      <c r="K35" s="123"/>
      <c r="L35" s="117"/>
      <c r="M35" s="117"/>
      <c r="O35" s="128" t="s">
        <v>28</v>
      </c>
      <c r="P35" s="129">
        <f>SUM(P33:P34)</f>
        <v>17122000</v>
      </c>
      <c r="Q35" s="129"/>
      <c r="R35" s="129"/>
      <c r="S35" s="129">
        <f>SUM(S33:S34)</f>
        <v>17122000</v>
      </c>
    </row>
    <row r="36" spans="1:26" hidden="1" outlineLevel="1">
      <c r="A36" s="117" t="s">
        <v>239</v>
      </c>
      <c r="C36" s="124"/>
      <c r="F36" s="117"/>
      <c r="I36" s="117"/>
      <c r="J36" s="117"/>
      <c r="K36" s="123"/>
      <c r="L36" s="117"/>
      <c r="M36" s="117"/>
      <c r="O36" s="108" t="s">
        <v>48</v>
      </c>
      <c r="P36" s="113">
        <v>17482</v>
      </c>
      <c r="Q36" s="116"/>
      <c r="R36" s="113"/>
      <c r="S36" s="121">
        <f>R36+Q36-P36</f>
        <v>-17482</v>
      </c>
      <c r="Y36" s="140" t="s">
        <v>261</v>
      </c>
      <c r="Z36" s="140" t="s">
        <v>262</v>
      </c>
    </row>
    <row r="37" spans="1:26" hidden="1" outlineLevel="1">
      <c r="A37" s="108" t="s">
        <v>232</v>
      </c>
      <c r="B37" s="123"/>
      <c r="C37" s="124"/>
      <c r="E37" s="133"/>
      <c r="F37" s="117"/>
      <c r="H37" s="123"/>
      <c r="I37" s="117"/>
      <c r="J37" s="117"/>
      <c r="K37" s="123"/>
      <c r="L37" s="117"/>
      <c r="M37" s="117"/>
      <c r="O37" s="108" t="s">
        <v>239</v>
      </c>
      <c r="P37" s="113">
        <v>786000</v>
      </c>
      <c r="Q37" s="116"/>
      <c r="R37" s="113"/>
      <c r="S37" s="121">
        <f>R37+Q37-P37</f>
        <v>-786000</v>
      </c>
      <c r="U37" s="141" t="s">
        <v>257</v>
      </c>
      <c r="V37" s="141" t="s">
        <v>258</v>
      </c>
      <c r="W37" s="140" t="s">
        <v>259</v>
      </c>
      <c r="X37" s="140" t="s">
        <v>260</v>
      </c>
    </row>
    <row r="38" spans="1:26" hidden="1" outlineLevel="1">
      <c r="A38" s="108" t="s">
        <v>233</v>
      </c>
      <c r="B38" s="125"/>
      <c r="C38" s="124"/>
      <c r="E38" s="125"/>
      <c r="F38" s="117"/>
      <c r="H38" s="125"/>
      <c r="I38" s="117"/>
      <c r="J38" s="117"/>
      <c r="K38" s="123"/>
      <c r="L38" s="117"/>
      <c r="M38" s="117"/>
      <c r="O38" s="128" t="s">
        <v>240</v>
      </c>
      <c r="P38" s="130">
        <f>P35-P37</f>
        <v>16336000</v>
      </c>
      <c r="Q38" s="130"/>
      <c r="R38" s="130"/>
      <c r="S38" s="130">
        <f>S35-S37</f>
        <v>17908000</v>
      </c>
    </row>
    <row r="39" spans="1:26" ht="18.75" hidden="1" customHeight="1" outlineLevel="1">
      <c r="C39" s="124"/>
      <c r="F39" s="117"/>
      <c r="I39" s="117"/>
      <c r="J39" s="117"/>
      <c r="K39" s="123"/>
      <c r="L39" s="117"/>
      <c r="M39" s="117"/>
      <c r="O39" s="108" t="s">
        <v>28</v>
      </c>
      <c r="P39" s="113">
        <f>'Income Statement'!M14 * 1000</f>
        <v>13809000</v>
      </c>
      <c r="Q39" s="130"/>
      <c r="R39" s="130"/>
      <c r="S39" s="121">
        <f>P39</f>
        <v>13809000</v>
      </c>
    </row>
    <row r="40" spans="1:26" hidden="1" outlineLevel="1">
      <c r="C40" s="124"/>
      <c r="F40" s="117"/>
      <c r="I40" s="117"/>
      <c r="J40" s="117"/>
      <c r="K40" s="123"/>
      <c r="L40" s="117"/>
      <c r="M40" s="117"/>
    </row>
    <row r="41" spans="1:26" collapsed="1">
      <c r="A41" s="117" t="s">
        <v>241</v>
      </c>
      <c r="C41" s="124"/>
      <c r="F41" s="117"/>
      <c r="I41" s="117"/>
      <c r="J41" s="117"/>
      <c r="K41" s="123"/>
      <c r="L41" s="117"/>
      <c r="M41" s="117"/>
      <c r="O41" s="108" t="s">
        <v>242</v>
      </c>
    </row>
    <row r="42" spans="1:26" ht="14.5">
      <c r="A42" s="108" t="s">
        <v>232</v>
      </c>
      <c r="B42" s="121">
        <f>S39-S34</f>
        <v>11034000</v>
      </c>
      <c r="C42" s="124">
        <f>B13/(P39-S34)</f>
        <v>20.499411546130144</v>
      </c>
      <c r="E42" s="127">
        <f>S70</f>
        <v>1146000</v>
      </c>
      <c r="F42" s="124">
        <f>E13/E42</f>
        <v>36.489462609075048</v>
      </c>
      <c r="H42" s="127">
        <f>S56</f>
        <v>1347000</v>
      </c>
      <c r="I42" s="124">
        <f>H13/H42</f>
        <v>22.737497728285078</v>
      </c>
      <c r="J42" s="124"/>
      <c r="K42" s="123">
        <f>S83</f>
        <v>96883</v>
      </c>
      <c r="L42" s="124">
        <f>K13/K42</f>
        <v>25.467502038541333</v>
      </c>
      <c r="M42" s="124"/>
      <c r="O42" s="109" t="s">
        <v>449</v>
      </c>
    </row>
    <row r="43" spans="1:26" ht="14.5">
      <c r="A43" s="108" t="s">
        <v>233</v>
      </c>
      <c r="B43" s="121"/>
      <c r="C43" s="124"/>
      <c r="E43" s="121">
        <f>R70*4</f>
        <v>728000</v>
      </c>
      <c r="F43" s="124">
        <f>E13/E43</f>
        <v>57.440829876373634</v>
      </c>
      <c r="H43" s="121">
        <f>R56*4</f>
        <v>804000</v>
      </c>
      <c r="I43" s="124">
        <f>H13/H43</f>
        <v>38.093792835820899</v>
      </c>
      <c r="J43" s="124"/>
      <c r="K43" s="123">
        <f>R83*4</f>
        <v>86212</v>
      </c>
      <c r="L43" s="124">
        <f>K13/K43</f>
        <v>28.619774509349046</v>
      </c>
      <c r="M43" s="124"/>
      <c r="O43" s="109"/>
    </row>
    <row r="45" spans="1:26">
      <c r="A45" s="108" t="s">
        <v>450</v>
      </c>
      <c r="O45" s="131" t="s">
        <v>457</v>
      </c>
    </row>
    <row r="46" spans="1:26">
      <c r="P46" s="122" t="s">
        <v>244</v>
      </c>
      <c r="Q46" s="122" t="s">
        <v>182</v>
      </c>
      <c r="R46" s="122" t="s">
        <v>244</v>
      </c>
    </row>
    <row r="47" spans="1:26" ht="14.5">
      <c r="A47" s="109" t="s">
        <v>243</v>
      </c>
      <c r="P47" s="126">
        <v>45382</v>
      </c>
      <c r="Q47" s="126">
        <v>45657</v>
      </c>
      <c r="R47" s="126">
        <v>45747</v>
      </c>
      <c r="S47" s="132" t="s">
        <v>232</v>
      </c>
    </row>
    <row r="48" spans="1:26">
      <c r="O48" s="108" t="s">
        <v>236</v>
      </c>
      <c r="P48" s="108">
        <v>1598000</v>
      </c>
      <c r="Q48" s="108">
        <v>7549000</v>
      </c>
      <c r="R48" s="108">
        <v>1787000</v>
      </c>
      <c r="S48" s="108">
        <f>Q48-P48+R48</f>
        <v>7738000</v>
      </c>
    </row>
    <row r="49" spans="15:19">
      <c r="O49" s="108" t="s">
        <v>245</v>
      </c>
      <c r="P49" s="108">
        <v>383000</v>
      </c>
      <c r="Q49" s="108">
        <v>1900000</v>
      </c>
      <c r="R49" s="108">
        <v>429000</v>
      </c>
      <c r="S49" s="108">
        <f>Q49-P49+R49</f>
        <v>1946000</v>
      </c>
    </row>
    <row r="50" spans="15:19">
      <c r="O50" s="108" t="s">
        <v>18</v>
      </c>
      <c r="P50" s="108">
        <v>117000</v>
      </c>
      <c r="Q50" s="108">
        <v>489000</v>
      </c>
      <c r="R50" s="108">
        <v>120000</v>
      </c>
      <c r="S50" s="108">
        <f t="shared" ref="S50:S56" si="0">Q50-P50+R50</f>
        <v>492000</v>
      </c>
    </row>
    <row r="51" spans="15:19">
      <c r="O51" s="108" t="s">
        <v>246</v>
      </c>
      <c r="P51" s="108">
        <v>1000</v>
      </c>
      <c r="Q51" s="108">
        <v>34000</v>
      </c>
      <c r="R51" s="108">
        <v>8000</v>
      </c>
      <c r="S51" s="108">
        <f t="shared" si="0"/>
        <v>41000</v>
      </c>
    </row>
    <row r="52" spans="15:19">
      <c r="O52" s="108" t="s">
        <v>238</v>
      </c>
      <c r="P52" s="108">
        <v>35000</v>
      </c>
      <c r="Q52" s="108">
        <v>45000</v>
      </c>
      <c r="R52" s="108">
        <v>45000</v>
      </c>
      <c r="S52" s="108">
        <f t="shared" si="0"/>
        <v>55000</v>
      </c>
    </row>
    <row r="53" spans="15:19">
      <c r="O53" s="128" t="s">
        <v>28</v>
      </c>
      <c r="P53" s="117">
        <v>232000</v>
      </c>
      <c r="Q53" s="117">
        <f>Q49-Q50+Q51-Q52</f>
        <v>1400000</v>
      </c>
      <c r="R53" s="117">
        <f>(R49-R50+R51-R52)</f>
        <v>272000</v>
      </c>
      <c r="S53" s="117">
        <f t="shared" si="0"/>
        <v>1440000</v>
      </c>
    </row>
    <row r="54" spans="15:19">
      <c r="O54" s="108" t="s">
        <v>48</v>
      </c>
      <c r="P54" s="108">
        <v>314000</v>
      </c>
      <c r="Q54" s="108">
        <v>1486000</v>
      </c>
      <c r="R54" s="108">
        <v>253000</v>
      </c>
      <c r="S54" s="108">
        <f t="shared" si="0"/>
        <v>1425000</v>
      </c>
    </row>
    <row r="55" spans="15:19">
      <c r="O55" s="108" t="s">
        <v>239</v>
      </c>
      <c r="P55" s="108">
        <v>49000</v>
      </c>
      <c r="Q55" s="108">
        <v>71000</v>
      </c>
      <c r="R55" s="108">
        <v>71000</v>
      </c>
      <c r="S55" s="108">
        <f t="shared" si="0"/>
        <v>93000</v>
      </c>
    </row>
    <row r="56" spans="15:19">
      <c r="O56" s="128" t="s">
        <v>240</v>
      </c>
      <c r="P56" s="117">
        <f>P53-P55</f>
        <v>183000</v>
      </c>
      <c r="Q56" s="117">
        <f>Q53-Q55</f>
        <v>1329000</v>
      </c>
      <c r="R56" s="117">
        <f>R53-R55</f>
        <v>201000</v>
      </c>
      <c r="S56" s="117">
        <f t="shared" si="0"/>
        <v>1347000</v>
      </c>
    </row>
    <row r="59" spans="15:19">
      <c r="O59" s="131" t="s">
        <v>451</v>
      </c>
    </row>
    <row r="60" spans="15:19">
      <c r="P60" s="122" t="s">
        <v>244</v>
      </c>
      <c r="Q60" s="122" t="s">
        <v>182</v>
      </c>
      <c r="R60" s="122" t="s">
        <v>244</v>
      </c>
    </row>
    <row r="61" spans="15:19">
      <c r="P61" s="126">
        <v>45382</v>
      </c>
      <c r="Q61" s="126">
        <v>45657</v>
      </c>
      <c r="R61" s="126">
        <v>45747</v>
      </c>
      <c r="S61" s="132" t="s">
        <v>232</v>
      </c>
    </row>
    <row r="62" spans="15:19">
      <c r="O62" s="108" t="s">
        <v>236</v>
      </c>
      <c r="P62" s="108">
        <v>474000</v>
      </c>
      <c r="Q62" s="108">
        <v>7549000</v>
      </c>
      <c r="R62" s="108">
        <v>607000</v>
      </c>
      <c r="S62" s="108">
        <f t="shared" ref="S62:S70" si="1">Q62-P62+R62</f>
        <v>7682000</v>
      </c>
    </row>
    <row r="63" spans="15:19">
      <c r="O63" s="108" t="s">
        <v>245</v>
      </c>
      <c r="P63" s="108">
        <v>383000</v>
      </c>
      <c r="Q63" s="108">
        <v>1900000</v>
      </c>
      <c r="R63" s="108">
        <v>429000</v>
      </c>
      <c r="S63" s="108">
        <f t="shared" si="1"/>
        <v>1946000</v>
      </c>
    </row>
    <row r="64" spans="15:19">
      <c r="O64" s="108" t="s">
        <v>18</v>
      </c>
      <c r="P64" s="108">
        <v>117000</v>
      </c>
      <c r="Q64" s="108">
        <v>489000</v>
      </c>
      <c r="R64" s="108">
        <v>120000</v>
      </c>
      <c r="S64" s="108">
        <f t="shared" si="1"/>
        <v>492000</v>
      </c>
    </row>
    <row r="65" spans="15:19">
      <c r="O65" s="108" t="s">
        <v>246</v>
      </c>
      <c r="P65" s="108">
        <v>8000</v>
      </c>
      <c r="Q65" s="108">
        <v>34000</v>
      </c>
      <c r="R65" s="108">
        <v>1000</v>
      </c>
      <c r="S65" s="108">
        <f t="shared" si="1"/>
        <v>27000</v>
      </c>
    </row>
    <row r="66" spans="15:19">
      <c r="O66" s="108" t="s">
        <v>238</v>
      </c>
      <c r="P66" s="108">
        <v>35000</v>
      </c>
      <c r="Q66" s="108">
        <v>175000</v>
      </c>
      <c r="R66" s="108">
        <v>45000</v>
      </c>
      <c r="S66" s="108">
        <f t="shared" si="1"/>
        <v>185000</v>
      </c>
    </row>
    <row r="67" spans="15:19">
      <c r="O67" s="128" t="s">
        <v>28</v>
      </c>
      <c r="P67" s="117">
        <f>P63-P64+P65-P66</f>
        <v>239000</v>
      </c>
      <c r="Q67" s="117">
        <f>Q63-Q64+Q65-Q66</f>
        <v>1270000</v>
      </c>
      <c r="R67" s="117">
        <f>R63-R64+R65-R66</f>
        <v>265000</v>
      </c>
      <c r="S67" s="117">
        <f t="shared" si="1"/>
        <v>1296000</v>
      </c>
    </row>
    <row r="68" spans="15:19">
      <c r="O68" s="108" t="s">
        <v>48</v>
      </c>
      <c r="P68" s="108">
        <v>314000</v>
      </c>
      <c r="Q68" s="108">
        <v>1486000</v>
      </c>
      <c r="R68" s="108">
        <v>253000</v>
      </c>
      <c r="S68" s="108">
        <f t="shared" si="1"/>
        <v>1425000</v>
      </c>
    </row>
    <row r="69" spans="15:19">
      <c r="O69" s="108" t="s">
        <v>239</v>
      </c>
      <c r="P69" s="108">
        <v>49000</v>
      </c>
      <c r="Q69" s="108">
        <v>257000</v>
      </c>
      <c r="R69" s="108">
        <v>71000</v>
      </c>
      <c r="S69" s="108">
        <f t="shared" si="1"/>
        <v>279000</v>
      </c>
    </row>
    <row r="70" spans="15:19">
      <c r="O70" s="128" t="s">
        <v>240</v>
      </c>
      <c r="P70" s="117">
        <f>P68-P69</f>
        <v>265000</v>
      </c>
      <c r="Q70" s="117">
        <f>Q68-Q69</f>
        <v>1229000</v>
      </c>
      <c r="R70" s="117">
        <f t="shared" ref="R70" si="2">R68-R69</f>
        <v>182000</v>
      </c>
      <c r="S70" s="117">
        <f t="shared" si="1"/>
        <v>1146000</v>
      </c>
    </row>
    <row r="72" spans="15:19">
      <c r="O72" s="131" t="s">
        <v>458</v>
      </c>
    </row>
    <row r="73" spans="15:19">
      <c r="P73" s="122" t="s">
        <v>244</v>
      </c>
      <c r="Q73" s="122" t="s">
        <v>182</v>
      </c>
      <c r="R73" s="122" t="s">
        <v>244</v>
      </c>
    </row>
    <row r="74" spans="15:19">
      <c r="P74" s="126">
        <v>45382</v>
      </c>
      <c r="Q74" s="126">
        <v>45657</v>
      </c>
      <c r="R74" s="126">
        <v>45747</v>
      </c>
      <c r="S74" s="132" t="s">
        <v>232</v>
      </c>
    </row>
    <row r="75" spans="15:19">
      <c r="O75" s="108" t="s">
        <v>236</v>
      </c>
      <c r="P75" s="108">
        <v>534753</v>
      </c>
      <c r="Q75" s="108">
        <v>925905</v>
      </c>
      <c r="R75" s="108">
        <v>523472</v>
      </c>
      <c r="S75" s="108">
        <f t="shared" ref="S75:S83" si="3">Q75-P75+R75</f>
        <v>914624</v>
      </c>
    </row>
    <row r="76" spans="15:19">
      <c r="O76" s="108" t="s">
        <v>245</v>
      </c>
      <c r="P76" s="108">
        <v>57457</v>
      </c>
      <c r="Q76" s="108">
        <v>272413</v>
      </c>
      <c r="R76" s="108">
        <v>54917</v>
      </c>
      <c r="S76" s="108">
        <f t="shared" si="3"/>
        <v>269873</v>
      </c>
    </row>
    <row r="77" spans="15:19">
      <c r="O77" s="108" t="s">
        <v>18</v>
      </c>
      <c r="P77" s="108">
        <v>30535</v>
      </c>
      <c r="Q77" s="108">
        <v>123881</v>
      </c>
      <c r="R77" s="108">
        <v>31477</v>
      </c>
      <c r="S77" s="108">
        <f t="shared" si="3"/>
        <v>124823</v>
      </c>
    </row>
    <row r="78" spans="15:19">
      <c r="O78" s="108" t="s">
        <v>246</v>
      </c>
      <c r="P78" s="108">
        <v>6836</v>
      </c>
      <c r="Q78" s="108">
        <v>24924</v>
      </c>
      <c r="R78" s="108">
        <v>4986</v>
      </c>
      <c r="S78" s="108">
        <f t="shared" si="3"/>
        <v>23074</v>
      </c>
    </row>
    <row r="79" spans="15:19">
      <c r="O79" s="108" t="s">
        <v>238</v>
      </c>
      <c r="P79" s="108">
        <f>35518+3542</f>
        <v>39060</v>
      </c>
      <c r="Q79" s="108">
        <f>143234+14701</f>
        <v>157935</v>
      </c>
      <c r="R79" s="108">
        <f>36549+4167</f>
        <v>40716</v>
      </c>
      <c r="S79" s="108">
        <f t="shared" si="3"/>
        <v>159591</v>
      </c>
    </row>
    <row r="80" spans="15:19">
      <c r="O80" s="128" t="s">
        <v>28</v>
      </c>
      <c r="P80" s="117">
        <f>P76-P77+P78-P79</f>
        <v>-5302</v>
      </c>
      <c r="Q80" s="117">
        <f>Q76-Q77+Q78-Q79</f>
        <v>15521</v>
      </c>
      <c r="R80" s="117">
        <f>R76-R77+R78-R79</f>
        <v>-12290</v>
      </c>
      <c r="S80" s="117">
        <f t="shared" si="3"/>
        <v>8533</v>
      </c>
    </row>
    <row r="81" spans="15:19">
      <c r="O81" s="108" t="s">
        <v>48</v>
      </c>
      <c r="P81" s="108">
        <v>41993</v>
      </c>
      <c r="Q81" s="108">
        <v>194357</v>
      </c>
      <c r="R81" s="108">
        <v>39232</v>
      </c>
      <c r="S81" s="108">
        <f t="shared" si="3"/>
        <v>191596</v>
      </c>
    </row>
    <row r="82" spans="15:19">
      <c r="O82" s="108" t="s">
        <v>239</v>
      </c>
      <c r="P82" s="108">
        <v>17354</v>
      </c>
      <c r="Q82" s="108">
        <v>94388</v>
      </c>
      <c r="R82" s="108">
        <v>17679</v>
      </c>
      <c r="S82" s="108">
        <f t="shared" si="3"/>
        <v>94713</v>
      </c>
    </row>
    <row r="83" spans="15:19">
      <c r="O83" s="128" t="s">
        <v>240</v>
      </c>
      <c r="P83" s="117">
        <f>P81-P82</f>
        <v>24639</v>
      </c>
      <c r="Q83" s="117">
        <f>Q81-Q82</f>
        <v>99969</v>
      </c>
      <c r="R83" s="117">
        <f>R81-R82</f>
        <v>21553</v>
      </c>
      <c r="S83" s="117">
        <f t="shared" si="3"/>
        <v>96883</v>
      </c>
    </row>
  </sheetData>
  <pageMargins left="0.7" right="0.7" top="0.75" bottom="0.75" header="0.3" footer="0.3"/>
  <pageSetup scale="61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0B7-4B3B-4FFE-89FB-2EF952E90338}">
  <sheetPr>
    <pageSetUpPr fitToPage="1"/>
  </sheetPr>
  <dimension ref="A1:J62"/>
  <sheetViews>
    <sheetView workbookViewId="0"/>
    <sheetView workbookViewId="1"/>
  </sheetViews>
  <sheetFormatPr defaultColWidth="8.6640625" defaultRowHeight="14" outlineLevelRow="1" outlineLevelCol="1"/>
  <cols>
    <col min="1" max="1" width="32.58203125" style="108" customWidth="1"/>
    <col min="2" max="2" width="11.6640625" style="108" customWidth="1" outlineLevel="1"/>
    <col min="3" max="10" width="10.58203125" style="108" customWidth="1"/>
    <col min="11" max="16384" width="8.6640625" style="108"/>
  </cols>
  <sheetData>
    <row r="1" spans="1:10" ht="30">
      <c r="A1" s="106" t="s">
        <v>317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 ht="14.5">
      <c r="A2" s="109" t="s">
        <v>329</v>
      </c>
    </row>
    <row r="3" spans="1:10" ht="14.5" thickBot="1"/>
    <row r="4" spans="1:10" ht="14.5" thickBot="1">
      <c r="B4" s="135"/>
      <c r="C4" s="145" t="s">
        <v>68</v>
      </c>
      <c r="D4" s="148"/>
      <c r="E4" s="149"/>
      <c r="F4" s="145" t="s">
        <v>69</v>
      </c>
      <c r="G4" s="146"/>
      <c r="H4" s="146"/>
      <c r="I4" s="146"/>
      <c r="J4" s="147"/>
    </row>
    <row r="5" spans="1:10" ht="14.5" thickBot="1">
      <c r="B5" s="46">
        <v>44561</v>
      </c>
      <c r="C5" s="47">
        <v>44926</v>
      </c>
      <c r="D5" s="47">
        <v>45291</v>
      </c>
      <c r="E5" s="47">
        <v>45657</v>
      </c>
      <c r="F5" s="47">
        <v>46022</v>
      </c>
      <c r="G5" s="47">
        <v>46387</v>
      </c>
      <c r="H5" s="47">
        <v>46752</v>
      </c>
      <c r="I5" s="47">
        <v>47118</v>
      </c>
      <c r="J5" s="47">
        <v>47483</v>
      </c>
    </row>
    <row r="6" spans="1:10" ht="14.5" thickBot="1">
      <c r="A6" s="150" t="s">
        <v>263</v>
      </c>
    </row>
    <row r="7" spans="1:10">
      <c r="A7" s="108" t="s">
        <v>236</v>
      </c>
      <c r="B7" s="123">
        <f>'Income Statement'!J9</f>
        <v>23222.899999999998</v>
      </c>
      <c r="C7" s="123">
        <f>'Income Statement'!K9</f>
        <v>23182</v>
      </c>
      <c r="D7" s="123">
        <f>'Income Statement'!L9</f>
        <v>25493.699999999997</v>
      </c>
      <c r="E7" s="123">
        <f>'Income Statement'!M9</f>
        <v>25920</v>
      </c>
      <c r="F7" s="123">
        <f>'Income Statement'!N9</f>
        <v>26956.799999999999</v>
      </c>
      <c r="G7" s="123">
        <f>'Income Statement'!O9</f>
        <v>28035.072000000004</v>
      </c>
      <c r="H7" s="123">
        <f>'Income Statement'!P9</f>
        <v>29156.474880000002</v>
      </c>
      <c r="I7" s="123">
        <f>'Income Statement'!Q9</f>
        <v>30322.733875200003</v>
      </c>
      <c r="J7" s="123">
        <f>'Income Statement'!R9</f>
        <v>31535.643230208003</v>
      </c>
    </row>
    <row r="8" spans="1:10" outlineLevel="1">
      <c r="A8" s="108" t="s">
        <v>264</v>
      </c>
      <c r="B8" s="116">
        <f>'Income Statement'!J10</f>
        <v>9104.2999999999993</v>
      </c>
      <c r="C8" s="116">
        <f>'Income Statement'!K10</f>
        <v>8474</v>
      </c>
      <c r="D8" s="116">
        <f>'Income Statement'!L10</f>
        <v>9335.2000000000007</v>
      </c>
      <c r="E8" s="116">
        <f>'Income Statement'!M10</f>
        <v>9560</v>
      </c>
      <c r="F8" s="116">
        <f>'Income Statement'!N10</f>
        <v>10243.584000000001</v>
      </c>
      <c r="G8" s="116">
        <f>'Income Statement'!O10</f>
        <v>10653.327360000001</v>
      </c>
      <c r="H8" s="116">
        <f>'Income Statement'!P10</f>
        <v>11079.460454400001</v>
      </c>
      <c r="I8" s="116">
        <f>'Income Statement'!Q10</f>
        <v>11522.638872576001</v>
      </c>
      <c r="J8" s="116">
        <f>'Income Statement'!R10</f>
        <v>11983.544427479041</v>
      </c>
    </row>
    <row r="9" spans="1:10">
      <c r="A9" s="108" t="s">
        <v>265</v>
      </c>
      <c r="B9" s="116">
        <f>'Income Statement'!J11</f>
        <v>14118.599999999999</v>
      </c>
      <c r="C9" s="116">
        <f>'Income Statement'!K11</f>
        <v>14708</v>
      </c>
      <c r="D9" s="116">
        <f>'Income Statement'!L11</f>
        <v>16158.499999999996</v>
      </c>
      <c r="E9" s="116">
        <f>'Income Statement'!M11</f>
        <v>16360</v>
      </c>
      <c r="F9" s="116">
        <f>'Income Statement'!N11</f>
        <v>16713.216</v>
      </c>
      <c r="G9" s="116">
        <f>'Income Statement'!O11</f>
        <v>17381.744640000004</v>
      </c>
      <c r="H9" s="116">
        <f>'Income Statement'!P11</f>
        <v>18077.014425599999</v>
      </c>
      <c r="I9" s="116">
        <f>'Income Statement'!Q11</f>
        <v>18800.095002624003</v>
      </c>
      <c r="J9" s="116">
        <f>'Income Statement'!R11</f>
        <v>19552.098802728964</v>
      </c>
    </row>
    <row r="10" spans="1:10">
      <c r="A10" s="108" t="s">
        <v>28</v>
      </c>
      <c r="B10" s="116">
        <f>'Income Statement'!J14</f>
        <v>12223.599999999999</v>
      </c>
      <c r="C10" s="116">
        <f>'Income Statement'!K14</f>
        <v>11242</v>
      </c>
      <c r="D10" s="116">
        <f>'Income Statement'!L14</f>
        <v>13624.499999999996</v>
      </c>
      <c r="E10" s="116">
        <f>'Income Statement'!M14</f>
        <v>13809</v>
      </c>
      <c r="F10" s="116">
        <f>'Income Statement'!N14</f>
        <v>13882.752</v>
      </c>
      <c r="G10" s="116">
        <f>'Income Statement'!O14</f>
        <v>14438.062080000003</v>
      </c>
      <c r="H10" s="116">
        <f>'Income Statement'!P14</f>
        <v>15015.584563199996</v>
      </c>
      <c r="I10" s="116">
        <f>'Income Statement'!Q14</f>
        <v>15616.207945728</v>
      </c>
      <c r="J10" s="116">
        <f>'Income Statement'!R14</f>
        <v>16240.856263557125</v>
      </c>
    </row>
    <row r="11" spans="1:10">
      <c r="A11" s="108" t="s">
        <v>173</v>
      </c>
      <c r="B11" s="116">
        <f>'Income Statement'!J18</f>
        <v>10355.499999999998</v>
      </c>
      <c r="C11" s="116">
        <f>'Income Statement'!K18</f>
        <v>9371</v>
      </c>
      <c r="D11" s="116">
        <f>'Income Statement'!L18</f>
        <v>11646.499999999996</v>
      </c>
      <c r="E11" s="116">
        <f>'Income Statement'!M18</f>
        <v>11712</v>
      </c>
      <c r="F11" s="116">
        <f>'Income Statement'!N18</f>
        <v>11726.208000000001</v>
      </c>
      <c r="G11" s="116">
        <f>'Income Statement'!O18</f>
        <v>12108.994560000003</v>
      </c>
      <c r="H11" s="116">
        <f>'Income Statement'!P18</f>
        <v>12500.191641599997</v>
      </c>
      <c r="I11" s="116">
        <f>'Income Statement'!Q18</f>
        <v>12899.5835904</v>
      </c>
      <c r="J11" s="116">
        <f>'Income Statement'!R18</f>
        <v>13306.901959802884</v>
      </c>
    </row>
    <row r="12" spans="1:10" outlineLevel="1">
      <c r="A12" s="108" t="s">
        <v>73</v>
      </c>
      <c r="B12" s="116">
        <f>'Income Statement'!J19</f>
        <v>1185.8</v>
      </c>
      <c r="C12" s="116">
        <f>'Income Statement'!K19</f>
        <v>1207</v>
      </c>
      <c r="D12" s="116">
        <f>'Income Statement'!L19</f>
        <v>1361</v>
      </c>
      <c r="E12" s="116">
        <f>'Income Statement'!M19</f>
        <v>1506</v>
      </c>
      <c r="F12" s="116">
        <f ca="1">'Income Statement'!N19</f>
        <v>1565.8048656280685</v>
      </c>
      <c r="G12" s="116">
        <f ca="1">'Income Statement'!O19</f>
        <v>1457.5938506283808</v>
      </c>
      <c r="H12" s="116">
        <f ca="1">'Income Statement'!P19</f>
        <v>1333.7571185882571</v>
      </c>
      <c r="I12" s="116">
        <f ca="1">'Income Statement'!Q19</f>
        <v>1217.0820107105537</v>
      </c>
      <c r="J12" s="116">
        <f ca="1">'Income Statement'!R19</f>
        <v>1144.3172280564263</v>
      </c>
    </row>
    <row r="13" spans="1:10" outlineLevel="1">
      <c r="A13" s="108" t="s">
        <v>175</v>
      </c>
      <c r="B13" s="116">
        <f>'Income Statement'!J23</f>
        <v>1582.7</v>
      </c>
      <c r="C13" s="116">
        <f>'Income Statement'!K23</f>
        <v>1648</v>
      </c>
      <c r="D13" s="116">
        <f>'Income Statement'!L23</f>
        <v>2053</v>
      </c>
      <c r="E13" s="116">
        <f>'Income Statement'!M23</f>
        <v>2121</v>
      </c>
      <c r="F13" s="116">
        <f ca="1">'Income Statement'!N23</f>
        <v>1820.4473842502396</v>
      </c>
      <c r="G13" s="116">
        <f ca="1">'Income Statement'!O23</f>
        <v>1891.1199901124919</v>
      </c>
      <c r="H13" s="116">
        <f ca="1">'Income Statement'!P23</f>
        <v>1982.7807910647371</v>
      </c>
      <c r="I13" s="116">
        <f ca="1">'Income Statement'!Q23</f>
        <v>2074.5857643436293</v>
      </c>
      <c r="J13" s="116">
        <f ca="1">'Income Statement'!R23</f>
        <v>2159.8701509138727</v>
      </c>
    </row>
    <row r="14" spans="1:10">
      <c r="A14" s="108" t="s">
        <v>48</v>
      </c>
      <c r="B14" s="116">
        <f>'Income Statement'!J24</f>
        <v>7544.7</v>
      </c>
      <c r="C14" s="116">
        <f>'Income Statement'!K24</f>
        <v>6177</v>
      </c>
      <c r="D14" s="116">
        <f>'Income Statement'!L24</f>
        <v>8468.4999999999964</v>
      </c>
      <c r="E14" s="116">
        <f>'Income Statement'!M24</f>
        <v>8224</v>
      </c>
      <c r="F14" s="116">
        <f ca="1">'Income Statement'!N24</f>
        <v>8293.149194917758</v>
      </c>
      <c r="G14" s="116">
        <f ca="1">'Income Statement'!O24</f>
        <v>8615.1021771791311</v>
      </c>
      <c r="H14" s="116">
        <f ca="1">'Income Statement'!P24</f>
        <v>9032.668048183803</v>
      </c>
      <c r="I14" s="116">
        <f ca="1">'Income Statement'!Q24</f>
        <v>9450.8907042320898</v>
      </c>
      <c r="J14" s="116">
        <f ca="1">'Income Statement'!R24</f>
        <v>9839.4084652743077</v>
      </c>
    </row>
    <row r="15" spans="1:10">
      <c r="A15" s="108" t="s">
        <v>127</v>
      </c>
      <c r="B15" s="157">
        <f>WACC!J36</f>
        <v>9141.5</v>
      </c>
      <c r="C15" s="157" t="e">
        <f>WACC!#REF!</f>
        <v>#REF!</v>
      </c>
      <c r="D15" s="157" t="e">
        <f>WACC!#REF!</f>
        <v>#REF!</v>
      </c>
      <c r="E15" s="157" t="e">
        <f>WACC!#REF!</f>
        <v>#REF!</v>
      </c>
      <c r="F15" s="116">
        <f ca="1">'Cash Flow Statement'!F10</f>
        <v>10681.803530917758</v>
      </c>
      <c r="G15" s="116">
        <f ca="1">'Cash Flow Statement'!G10</f>
        <v>10967.374110619132</v>
      </c>
      <c r="H15" s="116">
        <f ca="1">'Cash Flow Statement'!H10</f>
        <v>11572.193559761403</v>
      </c>
      <c r="I15" s="116">
        <f ca="1">'Cash Flow Statement'!I10</f>
        <v>12192.612953136791</v>
      </c>
      <c r="J15" s="116">
        <f ca="1">'Cash Flow Statement'!J10</f>
        <v>12799.464578348321</v>
      </c>
    </row>
    <row r="16" spans="1:10">
      <c r="A16" s="108" t="s">
        <v>239</v>
      </c>
      <c r="B16" s="116">
        <f>Calcs!J16</f>
        <v>2040</v>
      </c>
      <c r="C16" s="116">
        <f>Calcs!K16</f>
        <v>1889.2</v>
      </c>
      <c r="D16" s="116">
        <f>Calcs!L16</f>
        <v>2357.4</v>
      </c>
      <c r="E16" s="116">
        <f>Calcs!M16</f>
        <v>2775</v>
      </c>
      <c r="F16" s="116">
        <f>Calcs!N16</f>
        <v>2506.9823999999999</v>
      </c>
      <c r="G16" s="116">
        <f>Calcs!O16</f>
        <v>2607.2616960000005</v>
      </c>
      <c r="H16" s="116">
        <f>Calcs!P16</f>
        <v>2711.55216384</v>
      </c>
      <c r="I16" s="116">
        <f>Calcs!Q16</f>
        <v>2820.0142503936004</v>
      </c>
      <c r="J16" s="116">
        <f>Calcs!R16</f>
        <v>2932.8148204093441</v>
      </c>
    </row>
    <row r="17" spans="1:10">
      <c r="A17" s="108" t="s">
        <v>101</v>
      </c>
      <c r="B17" s="116">
        <f>Calcs!J7</f>
        <v>3918.6</v>
      </c>
      <c r="C17" s="116">
        <f>Calcs!K7</f>
        <v>4168.2</v>
      </c>
      <c r="D17" s="116">
        <f>Calcs!L7</f>
        <v>4532.8</v>
      </c>
      <c r="E17" s="116">
        <f>Calcs!M7</f>
        <v>4870</v>
      </c>
      <c r="F17" s="116">
        <f ca="1">Calcs!N7</f>
        <v>5058.8210088998321</v>
      </c>
      <c r="G17" s="116">
        <f ca="1">Calcs!O7</f>
        <v>5255.2123280792703</v>
      </c>
      <c r="H17" s="116">
        <f ca="1">Calcs!P7</f>
        <v>5509.9275093921196</v>
      </c>
      <c r="I17" s="116">
        <f ca="1">Calcs!Q7</f>
        <v>5765.0433295815747</v>
      </c>
      <c r="J17" s="116">
        <f ca="1">Calcs!R7</f>
        <v>6002.0391638173278</v>
      </c>
    </row>
    <row r="18" spans="1:10" outlineLevel="1">
      <c r="A18" s="108" t="s">
        <v>266</v>
      </c>
      <c r="B18" s="116">
        <f>'Balance Sheet PROJECTED'!J8</f>
        <v>1872.4</v>
      </c>
      <c r="C18" s="116">
        <f>'Balance Sheet PROJECTED'!K8</f>
        <v>2115</v>
      </c>
      <c r="D18" s="116">
        <f>'Balance Sheet PROJECTED'!L8</f>
        <v>2488</v>
      </c>
      <c r="E18" s="116">
        <f>'Balance Sheet PROJECTED'!M8</f>
        <v>2383</v>
      </c>
      <c r="F18" s="116">
        <f>'Balance Sheet PROJECTED'!N8</f>
        <v>2506.9823999999999</v>
      </c>
      <c r="G18" s="116">
        <f>'Balance Sheet PROJECTED'!O8</f>
        <v>2607.2616960000005</v>
      </c>
      <c r="H18" s="116">
        <f>'Balance Sheet PROJECTED'!P8</f>
        <v>2711.55216384</v>
      </c>
      <c r="I18" s="116">
        <f>'Balance Sheet PROJECTED'!Q8</f>
        <v>2820.0142503936004</v>
      </c>
      <c r="J18" s="116">
        <f>'Balance Sheet PROJECTED'!R8</f>
        <v>2932.8148204093441</v>
      </c>
    </row>
    <row r="19" spans="1:10" outlineLevel="1">
      <c r="A19" s="108" t="s">
        <v>3</v>
      </c>
      <c r="B19" s="116">
        <f>'Balance Sheet PROJECTED'!J9</f>
        <v>55.6</v>
      </c>
      <c r="C19" s="116">
        <f>'Balance Sheet PROJECTED'!K9</f>
        <v>52</v>
      </c>
      <c r="D19" s="116">
        <f>'Balance Sheet PROJECTED'!L9</f>
        <v>53</v>
      </c>
      <c r="E19" s="116">
        <f>'Balance Sheet PROJECTED'!M9</f>
        <v>56</v>
      </c>
      <c r="F19" s="116">
        <f>'Balance Sheet PROJECTED'!N9</f>
        <v>61.461504000000005</v>
      </c>
      <c r="G19" s="116">
        <f>'Balance Sheet PROJECTED'!O9</f>
        <v>63.919964160000006</v>
      </c>
      <c r="H19" s="116">
        <f>'Balance Sheet PROJECTED'!P9</f>
        <v>66.476762726400011</v>
      </c>
      <c r="I19" s="116">
        <f>'Balance Sheet PROJECTED'!Q9</f>
        <v>69.135833235456005</v>
      </c>
      <c r="J19" s="116">
        <f>'Balance Sheet PROJECTED'!R9</f>
        <v>71.901266564874248</v>
      </c>
    </row>
    <row r="20" spans="1:10" outlineLevel="1">
      <c r="A20" s="108" t="s">
        <v>267</v>
      </c>
      <c r="B20" s="116">
        <f>'Balance Sheet PROJECTED'!J21</f>
        <v>1006.8</v>
      </c>
      <c r="C20" s="116">
        <f>'Balance Sheet PROJECTED'!K21</f>
        <v>980.2</v>
      </c>
      <c r="D20" s="116">
        <f>'Balance Sheet PROJECTED'!L21</f>
        <v>1103</v>
      </c>
      <c r="E20" s="116">
        <f>'Balance Sheet PROJECTED'!M21</f>
        <v>1029</v>
      </c>
      <c r="F20" s="116">
        <f>'Balance Sheet PROJECTED'!N21</f>
        <v>1126.7942400000002</v>
      </c>
      <c r="G20" s="116">
        <f>'Balance Sheet PROJECTED'!O21</f>
        <v>1171.8660096000001</v>
      </c>
      <c r="H20" s="116">
        <f>'Balance Sheet PROJECTED'!P21</f>
        <v>1218.7406499840001</v>
      </c>
      <c r="I20" s="116">
        <f>'Balance Sheet PROJECTED'!Q21</f>
        <v>1267.4902759833601</v>
      </c>
      <c r="J20" s="116">
        <f>'Balance Sheet PROJECTED'!R21</f>
        <v>1318.1898870226944</v>
      </c>
    </row>
    <row r="21" spans="1:10">
      <c r="A21" s="108" t="s">
        <v>268</v>
      </c>
      <c r="B21" s="116">
        <f>'Balance Sheet PROJECTED'!J18</f>
        <v>53854.3</v>
      </c>
      <c r="C21" s="116">
        <f>'Balance Sheet PROJECTED'!K18</f>
        <v>50435.6</v>
      </c>
      <c r="D21" s="116">
        <f>'Balance Sheet PROJECTED'!L18</f>
        <v>56147</v>
      </c>
      <c r="E21" s="116">
        <f>'Balance Sheet PROJECTED'!M18</f>
        <v>55182</v>
      </c>
      <c r="F21" s="116">
        <f ca="1">'Balance Sheet PROJECTED'!N18</f>
        <v>56154.522303999998</v>
      </c>
      <c r="G21" s="116">
        <f ca="1">'Balance Sheet PROJECTED'!O18</f>
        <v>56993.719836160002</v>
      </c>
      <c r="H21" s="116">
        <f ca="1">'Balance Sheet PROJECTED'!P18</f>
        <v>57773.322568806398</v>
      </c>
      <c r="I21" s="116">
        <f ca="1">'Balance Sheet PROJECTED'!Q18</f>
        <v>58843.49011597858</v>
      </c>
      <c r="J21" s="116">
        <f ca="1">'Balance Sheet PROJECTED'!R18</f>
        <v>60802.636110151114</v>
      </c>
    </row>
    <row r="22" spans="1:10">
      <c r="A22" s="108" t="s">
        <v>112</v>
      </c>
      <c r="B22" s="116">
        <f>'Balance Sheet PROJECTED'!J42</f>
        <v>35762.399999999994</v>
      </c>
      <c r="C22" s="116">
        <f>'Balance Sheet PROJECTED'!K42</f>
        <v>36142.400000000001</v>
      </c>
      <c r="D22" s="116">
        <f>'Balance Sheet PROJECTED'!L42</f>
        <v>37375</v>
      </c>
      <c r="E22" s="116">
        <f>'Balance Sheet PROJECTED'!M42</f>
        <v>38616</v>
      </c>
      <c r="F22" s="116">
        <f>'Balance Sheet PROJECTED'!N42</f>
        <v>36596.677769070011</v>
      </c>
      <c r="G22" s="116">
        <f>'Balance Sheet PROJECTED'!O42</f>
        <v>34484.605538140015</v>
      </c>
      <c r="H22" s="116">
        <f>'Balance Sheet PROJECTED'!P42</f>
        <v>32372.533307210029</v>
      </c>
      <c r="I22" s="116">
        <f>'Balance Sheet PROJECTED'!Q42</f>
        <v>30260.461076280037</v>
      </c>
      <c r="J22" s="116">
        <f>'Balance Sheet PROJECTED'!R42</f>
        <v>28148.388845350048</v>
      </c>
    </row>
    <row r="23" spans="1:10">
      <c r="A23" s="108" t="s">
        <v>113</v>
      </c>
      <c r="B23" s="116">
        <f>'Balance Sheet PROJECTED'!J59</f>
        <v>-4601</v>
      </c>
      <c r="C23" s="116">
        <f>'Balance Sheet PROJECTED'!K59</f>
        <v>-6003.3999999999942</v>
      </c>
      <c r="D23" s="116">
        <f>'Balance Sheet PROJECTED'!L59</f>
        <v>-4707</v>
      </c>
      <c r="E23" s="116">
        <f>'Balance Sheet PROJECTED'!M59</f>
        <v>-3797</v>
      </c>
      <c r="F23" s="116">
        <f ca="1">'Balance Sheet PROJECTED'!N59</f>
        <v>-3561.6718139820732</v>
      </c>
      <c r="G23" s="116">
        <f ca="1">'Balance Sheet PROJECTED'!O59</f>
        <v>-201.78196488221874</v>
      </c>
      <c r="H23" s="116">
        <f ca="1">'Balance Sheet PROJECTED'!P59</f>
        <v>3320.9585739094618</v>
      </c>
      <c r="I23" s="116">
        <f ca="1">'Balance Sheet PROJECTED'!Q59</f>
        <v>7006.8059485599806</v>
      </c>
      <c r="J23" s="116">
        <f ca="1">'Balance Sheet PROJECTED'!R59</f>
        <v>10844.175250016953</v>
      </c>
    </row>
    <row r="24" spans="1:10">
      <c r="A24" s="108" t="s">
        <v>133</v>
      </c>
      <c r="B24" s="121">
        <f>SUM(B22:B23)</f>
        <v>31161.399999999994</v>
      </c>
      <c r="C24" s="121">
        <f t="shared" ref="C24:J24" si="0">SUM(C22:C23)</f>
        <v>30139.000000000007</v>
      </c>
      <c r="D24" s="121">
        <f>SUM(D22:D23)</f>
        <v>32668</v>
      </c>
      <c r="E24" s="121">
        <f t="shared" si="0"/>
        <v>34819</v>
      </c>
      <c r="F24" s="121">
        <f t="shared" ca="1" si="0"/>
        <v>33035.005955087938</v>
      </c>
      <c r="G24" s="121">
        <f t="shared" ca="1" si="0"/>
        <v>34282.823573257796</v>
      </c>
      <c r="H24" s="121">
        <f t="shared" ca="1" si="0"/>
        <v>35693.491881119495</v>
      </c>
      <c r="I24" s="121">
        <f t="shared" ca="1" si="0"/>
        <v>37267.267024840017</v>
      </c>
      <c r="J24" s="121">
        <f t="shared" ca="1" si="0"/>
        <v>38992.564095367001</v>
      </c>
    </row>
    <row r="25" spans="1:10" ht="14.5" thickBot="1"/>
    <row r="26" spans="1:10" ht="14.5" thickBot="1">
      <c r="A26" s="150" t="s">
        <v>269</v>
      </c>
    </row>
    <row r="27" spans="1:10">
      <c r="A27" s="108" t="s">
        <v>270</v>
      </c>
      <c r="C27" s="151">
        <f>C7/B7-1</f>
        <v>-1.761192615909235E-3</v>
      </c>
      <c r="D27" s="151">
        <f t="shared" ref="D27:J27" si="1">D7/C7-1</f>
        <v>9.9719610042274143E-2</v>
      </c>
      <c r="E27" s="151">
        <f t="shared" si="1"/>
        <v>1.6721778321703074E-2</v>
      </c>
      <c r="F27" s="151">
        <f t="shared" si="1"/>
        <v>4.0000000000000036E-2</v>
      </c>
      <c r="G27" s="151">
        <f t="shared" si="1"/>
        <v>4.0000000000000258E-2</v>
      </c>
      <c r="H27" s="151">
        <f t="shared" si="1"/>
        <v>3.9999999999999813E-2</v>
      </c>
      <c r="I27" s="151">
        <f t="shared" si="1"/>
        <v>4.0000000000000036E-2</v>
      </c>
      <c r="J27" s="151">
        <f t="shared" si="1"/>
        <v>4.0000000000000036E-2</v>
      </c>
    </row>
    <row r="28" spans="1:10">
      <c r="A28" s="108" t="s">
        <v>271</v>
      </c>
      <c r="B28" s="151"/>
      <c r="C28" s="151">
        <f>C9/C7</f>
        <v>0.63445776895867478</v>
      </c>
      <c r="D28" s="151">
        <f t="shared" ref="D28:J28" si="2">D9/D7</f>
        <v>0.6338232582951866</v>
      </c>
      <c r="E28" s="151">
        <f t="shared" si="2"/>
        <v>0.63117283950617287</v>
      </c>
      <c r="F28" s="151">
        <f t="shared" si="2"/>
        <v>0.62</v>
      </c>
      <c r="G28" s="151">
        <f t="shared" si="2"/>
        <v>0.62000000000000011</v>
      </c>
      <c r="H28" s="151">
        <f t="shared" si="2"/>
        <v>0.61999999999999988</v>
      </c>
      <c r="I28" s="151">
        <f t="shared" si="2"/>
        <v>0.62</v>
      </c>
      <c r="J28" s="151">
        <f t="shared" si="2"/>
        <v>0.62000000000000011</v>
      </c>
    </row>
    <row r="29" spans="1:10">
      <c r="A29" s="108" t="s">
        <v>31</v>
      </c>
      <c r="B29" s="151"/>
      <c r="C29" s="151">
        <f>C10/C7</f>
        <v>0.48494521611595204</v>
      </c>
      <c r="D29" s="151">
        <f t="shared" ref="D29:J29" si="3">D10/D7</f>
        <v>0.53442615234352009</v>
      </c>
      <c r="E29" s="151">
        <f t="shared" si="3"/>
        <v>0.53275462962962961</v>
      </c>
      <c r="F29" s="151">
        <f t="shared" si="3"/>
        <v>0.51500000000000001</v>
      </c>
      <c r="G29" s="151">
        <f t="shared" si="3"/>
        <v>0.51500000000000001</v>
      </c>
      <c r="H29" s="151">
        <f t="shared" si="3"/>
        <v>0.5149999999999999</v>
      </c>
      <c r="I29" s="151">
        <f t="shared" si="3"/>
        <v>0.5149999999999999</v>
      </c>
      <c r="J29" s="151">
        <f t="shared" si="3"/>
        <v>0.51500000000000012</v>
      </c>
    </row>
    <row r="30" spans="1:10">
      <c r="A30" s="108" t="s">
        <v>32</v>
      </c>
      <c r="B30" s="151"/>
      <c r="C30" s="151">
        <f>C11/C7</f>
        <v>0.40423604520748857</v>
      </c>
      <c r="D30" s="151">
        <f t="shared" ref="D30:J30" si="4">D11/D7</f>
        <v>0.45683835614289009</v>
      </c>
      <c r="E30" s="151">
        <f t="shared" si="4"/>
        <v>0.45185185185185184</v>
      </c>
      <c r="F30" s="151">
        <f t="shared" si="4"/>
        <v>0.43500000000000005</v>
      </c>
      <c r="G30" s="151">
        <f t="shared" si="4"/>
        <v>0.43192307692307697</v>
      </c>
      <c r="H30" s="151">
        <f t="shared" si="4"/>
        <v>0.42872781065088744</v>
      </c>
      <c r="I30" s="151">
        <f t="shared" si="4"/>
        <v>0.42540964952207549</v>
      </c>
      <c r="J30" s="151">
        <f t="shared" si="4"/>
        <v>0.42196386681138626</v>
      </c>
    </row>
    <row r="31" spans="1:10">
      <c r="A31" s="117" t="s">
        <v>272</v>
      </c>
      <c r="B31" s="152"/>
      <c r="C31" s="152">
        <f>C14/C7</f>
        <v>0.26645673367267708</v>
      </c>
      <c r="D31" s="152">
        <f t="shared" ref="D31:J31" si="5">D14/D7</f>
        <v>0.33218010724218128</v>
      </c>
      <c r="E31" s="152">
        <f t="shared" si="5"/>
        <v>0.31728395061728393</v>
      </c>
      <c r="F31" s="152">
        <f t="shared" ca="1" si="5"/>
        <v>0.30764590733758301</v>
      </c>
      <c r="G31" s="152">
        <f t="shared" ca="1" si="5"/>
        <v>0.30729730878448003</v>
      </c>
      <c r="H31" s="152">
        <f t="shared" ca="1" si="5"/>
        <v>0.30979973008944911</v>
      </c>
      <c r="I31" s="152">
        <f t="shared" ca="1" si="5"/>
        <v>0.31167673545298868</v>
      </c>
      <c r="J31" s="152">
        <f t="shared" ca="1" si="5"/>
        <v>0.31200912546629572</v>
      </c>
    </row>
    <row r="32" spans="1:10" outlineLevel="1">
      <c r="A32" s="108" t="s">
        <v>273</v>
      </c>
      <c r="C32" s="121">
        <f>AVERAGE(B21:C21)</f>
        <v>52144.95</v>
      </c>
      <c r="D32" s="121">
        <f t="shared" ref="D32:J32" si="6">AVERAGE(C21:D21)</f>
        <v>53291.3</v>
      </c>
      <c r="E32" s="121">
        <f t="shared" si="6"/>
        <v>55664.5</v>
      </c>
      <c r="F32" s="121">
        <f t="shared" ca="1" si="6"/>
        <v>55668.261151999999</v>
      </c>
      <c r="G32" s="121">
        <f t="shared" ca="1" si="6"/>
        <v>56574.12107008</v>
      </c>
      <c r="H32" s="121">
        <f t="shared" ca="1" si="6"/>
        <v>57383.5212024832</v>
      </c>
      <c r="I32" s="121">
        <f t="shared" ca="1" si="6"/>
        <v>58308.406342392489</v>
      </c>
      <c r="J32" s="121">
        <f t="shared" ca="1" si="6"/>
        <v>59823.063113064847</v>
      </c>
    </row>
    <row r="33" spans="1:10">
      <c r="A33" s="117" t="s">
        <v>274</v>
      </c>
      <c r="C33" s="134">
        <f>C7/C32</f>
        <v>0.44456845773176501</v>
      </c>
      <c r="D33" s="134">
        <f t="shared" ref="D33:J33" si="7">D7/D32</f>
        <v>0.47838390131222164</v>
      </c>
      <c r="E33" s="134">
        <f t="shared" si="7"/>
        <v>0.46564686649480369</v>
      </c>
      <c r="F33" s="134">
        <f t="shared" ca="1" si="7"/>
        <v>0.48424002191114818</v>
      </c>
      <c r="G33" s="134">
        <f t="shared" ca="1" si="7"/>
        <v>0.49554586920178839</v>
      </c>
      <c r="H33" s="134">
        <f t="shared" ca="1" si="7"/>
        <v>0.50809839251792532</v>
      </c>
      <c r="I33" s="134">
        <f t="shared" ca="1" si="7"/>
        <v>0.52004051863709044</v>
      </c>
      <c r="J33" s="134">
        <f t="shared" ca="1" si="7"/>
        <v>0.52714858767104633</v>
      </c>
    </row>
    <row r="34" spans="1:10">
      <c r="A34" s="117" t="s">
        <v>275</v>
      </c>
      <c r="C34" s="152">
        <f>C31*C33</f>
        <v>0.11845825914110571</v>
      </c>
      <c r="D34" s="152">
        <f t="shared" ref="D34:J34" si="8">D31*D33</f>
        <v>0.15890961564082684</v>
      </c>
      <c r="E34" s="152">
        <f t="shared" si="8"/>
        <v>0.14774227739403029</v>
      </c>
      <c r="F34" s="152">
        <f t="shared" ca="1" si="8"/>
        <v>0.14897446091002625</v>
      </c>
      <c r="G34" s="152">
        <f t="shared" ca="1" si="8"/>
        <v>0.15227991198497551</v>
      </c>
      <c r="H34" s="152">
        <f t="shared" ca="1" si="8"/>
        <v>0.15740874486093623</v>
      </c>
      <c r="I34" s="152">
        <f t="shared" ca="1" si="8"/>
        <v>0.16208453115208746</v>
      </c>
      <c r="J34" s="152">
        <f t="shared" ca="1" si="8"/>
        <v>0.16447516983003607</v>
      </c>
    </row>
    <row r="35" spans="1:10" outlineLevel="1">
      <c r="A35" s="108" t="s">
        <v>276</v>
      </c>
      <c r="C35" s="121">
        <f>AVERAGE(B23:C23)</f>
        <v>-5302.1999999999971</v>
      </c>
      <c r="D35" s="121">
        <f t="shared" ref="D35:J35" si="9">AVERAGE(C23:D23)</f>
        <v>-5355.1999999999971</v>
      </c>
      <c r="E35" s="121">
        <f t="shared" si="9"/>
        <v>-4252</v>
      </c>
      <c r="F35" s="121">
        <f t="shared" ca="1" si="9"/>
        <v>-3679.3359069910366</v>
      </c>
      <c r="G35" s="121">
        <f t="shared" ca="1" si="9"/>
        <v>-1881.726889432146</v>
      </c>
      <c r="H35" s="121">
        <f t="shared" ca="1" si="9"/>
        <v>1559.5883045136216</v>
      </c>
      <c r="I35" s="121">
        <f t="shared" ca="1" si="9"/>
        <v>5163.8822612347212</v>
      </c>
      <c r="J35" s="121">
        <f t="shared" ca="1" si="9"/>
        <v>8925.4905992884669</v>
      </c>
    </row>
    <row r="36" spans="1:10">
      <c r="A36" s="117" t="s">
        <v>277</v>
      </c>
      <c r="C36" s="134">
        <f>C32/C35</f>
        <v>-9.8345875297046561</v>
      </c>
      <c r="D36" s="134">
        <f t="shared" ref="D36:J36" si="10">D32/D35</f>
        <v>-9.9513183447863813</v>
      </c>
      <c r="E36" s="134">
        <f t="shared" si="10"/>
        <v>-13.091368767638759</v>
      </c>
      <c r="F36" s="134">
        <f t="shared" ca="1" si="10"/>
        <v>-15.129975234450812</v>
      </c>
      <c r="G36" s="134">
        <f t="shared" ca="1" si="10"/>
        <v>-30.065001136882586</v>
      </c>
      <c r="H36" s="134">
        <f t="shared" ca="1" si="10"/>
        <v>36.794018675575423</v>
      </c>
      <c r="I36" s="134">
        <f t="shared" ca="1" si="10"/>
        <v>11.291583229949657</v>
      </c>
      <c r="J36" s="134">
        <f t="shared" ca="1" si="10"/>
        <v>6.7024957841347002</v>
      </c>
    </row>
    <row r="37" spans="1:10">
      <c r="A37" s="117" t="s">
        <v>278</v>
      </c>
      <c r="C37" s="152">
        <f>C34*C36</f>
        <v>-1.1649881181396409</v>
      </c>
      <c r="D37" s="152">
        <f t="shared" ref="D37:J37" si="11">D34*D36</f>
        <v>-1.5813601732895131</v>
      </c>
      <c r="E37" s="152">
        <f t="shared" si="11"/>
        <v>-1.93414863593603</v>
      </c>
      <c r="F37" s="152">
        <f t="shared" ca="1" si="11"/>
        <v>-2.2539799041343578</v>
      </c>
      <c r="G37" s="152">
        <f t="shared" ca="1" si="11"/>
        <v>-4.5782957269526685</v>
      </c>
      <c r="H37" s="152">
        <f t="shared" ca="1" si="11"/>
        <v>5.7917002981121746</v>
      </c>
      <c r="I37" s="152">
        <f t="shared" ca="1" si="11"/>
        <v>1.8301909737911635</v>
      </c>
      <c r="J37" s="152">
        <f t="shared" ca="1" si="11"/>
        <v>1.1023941323806556</v>
      </c>
    </row>
    <row r="38" spans="1:10" outlineLevel="1">
      <c r="A38" s="117" t="s">
        <v>279</v>
      </c>
      <c r="B38" s="153"/>
      <c r="C38" s="153">
        <f>C11-C13</f>
        <v>7723</v>
      </c>
      <c r="D38" s="153">
        <f t="shared" ref="D38:J38" si="12">D11-D13</f>
        <v>9593.4999999999964</v>
      </c>
      <c r="E38" s="153">
        <f t="shared" si="12"/>
        <v>9591</v>
      </c>
      <c r="F38" s="153">
        <f t="shared" ca="1" si="12"/>
        <v>9905.7606157497612</v>
      </c>
      <c r="G38" s="153">
        <f t="shared" ca="1" si="12"/>
        <v>10217.87456988751</v>
      </c>
      <c r="H38" s="153">
        <f t="shared" ca="1" si="12"/>
        <v>10517.41085053526</v>
      </c>
      <c r="I38" s="153">
        <f t="shared" ca="1" si="12"/>
        <v>10824.997826056369</v>
      </c>
      <c r="J38" s="153">
        <f t="shared" ca="1" si="12"/>
        <v>11147.031808889013</v>
      </c>
    </row>
    <row r="39" spans="1:10" outlineLevel="1">
      <c r="A39" s="108" t="s">
        <v>280</v>
      </c>
      <c r="C39" s="121">
        <f>AVERAGE(B24:C24)</f>
        <v>30650.2</v>
      </c>
      <c r="D39" s="121">
        <f t="shared" ref="D39:J39" si="13">AVERAGE(C24:D24)</f>
        <v>31403.500000000004</v>
      </c>
      <c r="E39" s="121">
        <f t="shared" si="13"/>
        <v>33743.5</v>
      </c>
      <c r="F39" s="121">
        <f t="shared" ca="1" si="13"/>
        <v>33927.002977543969</v>
      </c>
      <c r="G39" s="121">
        <f t="shared" ca="1" si="13"/>
        <v>33658.914764172863</v>
      </c>
      <c r="H39" s="121">
        <f t="shared" ca="1" si="13"/>
        <v>34988.157727188649</v>
      </c>
      <c r="I39" s="121">
        <f t="shared" ca="1" si="13"/>
        <v>36480.37945297976</v>
      </c>
      <c r="J39" s="121">
        <f t="shared" ca="1" si="13"/>
        <v>38129.915560103509</v>
      </c>
    </row>
    <row r="40" spans="1:10">
      <c r="A40" s="117" t="s">
        <v>281</v>
      </c>
      <c r="C40" s="152">
        <f>C38/C39</f>
        <v>0.25197225466717998</v>
      </c>
      <c r="D40" s="152">
        <f t="shared" ref="D40:J40" si="14">D38/D39</f>
        <v>0.30549142611492336</v>
      </c>
      <c r="E40" s="152">
        <f t="shared" si="14"/>
        <v>0.28423251885548328</v>
      </c>
      <c r="F40" s="152">
        <f t="shared" ca="1" si="14"/>
        <v>0.29197275757915636</v>
      </c>
      <c r="G40" s="152">
        <f t="shared" ca="1" si="14"/>
        <v>0.303571123474355</v>
      </c>
      <c r="H40" s="152">
        <f t="shared" ca="1" si="14"/>
        <v>0.30059916079440713</v>
      </c>
      <c r="I40" s="152">
        <f t="shared" ca="1" si="14"/>
        <v>0.29673479246587636</v>
      </c>
      <c r="J40" s="152">
        <f t="shared" ca="1" si="14"/>
        <v>0.29234346956048574</v>
      </c>
    </row>
    <row r="41" spans="1:10" hidden="1" outlineLevel="1">
      <c r="A41" s="108" t="s">
        <v>101</v>
      </c>
      <c r="B41" s="116"/>
      <c r="C41" s="116"/>
      <c r="D41" s="116"/>
      <c r="E41" s="116"/>
      <c r="F41" s="116"/>
      <c r="G41" s="116"/>
      <c r="H41" s="116"/>
      <c r="I41" s="116"/>
      <c r="J41" s="116"/>
    </row>
    <row r="42" spans="1:10" hidden="1" outlineLevel="1">
      <c r="A42" s="108" t="s">
        <v>48</v>
      </c>
      <c r="B42" s="116"/>
      <c r="C42" s="116"/>
      <c r="D42" s="116"/>
      <c r="E42" s="116"/>
      <c r="F42" s="116"/>
      <c r="G42" s="116"/>
      <c r="H42" s="116"/>
      <c r="I42" s="116"/>
      <c r="J42" s="116"/>
    </row>
    <row r="43" spans="1:10" collapsed="1">
      <c r="A43" s="117" t="s">
        <v>282</v>
      </c>
      <c r="B43" s="152"/>
      <c r="C43" s="152">
        <f>C17/C14</f>
        <v>0.67479358912093246</v>
      </c>
      <c r="D43" s="152">
        <f t="shared" ref="D43:J43" si="15">D17/D14</f>
        <v>0.53525417724508495</v>
      </c>
      <c r="E43" s="152">
        <f t="shared" si="15"/>
        <v>0.59216926070038911</v>
      </c>
      <c r="F43" s="152">
        <f t="shared" ca="1" si="15"/>
        <v>0.61</v>
      </c>
      <c r="G43" s="152">
        <f t="shared" ca="1" si="15"/>
        <v>0.61</v>
      </c>
      <c r="H43" s="152">
        <f t="shared" ca="1" si="15"/>
        <v>0.61</v>
      </c>
      <c r="I43" s="152">
        <f t="shared" ca="1" si="15"/>
        <v>0.61</v>
      </c>
      <c r="J43" s="152">
        <f t="shared" ca="1" si="15"/>
        <v>0.61</v>
      </c>
    </row>
    <row r="44" spans="1:10" ht="14.5" thickBot="1"/>
    <row r="45" spans="1:10" ht="14.5" thickBot="1">
      <c r="A45" s="150" t="s">
        <v>283</v>
      </c>
    </row>
    <row r="46" spans="1:10">
      <c r="A46" s="108" t="s">
        <v>284</v>
      </c>
      <c r="B46" s="151"/>
      <c r="C46" s="151">
        <f>C22/C24</f>
        <v>1.1991904177311787</v>
      </c>
      <c r="D46" s="151">
        <f>D22/D24</f>
        <v>1.1440859556752785</v>
      </c>
      <c r="E46" s="151">
        <f t="shared" ref="E46:J46" si="16">D22/E24</f>
        <v>1.0734081966742295</v>
      </c>
      <c r="F46" s="151">
        <f t="shared" ca="1" si="16"/>
        <v>1.1689418204585642</v>
      </c>
      <c r="G46" s="151">
        <f t="shared" ca="1" si="16"/>
        <v>1.0674931045532996</v>
      </c>
      <c r="H46" s="151">
        <f t="shared" ca="1" si="16"/>
        <v>0.96613146320887322</v>
      </c>
      <c r="I46" s="151">
        <f t="shared" ca="1" si="16"/>
        <v>0.86865863508672458</v>
      </c>
      <c r="J46" s="151">
        <f t="shared" ca="1" si="16"/>
        <v>0.77605722471263461</v>
      </c>
    </row>
    <row r="47" spans="1:10">
      <c r="A47" s="117" t="s">
        <v>285</v>
      </c>
      <c r="B47" s="134"/>
      <c r="C47" s="134">
        <f>C22/C10</f>
        <v>3.2149439601494398</v>
      </c>
      <c r="D47" s="134">
        <f>D22/D10</f>
        <v>2.7432199346765027</v>
      </c>
      <c r="E47" s="134">
        <f t="shared" ref="E47:J47" si="17">D22/E10</f>
        <v>2.7065681801723516</v>
      </c>
      <c r="F47" s="134">
        <f t="shared" si="17"/>
        <v>2.7815810582800875</v>
      </c>
      <c r="G47" s="134">
        <f t="shared" si="17"/>
        <v>2.5347361416158978</v>
      </c>
      <c r="H47" s="134">
        <f t="shared" si="17"/>
        <v>2.2965876148874314</v>
      </c>
      <c r="I47" s="134">
        <f t="shared" si="17"/>
        <v>2.0730085959226692</v>
      </c>
      <c r="J47" s="134">
        <f t="shared" si="17"/>
        <v>1.8632306440751845</v>
      </c>
    </row>
    <row r="48" spans="1:10">
      <c r="A48" s="108" t="s">
        <v>286</v>
      </c>
      <c r="B48" s="136"/>
      <c r="C48" s="136">
        <f>(C10-C16)/C12</f>
        <v>7.7487986743993362</v>
      </c>
      <c r="D48" s="136">
        <f>(D10-D16)/D12</f>
        <v>8.2785451873622318</v>
      </c>
      <c r="E48" s="136">
        <f>(E10-E16)/E12</f>
        <v>7.3266932270916332</v>
      </c>
      <c r="F48" s="136">
        <f ca="1">(F10-F16)/F12</f>
        <v>7.2651259743256729</v>
      </c>
      <c r="G48" s="136">
        <f ca="1">(G10-G16)/G12</f>
        <v>8.1166645831413504</v>
      </c>
      <c r="H48" s="136">
        <f t="shared" ref="H48:J48" ca="1" si="18">(H10-H16)/H12</f>
        <v>9.2250922059808413</v>
      </c>
      <c r="I48" s="136">
        <f t="shared" ca="1" si="18"/>
        <v>10.51383027826018</v>
      </c>
      <c r="J48" s="136">
        <f t="shared" ca="1" si="18"/>
        <v>11.629678481508941</v>
      </c>
    </row>
    <row r="49" spans="1:10" ht="14.5" thickBot="1"/>
    <row r="50" spans="1:10" ht="14.5" thickBot="1">
      <c r="A50" s="150" t="s">
        <v>287</v>
      </c>
    </row>
    <row r="51" spans="1:10">
      <c r="A51" s="108" t="s">
        <v>288</v>
      </c>
      <c r="B51" s="151"/>
      <c r="C51" s="151">
        <f>C16/C7</f>
        <v>8.1494262790095764E-2</v>
      </c>
      <c r="D51" s="151">
        <f t="shared" ref="D51:I51" si="19">D16/D7</f>
        <v>9.2469904329304894E-2</v>
      </c>
      <c r="E51" s="151">
        <f t="shared" si="19"/>
        <v>0.10706018518518519</v>
      </c>
      <c r="F51" s="151">
        <f t="shared" si="19"/>
        <v>9.2999999999999999E-2</v>
      </c>
      <c r="G51" s="151">
        <f t="shared" si="19"/>
        <v>9.2999999999999999E-2</v>
      </c>
      <c r="H51" s="151">
        <f t="shared" si="19"/>
        <v>9.2999999999999999E-2</v>
      </c>
      <c r="I51" s="151">
        <f t="shared" si="19"/>
        <v>9.2999999999999999E-2</v>
      </c>
      <c r="J51" s="151">
        <f>J16/J7</f>
        <v>9.2999999999999999E-2</v>
      </c>
    </row>
    <row r="52" spans="1:10" hidden="1" outlineLevel="1">
      <c r="A52" s="108" t="s">
        <v>289</v>
      </c>
      <c r="B52" s="121"/>
      <c r="C52" s="121">
        <f>C7/365</f>
        <v>63.512328767123286</v>
      </c>
      <c r="D52" s="121">
        <f t="shared" ref="D52:I52" si="20">D7/365</f>
        <v>69.845753424657531</v>
      </c>
      <c r="E52" s="121">
        <f t="shared" si="20"/>
        <v>71.013698630136986</v>
      </c>
      <c r="F52" s="121">
        <f t="shared" si="20"/>
        <v>73.854246575342458</v>
      </c>
      <c r="G52" s="121">
        <f t="shared" si="20"/>
        <v>76.808416438356176</v>
      </c>
      <c r="H52" s="121">
        <f t="shared" si="20"/>
        <v>79.880753095890412</v>
      </c>
      <c r="I52" s="121">
        <f t="shared" si="20"/>
        <v>83.075983219726041</v>
      </c>
      <c r="J52" s="121">
        <f>J7/365</f>
        <v>86.399022548515077</v>
      </c>
    </row>
    <row r="53" spans="1:10" hidden="1" outlineLevel="1">
      <c r="A53" s="108" t="s">
        <v>290</v>
      </c>
      <c r="C53" s="121">
        <f>AVERAGE(B18:C18)</f>
        <v>1993.7</v>
      </c>
      <c r="D53" s="121">
        <f t="shared" ref="D53:I53" si="21">AVERAGE(C18:D18)</f>
        <v>2301.5</v>
      </c>
      <c r="E53" s="121">
        <f t="shared" si="21"/>
        <v>2435.5</v>
      </c>
      <c r="F53" s="121">
        <f t="shared" si="21"/>
        <v>2444.9911999999999</v>
      </c>
      <c r="G53" s="121">
        <f t="shared" si="21"/>
        <v>2557.1220480000002</v>
      </c>
      <c r="H53" s="121">
        <f t="shared" si="21"/>
        <v>2659.40692992</v>
      </c>
      <c r="I53" s="121">
        <f t="shared" si="21"/>
        <v>2765.7832071168004</v>
      </c>
      <c r="J53" s="121">
        <f>AVERAGE(I18:J18)</f>
        <v>2876.4145354014722</v>
      </c>
    </row>
    <row r="54" spans="1:10" collapsed="1">
      <c r="A54" s="117" t="s">
        <v>291</v>
      </c>
      <c r="C54" s="154">
        <f>C53/C52</f>
        <v>31.390755758778365</v>
      </c>
      <c r="D54" s="154">
        <f t="shared" ref="D54:J54" si="22">D53/D52</f>
        <v>32.951180095474569</v>
      </c>
      <c r="E54" s="154">
        <f t="shared" si="22"/>
        <v>34.296199845679013</v>
      </c>
      <c r="F54" s="154">
        <f t="shared" si="22"/>
        <v>33.10562781932574</v>
      </c>
      <c r="G54" s="154">
        <f t="shared" si="22"/>
        <v>33.292211538461537</v>
      </c>
      <c r="H54" s="154">
        <f t="shared" si="22"/>
        <v>33.292211538461537</v>
      </c>
      <c r="I54" s="154">
        <f t="shared" si="22"/>
        <v>33.292211538461537</v>
      </c>
      <c r="J54" s="154">
        <f t="shared" si="22"/>
        <v>33.292211538461537</v>
      </c>
    </row>
    <row r="55" spans="1:10" hidden="1" outlineLevel="1">
      <c r="A55" s="108" t="s">
        <v>292</v>
      </c>
      <c r="B55" s="121"/>
      <c r="C55" s="121">
        <f>C8/365</f>
        <v>23.216438356164385</v>
      </c>
      <c r="D55" s="121">
        <f t="shared" ref="D55:J55" si="23">D8/365</f>
        <v>25.575890410958905</v>
      </c>
      <c r="E55" s="121">
        <f t="shared" si="23"/>
        <v>26.19178082191781</v>
      </c>
      <c r="F55" s="121">
        <f t="shared" si="23"/>
        <v>28.06461369863014</v>
      </c>
      <c r="G55" s="121">
        <f t="shared" si="23"/>
        <v>29.187198246575345</v>
      </c>
      <c r="H55" s="121">
        <f t="shared" si="23"/>
        <v>30.35468617643836</v>
      </c>
      <c r="I55" s="121">
        <f t="shared" si="23"/>
        <v>31.568873623495893</v>
      </c>
      <c r="J55" s="121">
        <f t="shared" si="23"/>
        <v>32.831628568435725</v>
      </c>
    </row>
    <row r="56" spans="1:10" hidden="1" outlineLevel="1">
      <c r="A56" s="108" t="s">
        <v>293</v>
      </c>
      <c r="C56" s="121">
        <f>AVERAGE(B19:C19)</f>
        <v>53.8</v>
      </c>
      <c r="D56" s="121">
        <f t="shared" ref="D56:J56" si="24">AVERAGE(C19:D19)</f>
        <v>52.5</v>
      </c>
      <c r="E56" s="121">
        <f t="shared" si="24"/>
        <v>54.5</v>
      </c>
      <c r="F56" s="121">
        <f t="shared" si="24"/>
        <v>58.730752000000003</v>
      </c>
      <c r="G56" s="121">
        <f t="shared" si="24"/>
        <v>62.690734080000006</v>
      </c>
      <c r="H56" s="121">
        <f t="shared" si="24"/>
        <v>65.198363443200009</v>
      </c>
      <c r="I56" s="121">
        <f t="shared" si="24"/>
        <v>67.806297980928008</v>
      </c>
      <c r="J56" s="121">
        <f t="shared" si="24"/>
        <v>70.518549900165127</v>
      </c>
    </row>
    <row r="57" spans="1:10" collapsed="1">
      <c r="A57" s="117" t="s">
        <v>294</v>
      </c>
      <c r="C57" s="154">
        <f>C56/C55</f>
        <v>2.3173235780033039</v>
      </c>
      <c r="D57" s="154">
        <f t="shared" ref="D57:J57" si="25">D56/D55</f>
        <v>2.052714457108578</v>
      </c>
      <c r="E57" s="154">
        <f t="shared" si="25"/>
        <v>2.0808054393305437</v>
      </c>
      <c r="F57" s="154">
        <f t="shared" si="25"/>
        <v>2.0926976808117157</v>
      </c>
      <c r="G57" s="154">
        <f t="shared" si="25"/>
        <v>2.1478846153846152</v>
      </c>
      <c r="H57" s="154">
        <f t="shared" si="25"/>
        <v>2.1478846153846156</v>
      </c>
      <c r="I57" s="154">
        <f t="shared" si="25"/>
        <v>2.1478846153846156</v>
      </c>
      <c r="J57" s="154">
        <f t="shared" si="25"/>
        <v>2.1478846153846156</v>
      </c>
    </row>
    <row r="58" spans="1:10" hidden="1" outlineLevel="1">
      <c r="A58" s="108" t="s">
        <v>295</v>
      </c>
      <c r="C58" s="121">
        <f>AVERAGE(B20:C20)</f>
        <v>993.5</v>
      </c>
      <c r="D58" s="121">
        <f t="shared" ref="D58:J58" si="26">AVERAGE(C20:D20)</f>
        <v>1041.5999999999999</v>
      </c>
      <c r="E58" s="121">
        <f t="shared" si="26"/>
        <v>1066</v>
      </c>
      <c r="F58" s="121">
        <f t="shared" si="26"/>
        <v>1077.8971200000001</v>
      </c>
      <c r="G58" s="121">
        <f t="shared" si="26"/>
        <v>1149.3301248000002</v>
      </c>
      <c r="H58" s="121">
        <f t="shared" si="26"/>
        <v>1195.3033297920001</v>
      </c>
      <c r="I58" s="121">
        <f t="shared" si="26"/>
        <v>1243.1154629836801</v>
      </c>
      <c r="J58" s="121">
        <f t="shared" si="26"/>
        <v>1292.8400815030272</v>
      </c>
    </row>
    <row r="59" spans="1:10" collapsed="1">
      <c r="A59" s="117" t="s">
        <v>296</v>
      </c>
      <c r="C59" s="154">
        <f>C58/C55</f>
        <v>42.792954920934619</v>
      </c>
      <c r="D59" s="154">
        <f t="shared" ref="D59:J59" si="27">D58/D55</f>
        <v>40.725854829034191</v>
      </c>
      <c r="E59" s="154">
        <f t="shared" si="27"/>
        <v>40.69979079497908</v>
      </c>
      <c r="F59" s="154">
        <f t="shared" si="27"/>
        <v>38.40769488491528</v>
      </c>
      <c r="G59" s="154">
        <f t="shared" si="27"/>
        <v>39.377884615384623</v>
      </c>
      <c r="H59" s="154">
        <f t="shared" si="27"/>
        <v>39.377884615384616</v>
      </c>
      <c r="I59" s="154">
        <f t="shared" si="27"/>
        <v>39.377884615384616</v>
      </c>
      <c r="J59" s="154">
        <f t="shared" si="27"/>
        <v>39.377884615384616</v>
      </c>
    </row>
    <row r="60" spans="1:10">
      <c r="A60" s="117" t="s">
        <v>297</v>
      </c>
      <c r="C60" s="154">
        <f>C54+C57-C59</f>
        <v>-9.0848755841529538</v>
      </c>
      <c r="D60" s="154">
        <f t="shared" ref="D60:J60" si="28">D54+D57-D59</f>
        <v>-5.7219602764510427</v>
      </c>
      <c r="E60" s="154">
        <f t="shared" si="28"/>
        <v>-4.3227855099695205</v>
      </c>
      <c r="F60" s="154">
        <f t="shared" si="28"/>
        <v>-3.2093693847778226</v>
      </c>
      <c r="G60" s="154">
        <f t="shared" si="28"/>
        <v>-3.9377884615384744</v>
      </c>
      <c r="H60" s="154">
        <f t="shared" si="28"/>
        <v>-3.9377884615384602</v>
      </c>
      <c r="I60" s="154">
        <f t="shared" si="28"/>
        <v>-3.9377884615384602</v>
      </c>
      <c r="J60" s="154">
        <f t="shared" si="28"/>
        <v>-3.9377884615384602</v>
      </c>
    </row>
    <row r="62" spans="1:10">
      <c r="A62" s="108" t="s">
        <v>298</v>
      </c>
    </row>
  </sheetData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Assumptions</vt:lpstr>
      <vt:lpstr>Balance Sheet Historical</vt:lpstr>
      <vt:lpstr>Debt</vt:lpstr>
      <vt:lpstr>Calcs</vt:lpstr>
      <vt:lpstr>Income Statement</vt:lpstr>
      <vt:lpstr>WACC</vt:lpstr>
      <vt:lpstr>Balance Sheet PROJECTED</vt:lpstr>
      <vt:lpstr>Cash Flow Statement</vt:lpstr>
      <vt:lpstr>Operating Leases</vt:lpstr>
      <vt:lpstr>Trading Comps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Freeman, CFA</dc:creator>
  <cp:lastModifiedBy>Hamlin, Cooper</cp:lastModifiedBy>
  <cp:lastPrinted>2025-04-11T13:42:11Z</cp:lastPrinted>
  <dcterms:created xsi:type="dcterms:W3CDTF">2025-02-01T14:43:31Z</dcterms:created>
  <dcterms:modified xsi:type="dcterms:W3CDTF">2025-05-15T13:59:45Z</dcterms:modified>
</cp:coreProperties>
</file>