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methods in enzymology plasma carotenoids/"/>
    </mc:Choice>
  </mc:AlternateContent>
  <xr:revisionPtr revIDLastSave="804" documentId="8_{2259DBB3-F431-784E-ADFC-600B42D7362F}" xr6:coauthVersionLast="47" xr6:coauthVersionMax="47" xr10:uidLastSave="{A187CDD0-8027-4E4A-A082-4BC97CFB257C}"/>
  <bookViews>
    <workbookView xWindow="1340" yWindow="2020" windowWidth="31260" windowHeight="25560" xr2:uid="{00000000-000D-0000-FFFF-FFFF00000000}"/>
  </bookViews>
  <sheets>
    <sheet name="README" sheetId="7" r:id="rId1"/>
    <sheet name="StdCurves" sheetId="3" r:id="rId2"/>
    <sheet name="StdsSummary" sheetId="2" r:id="rId3"/>
    <sheet name="Quant" sheetId="6" r:id="rId4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3" i="6" l="1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92" i="6"/>
  <c r="G92" i="6"/>
  <c r="H101" i="6"/>
  <c r="I101" i="6"/>
  <c r="J101" i="6"/>
  <c r="H100" i="6"/>
  <c r="I100" i="6"/>
  <c r="J100" i="6"/>
  <c r="H99" i="6"/>
  <c r="I99" i="6"/>
  <c r="J99" i="6"/>
  <c r="H98" i="6"/>
  <c r="I98" i="6"/>
  <c r="J98" i="6"/>
  <c r="H97" i="6"/>
  <c r="I97" i="6"/>
  <c r="J97" i="6"/>
  <c r="H96" i="6"/>
  <c r="I96" i="6"/>
  <c r="J96" i="6"/>
  <c r="H95" i="6"/>
  <c r="I95" i="6"/>
  <c r="J95" i="6"/>
  <c r="H94" i="6"/>
  <c r="I94" i="6"/>
  <c r="J94" i="6"/>
  <c r="H93" i="6"/>
  <c r="I93" i="6"/>
  <c r="J93" i="6"/>
  <c r="H92" i="6"/>
  <c r="I92" i="6"/>
  <c r="J92" i="6"/>
  <c r="G76" i="6"/>
  <c r="G77" i="6"/>
  <c r="G78" i="6"/>
  <c r="G79" i="6"/>
  <c r="G80" i="6"/>
  <c r="G81" i="6"/>
  <c r="G82" i="6"/>
  <c r="G83" i="6"/>
  <c r="G84" i="6"/>
  <c r="G75" i="6"/>
  <c r="H84" i="6"/>
  <c r="I84" i="6"/>
  <c r="J84" i="6"/>
  <c r="H83" i="6"/>
  <c r="I83" i="6"/>
  <c r="J83" i="6"/>
  <c r="H82" i="6"/>
  <c r="I82" i="6"/>
  <c r="J82" i="6"/>
  <c r="H81" i="6"/>
  <c r="I81" i="6"/>
  <c r="J81" i="6"/>
  <c r="H80" i="6"/>
  <c r="I80" i="6"/>
  <c r="J80" i="6"/>
  <c r="H79" i="6"/>
  <c r="I79" i="6"/>
  <c r="J79" i="6"/>
  <c r="H78" i="6"/>
  <c r="I78" i="6"/>
  <c r="J78" i="6"/>
  <c r="H77" i="6"/>
  <c r="I77" i="6"/>
  <c r="J77" i="6"/>
  <c r="H76" i="6"/>
  <c r="I76" i="6"/>
  <c r="J76" i="6"/>
  <c r="H75" i="6"/>
  <c r="I75" i="6"/>
  <c r="J75" i="6"/>
  <c r="G59" i="6"/>
  <c r="G60" i="6"/>
  <c r="G61" i="6"/>
  <c r="G62" i="6"/>
  <c r="G63" i="6"/>
  <c r="G64" i="6"/>
  <c r="G65" i="6"/>
  <c r="G66" i="6"/>
  <c r="G67" i="6"/>
  <c r="G58" i="6"/>
  <c r="H67" i="6"/>
  <c r="I67" i="6"/>
  <c r="J67" i="6"/>
  <c r="H66" i="6"/>
  <c r="I66" i="6"/>
  <c r="J66" i="6"/>
  <c r="H65" i="6"/>
  <c r="I65" i="6"/>
  <c r="J65" i="6"/>
  <c r="H64" i="6"/>
  <c r="I64" i="6"/>
  <c r="J64" i="6"/>
  <c r="H63" i="6"/>
  <c r="I63" i="6"/>
  <c r="J63" i="6"/>
  <c r="H62" i="6"/>
  <c r="I62" i="6"/>
  <c r="J62" i="6"/>
  <c r="H61" i="6"/>
  <c r="I61" i="6"/>
  <c r="J61" i="6"/>
  <c r="H60" i="6"/>
  <c r="I60" i="6"/>
  <c r="J60" i="6"/>
  <c r="H59" i="6"/>
  <c r="I59" i="6"/>
  <c r="J59" i="6"/>
  <c r="H58" i="6"/>
  <c r="I58" i="6"/>
  <c r="J58" i="6"/>
  <c r="G42" i="6"/>
  <c r="G43" i="6"/>
  <c r="G44" i="6"/>
  <c r="G45" i="6"/>
  <c r="G46" i="6"/>
  <c r="G47" i="6"/>
  <c r="G48" i="6"/>
  <c r="G49" i="6"/>
  <c r="G50" i="6"/>
  <c r="G41" i="6"/>
  <c r="H50" i="6"/>
  <c r="I50" i="6"/>
  <c r="J50" i="6"/>
  <c r="H49" i="6"/>
  <c r="I49" i="6"/>
  <c r="J49" i="6"/>
  <c r="H48" i="6"/>
  <c r="I48" i="6"/>
  <c r="J48" i="6"/>
  <c r="H47" i="6"/>
  <c r="I47" i="6"/>
  <c r="J47" i="6"/>
  <c r="H46" i="6"/>
  <c r="I46" i="6"/>
  <c r="J46" i="6"/>
  <c r="H45" i="6"/>
  <c r="I45" i="6"/>
  <c r="J45" i="6"/>
  <c r="H44" i="6"/>
  <c r="I44" i="6"/>
  <c r="J44" i="6"/>
  <c r="H43" i="6"/>
  <c r="I43" i="6"/>
  <c r="J43" i="6"/>
  <c r="H42" i="6"/>
  <c r="I42" i="6"/>
  <c r="J42" i="6"/>
  <c r="H41" i="6"/>
  <c r="I41" i="6"/>
  <c r="J41" i="6"/>
  <c r="G25" i="6"/>
  <c r="H25" i="6"/>
  <c r="I25" i="6"/>
  <c r="J25" i="6"/>
  <c r="G26" i="6"/>
  <c r="H26" i="6"/>
  <c r="I26" i="6"/>
  <c r="J26" i="6"/>
  <c r="G27" i="6"/>
  <c r="H27" i="6"/>
  <c r="I27" i="6"/>
  <c r="J27" i="6"/>
  <c r="G28" i="6"/>
  <c r="H28" i="6"/>
  <c r="I28" i="6"/>
  <c r="J28" i="6"/>
  <c r="G29" i="6"/>
  <c r="H29" i="6"/>
  <c r="I29" i="6"/>
  <c r="J29" i="6"/>
  <c r="G30" i="6"/>
  <c r="H30" i="6"/>
  <c r="I30" i="6"/>
  <c r="J30" i="6"/>
  <c r="G31" i="6"/>
  <c r="H31" i="6"/>
  <c r="I31" i="6"/>
  <c r="J31" i="6"/>
  <c r="G32" i="6"/>
  <c r="H32" i="6"/>
  <c r="I32" i="6"/>
  <c r="J32" i="6"/>
  <c r="G33" i="6"/>
  <c r="H33" i="6"/>
  <c r="I33" i="6"/>
  <c r="J33" i="6"/>
  <c r="G24" i="6"/>
  <c r="H24" i="6"/>
  <c r="I24" i="6"/>
  <c r="J24" i="6"/>
  <c r="B24" i="3"/>
  <c r="AB14" i="3"/>
  <c r="S14" i="3"/>
  <c r="O18" i="3"/>
  <c r="O17" i="3"/>
  <c r="O16" i="3"/>
  <c r="M16" i="3"/>
  <c r="M14" i="3"/>
  <c r="L14" i="3"/>
  <c r="J14" i="3"/>
  <c r="B2" i="2"/>
  <c r="G7" i="6"/>
  <c r="H7" i="6"/>
  <c r="I7" i="6"/>
  <c r="F104" i="6"/>
  <c r="F103" i="6"/>
  <c r="F87" i="6"/>
  <c r="F86" i="6"/>
  <c r="F70" i="6"/>
  <c r="F69" i="6"/>
  <c r="F53" i="6"/>
  <c r="F52" i="6"/>
  <c r="F36" i="6"/>
  <c r="F35" i="6"/>
  <c r="G8" i="6"/>
  <c r="H8" i="6"/>
  <c r="I8" i="6"/>
  <c r="J8" i="6"/>
  <c r="G9" i="6"/>
  <c r="H9" i="6"/>
  <c r="I9" i="6"/>
  <c r="J9" i="6"/>
  <c r="G10" i="6"/>
  <c r="H10" i="6"/>
  <c r="I10" i="6"/>
  <c r="J10" i="6"/>
  <c r="G11" i="6"/>
  <c r="H11" i="6"/>
  <c r="I11" i="6"/>
  <c r="J11" i="6"/>
  <c r="G12" i="6"/>
  <c r="H12" i="6"/>
  <c r="I12" i="6"/>
  <c r="J12" i="6"/>
  <c r="G13" i="6"/>
  <c r="H13" i="6"/>
  <c r="I13" i="6"/>
  <c r="J13" i="6"/>
  <c r="G14" i="6"/>
  <c r="H14" i="6"/>
  <c r="I14" i="6"/>
  <c r="J14" i="6"/>
  <c r="G15" i="6"/>
  <c r="H15" i="6"/>
  <c r="I15" i="6"/>
  <c r="J15" i="6"/>
  <c r="G16" i="6"/>
  <c r="H16" i="6"/>
  <c r="I16" i="6"/>
  <c r="J16" i="6"/>
  <c r="J7" i="6"/>
  <c r="F19" i="6"/>
  <c r="F18" i="6"/>
  <c r="B7" i="2"/>
  <c r="B6" i="2"/>
  <c r="B5" i="2"/>
  <c r="B4" i="2"/>
  <c r="B3" i="2"/>
  <c r="C29" i="3"/>
  <c r="C28" i="3"/>
  <c r="C27" i="3"/>
  <c r="C26" i="3"/>
  <c r="B29" i="3"/>
  <c r="B28" i="3"/>
  <c r="B27" i="3"/>
  <c r="B26" i="3"/>
  <c r="C25" i="3"/>
  <c r="B25" i="3"/>
  <c r="C24" i="3"/>
  <c r="AW16" i="3"/>
  <c r="BC6" i="3"/>
  <c r="BC7" i="3"/>
  <c r="BC8" i="3"/>
  <c r="BC9" i="3"/>
  <c r="BC10" i="3"/>
  <c r="BC11" i="3"/>
  <c r="BC12" i="3"/>
  <c r="BC13" i="3"/>
  <c r="BC14" i="3"/>
  <c r="E10" i="3"/>
  <c r="C19" i="3"/>
  <c r="E19" i="3"/>
  <c r="BB7" i="3"/>
  <c r="BE7" i="3"/>
  <c r="BF7" i="3"/>
  <c r="BH7" i="3"/>
  <c r="BB8" i="3"/>
  <c r="BE8" i="3"/>
  <c r="BF8" i="3"/>
  <c r="BH8" i="3"/>
  <c r="BB9" i="3"/>
  <c r="BE9" i="3"/>
  <c r="BF9" i="3"/>
  <c r="BH9" i="3"/>
  <c r="BB10" i="3"/>
  <c r="BE10" i="3"/>
  <c r="BF10" i="3"/>
  <c r="BH10" i="3"/>
  <c r="BB11" i="3"/>
  <c r="BE11" i="3"/>
  <c r="BF11" i="3"/>
  <c r="BH11" i="3"/>
  <c r="BB12" i="3"/>
  <c r="BE12" i="3"/>
  <c r="BF12" i="3"/>
  <c r="BH12" i="3"/>
  <c r="BE13" i="3"/>
  <c r="BF13" i="3"/>
  <c r="BH13" i="3"/>
  <c r="BE14" i="3"/>
  <c r="BF14" i="3"/>
  <c r="BH14" i="3"/>
  <c r="BH17" i="3"/>
  <c r="BH16" i="3"/>
  <c r="BH18" i="3"/>
  <c r="BE6" i="3"/>
  <c r="BF6" i="3"/>
  <c r="BF16" i="3"/>
  <c r="AT6" i="3"/>
  <c r="AS7" i="3"/>
  <c r="AT7" i="3"/>
  <c r="AS8" i="3"/>
  <c r="AT8" i="3"/>
  <c r="AS9" i="3"/>
  <c r="AT9" i="3"/>
  <c r="AS10" i="3"/>
  <c r="AT10" i="3"/>
  <c r="AS11" i="3"/>
  <c r="AT11" i="3"/>
  <c r="AS12" i="3"/>
  <c r="AT12" i="3"/>
  <c r="AT13" i="3"/>
  <c r="AT14" i="3"/>
  <c r="E9" i="3"/>
  <c r="C18" i="3"/>
  <c r="E18" i="3"/>
  <c r="AV7" i="3"/>
  <c r="AW7" i="3"/>
  <c r="AY7" i="3"/>
  <c r="AV8" i="3"/>
  <c r="AW8" i="3"/>
  <c r="AY8" i="3"/>
  <c r="AV9" i="3"/>
  <c r="AW9" i="3"/>
  <c r="AY9" i="3"/>
  <c r="AV10" i="3"/>
  <c r="AW10" i="3"/>
  <c r="AY10" i="3"/>
  <c r="AV11" i="3"/>
  <c r="AW11" i="3"/>
  <c r="AY11" i="3"/>
  <c r="AV12" i="3"/>
  <c r="AW12" i="3"/>
  <c r="AY12" i="3"/>
  <c r="AV13" i="3"/>
  <c r="AW13" i="3"/>
  <c r="AY13" i="3"/>
  <c r="AV14" i="3"/>
  <c r="AW14" i="3"/>
  <c r="AY14" i="3"/>
  <c r="AY17" i="3"/>
  <c r="AY16" i="3"/>
  <c r="AY18" i="3"/>
  <c r="AV6" i="3"/>
  <c r="AW6" i="3"/>
  <c r="AK6" i="3"/>
  <c r="AJ7" i="3"/>
  <c r="AK7" i="3"/>
  <c r="AJ8" i="3"/>
  <c r="AK8" i="3"/>
  <c r="AJ9" i="3"/>
  <c r="AK9" i="3"/>
  <c r="AJ10" i="3"/>
  <c r="AK10" i="3"/>
  <c r="AJ11" i="3"/>
  <c r="AK11" i="3"/>
  <c r="AJ12" i="3"/>
  <c r="AK12" i="3"/>
  <c r="AK13" i="3"/>
  <c r="AK14" i="3"/>
  <c r="E8" i="3"/>
  <c r="C17" i="3"/>
  <c r="E17" i="3"/>
  <c r="AM7" i="3"/>
  <c r="AN7" i="3"/>
  <c r="AP7" i="3"/>
  <c r="AM8" i="3"/>
  <c r="AN8" i="3"/>
  <c r="AP8" i="3"/>
  <c r="AM9" i="3"/>
  <c r="AN9" i="3"/>
  <c r="AP9" i="3"/>
  <c r="AM10" i="3"/>
  <c r="AN10" i="3"/>
  <c r="AP10" i="3"/>
  <c r="AM11" i="3"/>
  <c r="AN11" i="3"/>
  <c r="AP11" i="3"/>
  <c r="AM12" i="3"/>
  <c r="AN12" i="3"/>
  <c r="AP12" i="3"/>
  <c r="AM13" i="3"/>
  <c r="AN13" i="3"/>
  <c r="AP13" i="3"/>
  <c r="AM6" i="3"/>
  <c r="AN6" i="3"/>
  <c r="AB6" i="3"/>
  <c r="AA7" i="3"/>
  <c r="AB7" i="3"/>
  <c r="AA8" i="3"/>
  <c r="AB8" i="3"/>
  <c r="AA9" i="3"/>
  <c r="AB9" i="3"/>
  <c r="AA10" i="3"/>
  <c r="AB10" i="3"/>
  <c r="AA11" i="3"/>
  <c r="AB11" i="3"/>
  <c r="AA12" i="3"/>
  <c r="AB12" i="3"/>
  <c r="AB13" i="3"/>
  <c r="E7" i="3"/>
  <c r="C16" i="3"/>
  <c r="E16" i="3"/>
  <c r="AD7" i="3"/>
  <c r="AE7" i="3"/>
  <c r="AG7" i="3"/>
  <c r="AD8" i="3"/>
  <c r="AE8" i="3"/>
  <c r="AG8" i="3"/>
  <c r="AD9" i="3"/>
  <c r="AE9" i="3"/>
  <c r="AG9" i="3"/>
  <c r="AD10" i="3"/>
  <c r="AE10" i="3"/>
  <c r="AG10" i="3"/>
  <c r="AD11" i="3"/>
  <c r="AE11" i="3"/>
  <c r="AG11" i="3"/>
  <c r="AD12" i="3"/>
  <c r="AE12" i="3"/>
  <c r="AG12" i="3"/>
  <c r="AD13" i="3"/>
  <c r="AE13" i="3"/>
  <c r="AG13" i="3"/>
  <c r="AD14" i="3"/>
  <c r="AE14" i="3"/>
  <c r="AG14" i="3"/>
  <c r="AG17" i="3"/>
  <c r="AG16" i="3"/>
  <c r="AG18" i="3"/>
  <c r="AD6" i="3"/>
  <c r="AE6" i="3"/>
  <c r="AE16" i="3"/>
  <c r="S6" i="3"/>
  <c r="R7" i="3"/>
  <c r="S7" i="3"/>
  <c r="R8" i="3"/>
  <c r="S8" i="3"/>
  <c r="R9" i="3"/>
  <c r="S9" i="3"/>
  <c r="R10" i="3"/>
  <c r="S10" i="3"/>
  <c r="R11" i="3"/>
  <c r="S11" i="3"/>
  <c r="R12" i="3"/>
  <c r="S12" i="3"/>
  <c r="S13" i="3"/>
  <c r="E6" i="3"/>
  <c r="C15" i="3"/>
  <c r="E15" i="3"/>
  <c r="U7" i="3"/>
  <c r="V7" i="3"/>
  <c r="X7" i="3"/>
  <c r="U8" i="3"/>
  <c r="V8" i="3"/>
  <c r="X8" i="3"/>
  <c r="U9" i="3"/>
  <c r="V9" i="3"/>
  <c r="X9" i="3"/>
  <c r="U10" i="3"/>
  <c r="V10" i="3"/>
  <c r="X10" i="3"/>
  <c r="U11" i="3"/>
  <c r="V11" i="3"/>
  <c r="X11" i="3"/>
  <c r="U12" i="3"/>
  <c r="V12" i="3"/>
  <c r="X12" i="3"/>
  <c r="U13" i="3"/>
  <c r="V13" i="3"/>
  <c r="X13" i="3"/>
  <c r="U14" i="3"/>
  <c r="V14" i="3"/>
  <c r="X14" i="3"/>
  <c r="X17" i="3"/>
  <c r="X16" i="3"/>
  <c r="X18" i="3"/>
  <c r="U6" i="3"/>
  <c r="V6" i="3"/>
  <c r="V16" i="3"/>
  <c r="I7" i="3"/>
  <c r="J7" i="3"/>
  <c r="L7" i="3"/>
  <c r="M7" i="3"/>
  <c r="O7" i="3"/>
  <c r="I8" i="3"/>
  <c r="J8" i="3"/>
  <c r="L8" i="3"/>
  <c r="M8" i="3"/>
  <c r="O8" i="3"/>
  <c r="I9" i="3"/>
  <c r="J9" i="3"/>
  <c r="L9" i="3"/>
  <c r="M9" i="3"/>
  <c r="O9" i="3"/>
  <c r="I10" i="3"/>
  <c r="J10" i="3"/>
  <c r="L10" i="3"/>
  <c r="M10" i="3"/>
  <c r="O10" i="3"/>
  <c r="I11" i="3"/>
  <c r="J11" i="3"/>
  <c r="L11" i="3"/>
  <c r="M11" i="3"/>
  <c r="O11" i="3"/>
  <c r="I12" i="3"/>
  <c r="J12" i="3"/>
  <c r="L12" i="3"/>
  <c r="M12" i="3"/>
  <c r="O12" i="3"/>
  <c r="J13" i="3"/>
  <c r="L13" i="3"/>
  <c r="M13" i="3"/>
  <c r="O13" i="3"/>
  <c r="O14" i="3"/>
  <c r="J6" i="3"/>
  <c r="E11" i="3"/>
  <c r="C20" i="3"/>
  <c r="E20" i="3"/>
  <c r="L6" i="3"/>
  <c r="M6" i="3"/>
  <c r="AM14" i="3"/>
  <c r="AN14" i="3"/>
  <c r="AP14" i="3"/>
  <c r="AP16" i="3"/>
  <c r="AP17" i="3"/>
  <c r="AP18" i="3"/>
  <c r="AN16" i="3"/>
</calcChain>
</file>

<file path=xl/sharedStrings.xml><?xml version="1.0" encoding="utf-8"?>
<sst xmlns="http://schemas.openxmlformats.org/spreadsheetml/2006/main" count="252" uniqueCount="81">
  <si>
    <t>ε</t>
  </si>
  <si>
    <t>MW</t>
  </si>
  <si>
    <t>λ for quant</t>
  </si>
  <si>
    <t>Lutein</t>
  </si>
  <si>
    <t>Zeaxanthin</t>
  </si>
  <si>
    <t>β-cryptoxanthin</t>
  </si>
  <si>
    <t>α-carotene</t>
  </si>
  <si>
    <t>β-carotene</t>
  </si>
  <si>
    <r>
      <t>All-</t>
    </r>
    <r>
      <rPr>
        <i/>
        <sz val="11"/>
        <color theme="1"/>
        <rFont val="Calibri"/>
        <family val="2"/>
      </rPr>
      <t>trans</t>
    </r>
    <r>
      <rPr>
        <sz val="11"/>
        <color theme="1"/>
        <rFont val="Calibri"/>
        <family val="2"/>
      </rPr>
      <t>-lycopene</t>
    </r>
  </si>
  <si>
    <t>Sample</t>
  </si>
  <si>
    <t>diln level</t>
  </si>
  <si>
    <t>pmol inj</t>
  </si>
  <si>
    <t>peak area</t>
  </si>
  <si>
    <t>blank</t>
  </si>
  <si>
    <t>1/64</t>
  </si>
  <si>
    <t>stock</t>
  </si>
  <si>
    <t>Date Run</t>
  </si>
  <si>
    <t>nmol/L plasma</t>
  </si>
  <si>
    <t>Notes</t>
  </si>
  <si>
    <t>Area</t>
  </si>
  <si>
    <t>peak area/pmol inj</t>
  </si>
  <si>
    <t>Template for carotenoid analysis of blood plasma/serum</t>
  </si>
  <si>
    <t xml:space="preserve">Developed by the Cooperstone Lab </t>
  </si>
  <si>
    <t>https://www.cooperstonelab.com/</t>
  </si>
  <si>
    <t>doi:</t>
  </si>
  <si>
    <t>Date run:</t>
  </si>
  <si>
    <t>Analyst:</t>
  </si>
  <si>
    <t>Carotenoid</t>
  </si>
  <si>
    <t>β-Cryptoxanthin</t>
  </si>
  <si>
    <t>α-Carotene</t>
  </si>
  <si>
    <t>β-Carotene</t>
  </si>
  <si>
    <t>Lycopene</t>
  </si>
  <si>
    <t>Solvent</t>
  </si>
  <si>
    <t>Absorbance (AU)</t>
  </si>
  <si>
    <t>Conc (mol/L)</t>
  </si>
  <si>
    <t>ethanol</t>
  </si>
  <si>
    <t>hexanes</t>
  </si>
  <si>
    <t>Wavelength max (nm)</t>
  </si>
  <si>
    <t>ε (L/mol·cm)</t>
  </si>
  <si>
    <t>dry down (mL)</t>
  </si>
  <si>
    <t>rediss. vol (mL)</t>
  </si>
  <si>
    <t>amt dried in vial (mol)</t>
  </si>
  <si>
    <t>Conc in stock (mol/L)</t>
  </si>
  <si>
    <t>Determining concentration of stock solutions</t>
  </si>
  <si>
    <t>Making mixed standard stock</t>
  </si>
  <si>
    <t>mL injected</t>
  </si>
  <si>
    <t>moles injected</t>
  </si>
  <si>
    <t>pmol injected</t>
  </si>
  <si>
    <t>slope</t>
  </si>
  <si>
    <t>avg</t>
  </si>
  <si>
    <t>stdev</t>
  </si>
  <si>
    <t>RSD (%)</t>
  </si>
  <si>
    <t>LUTEIN (at 450 nm)</t>
  </si>
  <si>
    <t>ZEAXANTHIN (at 450 nm)</t>
  </si>
  <si>
    <t>β-CRYPTOXANTHIN (at 450 nm)</t>
  </si>
  <si>
    <t>α-CAROTENE (at 450 nm)</t>
  </si>
  <si>
    <t>β-CAROTENE (at 450 nm)</t>
  </si>
  <si>
    <t>LYCOPENE (at 450 nm)</t>
  </si>
  <si>
    <t>All boxes highlighted in yellow will need to be replaced by your data</t>
  </si>
  <si>
    <t>Range of standard curve</t>
  </si>
  <si>
    <t>Peak area min</t>
  </si>
  <si>
    <t>Peak area max</t>
  </si>
  <si>
    <t>Samples extracted on:</t>
  </si>
  <si>
    <t>Std retention time</t>
  </si>
  <si>
    <t>Sample retention time</t>
  </si>
  <si>
    <t>area min</t>
  </si>
  <si>
    <t>area max</t>
  </si>
  <si>
    <t>inj vol (mL)</t>
  </si>
  <si>
    <t>vol extracted (mL)</t>
  </si>
  <si>
    <t>vol redissolved (mL)</t>
  </si>
  <si>
    <t>pmol/mL</t>
  </si>
  <si>
    <t>Contact:</t>
  </si>
  <si>
    <t>Jessica Cooperstone</t>
  </si>
  <si>
    <t>cooperstone.1@osu.edu</t>
  </si>
  <si>
    <r>
      <t xml:space="preserve">If you use our standard curves for your data, you will </t>
    </r>
    <r>
      <rPr>
        <b/>
        <i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have accurate quantitation. You need to make your own (and that is why you are here!).</t>
    </r>
  </si>
  <si>
    <t>pmol in  extracted sample</t>
  </si>
  <si>
    <t>Slope*</t>
  </si>
  <si>
    <t>*pulls from StdCurves</t>
  </si>
  <si>
    <t>Notes:</t>
  </si>
  <si>
    <t>Supplemental material from: Sholola &amp; Cooperstone, Methods in Enzymology, Volume 669: Carotenoids, Carotenoid Extraction and Analysis from Blood Plasma/Serum, forthcoming</t>
  </si>
  <si>
    <t>We are including template data here such that you can see what the curves and quantitation would look 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</si>
</sst>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E+00"/>
    <numFmt numFmtId="165" formatCode="0.000000"/>
    <numFmt numFmtId="167" formatCode="0.00000"/>
    <numFmt numFmtId="168" formatCode="0.000"/>
    <numFmt numFmtId="169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5" fillId="2" borderId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Fill="1"/>
    <xf numFmtId="0" fontId="6" fillId="0" borderId="0" xfId="0" applyFont="1"/>
    <xf numFmtId="49" fontId="0" fillId="0" borderId="0" xfId="0" applyNumberFormat="1" applyAlignment="1">
      <alignment horizontal="right"/>
    </xf>
    <xf numFmtId="13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8" fillId="0" borderId="0" xfId="0" applyFont="1"/>
    <xf numFmtId="0" fontId="0" fillId="0" borderId="0" xfId="0" applyBorder="1"/>
    <xf numFmtId="0" fontId="7" fillId="0" borderId="0" xfId="0" applyFont="1" applyBorder="1" applyAlignment="1">
      <alignment wrapText="1"/>
    </xf>
    <xf numFmtId="165" fontId="0" fillId="0" borderId="0" xfId="0" applyNumberFormat="1" applyBorder="1"/>
    <xf numFmtId="167" fontId="0" fillId="0" borderId="0" xfId="0" applyNumberFormat="1" applyFont="1" applyBorder="1"/>
    <xf numFmtId="0" fontId="0" fillId="0" borderId="0" xfId="0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Fill="1" applyBorder="1"/>
    <xf numFmtId="13" fontId="0" fillId="0" borderId="0" xfId="0" applyNumberFormat="1" applyFill="1" applyAlignment="1">
      <alignment horizontal="right"/>
    </xf>
    <xf numFmtId="165" fontId="0" fillId="0" borderId="0" xfId="0" applyNumberFormat="1" applyFill="1"/>
    <xf numFmtId="9" fontId="0" fillId="0" borderId="0" xfId="1" applyFont="1"/>
    <xf numFmtId="0" fontId="10" fillId="0" borderId="0" xfId="0" applyFont="1"/>
    <xf numFmtId="11" fontId="0" fillId="0" borderId="0" xfId="0" applyNumberFormat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wrapText="1"/>
    </xf>
    <xf numFmtId="169" fontId="0" fillId="0" borderId="0" xfId="0" applyNumberFormat="1" applyBorder="1"/>
    <xf numFmtId="0" fontId="1" fillId="0" borderId="0" xfId="0" applyFont="1"/>
    <xf numFmtId="0" fontId="13" fillId="0" borderId="0" xfId="0" applyFont="1"/>
    <xf numFmtId="0" fontId="14" fillId="0" borderId="0" xfId="3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2" fontId="0" fillId="0" borderId="0" xfId="0" applyNumberFormat="1" applyFill="1" applyBorder="1"/>
    <xf numFmtId="169" fontId="0" fillId="0" borderId="0" xfId="0" applyNumberFormat="1" applyFill="1" applyBorder="1"/>
    <xf numFmtId="0" fontId="1" fillId="0" borderId="1" xfId="0" applyFont="1" applyFill="1" applyBorder="1" applyAlignment="1">
      <alignment wrapText="1"/>
    </xf>
    <xf numFmtId="169" fontId="0" fillId="0" borderId="1" xfId="0" applyNumberFormat="1" applyFill="1" applyBorder="1"/>
    <xf numFmtId="13" fontId="10" fillId="0" borderId="2" xfId="0" applyNumberFormat="1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left" wrapText="1"/>
    </xf>
    <xf numFmtId="0" fontId="0" fillId="4" borderId="0" xfId="0" applyFill="1"/>
    <xf numFmtId="49" fontId="0" fillId="0" borderId="0" xfId="0" applyNumberFormat="1" applyBorder="1" applyAlignment="1">
      <alignment horizontal="right"/>
    </xf>
    <xf numFmtId="13" fontId="0" fillId="0" borderId="0" xfId="0" applyNumberFormat="1" applyBorder="1" applyAlignment="1">
      <alignment horizontal="right"/>
    </xf>
    <xf numFmtId="13" fontId="0" fillId="0" borderId="0" xfId="0" applyNumberFormat="1" applyFill="1" applyBorder="1" applyAlignment="1">
      <alignment horizontal="right"/>
    </xf>
    <xf numFmtId="2" fontId="0" fillId="0" borderId="0" xfId="0" applyNumberFormat="1" applyBorder="1"/>
    <xf numFmtId="168" fontId="0" fillId="0" borderId="0" xfId="0" applyNumberFormat="1" applyBorder="1"/>
    <xf numFmtId="0" fontId="10" fillId="0" borderId="0" xfId="0" applyFont="1" applyFill="1" applyBorder="1" applyAlignment="1">
      <alignment wrapText="1"/>
    </xf>
    <xf numFmtId="0" fontId="6" fillId="5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/>
    </xf>
    <xf numFmtId="0" fontId="0" fillId="3" borderId="1" xfId="0" applyFill="1" applyBorder="1"/>
    <xf numFmtId="169" fontId="0" fillId="3" borderId="1" xfId="0" applyNumberFormat="1" applyFill="1" applyBorder="1"/>
    <xf numFmtId="0" fontId="0" fillId="3" borderId="0" xfId="0" applyFill="1" applyBorder="1"/>
    <xf numFmtId="169" fontId="0" fillId="0" borderId="0" xfId="0" applyNumberFormat="1"/>
    <xf numFmtId="169" fontId="0" fillId="3" borderId="0" xfId="0" applyNumberFormat="1" applyFill="1" applyBorder="1"/>
    <xf numFmtId="169" fontId="0" fillId="0" borderId="0" xfId="0" applyNumberFormat="1" applyAlignment="1">
      <alignment wrapText="1"/>
    </xf>
    <xf numFmtId="11" fontId="0" fillId="0" borderId="0" xfId="0" applyNumberFormat="1" applyFill="1" applyBorder="1"/>
    <xf numFmtId="0" fontId="12" fillId="3" borderId="0" xfId="0" applyFont="1" applyFill="1" applyBorder="1"/>
    <xf numFmtId="0" fontId="10" fillId="0" borderId="0" xfId="0" applyFont="1" applyFill="1" applyBorder="1"/>
    <xf numFmtId="169" fontId="0" fillId="0" borderId="1" xfId="0" applyNumberFormat="1" applyBorder="1"/>
    <xf numFmtId="2" fontId="0" fillId="0" borderId="1" xfId="0" applyNumberForma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horizontal="center" vertical="center" wrapText="1"/>
    </xf>
    <xf numFmtId="168" fontId="9" fillId="0" borderId="0" xfId="0" applyNumberFormat="1" applyFont="1" applyBorder="1" applyAlignment="1">
      <alignment horizontal="center" vertical="center" wrapText="1"/>
    </xf>
    <xf numFmtId="15" fontId="12" fillId="0" borderId="0" xfId="0" applyNumberFormat="1" applyFont="1" applyBorder="1"/>
    <xf numFmtId="15" fontId="0" fillId="0" borderId="0" xfId="0" applyNumberFormat="1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15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 wrapText="1"/>
    </xf>
    <xf numFmtId="0" fontId="16" fillId="6" borderId="0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2" fontId="12" fillId="0" borderId="0" xfId="0" applyNumberFormat="1" applyFont="1" applyBorder="1"/>
    <xf numFmtId="0" fontId="16" fillId="7" borderId="0" xfId="0" applyFont="1" applyFill="1" applyBorder="1" applyAlignment="1">
      <alignment horizontal="center" vertical="center"/>
    </xf>
    <xf numFmtId="0" fontId="16" fillId="8" borderId="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1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/>
  </cellXfs>
  <cellStyles count="4">
    <cellStyle name="Below LOQ" xfId="2" xr:uid="{00000000-0005-0000-0000-000000000000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Lutein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StdCurves!$N$5</c:f>
              <c:strCache>
                <c:ptCount val="1"/>
                <c:pt idx="0">
                  <c:v>peak area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87169821318214"/>
                  <c:y val="6.70441737896838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StdCurves!$M$6:$M$14</c:f>
              <c:numCache>
                <c:formatCode>0.00</c:formatCode>
                <c:ptCount val="9"/>
                <c:pt idx="0">
                  <c:v>0</c:v>
                </c:pt>
                <c:pt idx="1">
                  <c:v>0.66614717618680541</c:v>
                </c:pt>
                <c:pt idx="2">
                  <c:v>1.3322943523736108</c:v>
                </c:pt>
                <c:pt idx="3">
                  <c:v>2.6645887047472216</c:v>
                </c:pt>
                <c:pt idx="4">
                  <c:v>5.3291774094944433</c:v>
                </c:pt>
                <c:pt idx="5">
                  <c:v>10.658354818988887</c:v>
                </c:pt>
                <c:pt idx="6">
                  <c:v>21.316709637977773</c:v>
                </c:pt>
                <c:pt idx="7">
                  <c:v>42.633419275955546</c:v>
                </c:pt>
                <c:pt idx="8">
                  <c:v>85.266838551911093</c:v>
                </c:pt>
              </c:numCache>
            </c:numRef>
          </c:xVal>
          <c:yVal>
            <c:numRef>
              <c:f>StdCurves!$N$6:$N$14</c:f>
              <c:numCache>
                <c:formatCode>0.0</c:formatCode>
                <c:ptCount val="9"/>
                <c:pt idx="0">
                  <c:v>0</c:v>
                </c:pt>
                <c:pt idx="1">
                  <c:v>8.9</c:v>
                </c:pt>
                <c:pt idx="2">
                  <c:v>17.600000000000001</c:v>
                </c:pt>
                <c:pt idx="3">
                  <c:v>34.9</c:v>
                </c:pt>
                <c:pt idx="4">
                  <c:v>65.599999999999994</c:v>
                </c:pt>
                <c:pt idx="5">
                  <c:v>130.4</c:v>
                </c:pt>
                <c:pt idx="6">
                  <c:v>278.39999999999998</c:v>
                </c:pt>
                <c:pt idx="7">
                  <c:v>528.62900000000002</c:v>
                </c:pt>
                <c:pt idx="8">
                  <c:v>1030.0999999999999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7-A849-8A31-6BA791516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15024"/>
        <c:axId val="289710992"/>
      </c:scatterChart>
      <c:valAx>
        <c:axId val="2902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pmol injected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10992"/>
        <c:crosses val="autoZero"/>
        <c:crossBetween val="midCat"/>
      </c:valAx>
      <c:valAx>
        <c:axId val="2897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Zeaxanthin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StdCurves!$N$5</c:f>
              <c:strCache>
                <c:ptCount val="1"/>
                <c:pt idx="0">
                  <c:v>peak area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87169821318214"/>
                  <c:y val="6.70441737896838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StdCurves!$V$6:$V$14</c:f>
              <c:numCache>
                <c:formatCode>0.00</c:formatCode>
                <c:ptCount val="9"/>
                <c:pt idx="0">
                  <c:v>0</c:v>
                </c:pt>
                <c:pt idx="1">
                  <c:v>0.47737971190495226</c:v>
                </c:pt>
                <c:pt idx="2">
                  <c:v>0.95475942380990453</c:v>
                </c:pt>
                <c:pt idx="3">
                  <c:v>1.9095188476198091</c:v>
                </c:pt>
                <c:pt idx="4">
                  <c:v>3.8190376952396181</c:v>
                </c:pt>
                <c:pt idx="5">
                  <c:v>7.6380753904792362</c:v>
                </c:pt>
                <c:pt idx="6">
                  <c:v>15.276150780958472</c:v>
                </c:pt>
                <c:pt idx="7">
                  <c:v>30.552301561916945</c:v>
                </c:pt>
                <c:pt idx="8">
                  <c:v>61.10460312383389</c:v>
                </c:pt>
              </c:numCache>
            </c:numRef>
          </c:xVal>
          <c:yVal>
            <c:numRef>
              <c:f>StdCurves!$W$6:$W$14</c:f>
              <c:numCache>
                <c:formatCode>General</c:formatCode>
                <c:ptCount val="9"/>
                <c:pt idx="0" formatCode="0.0">
                  <c:v>0</c:v>
                </c:pt>
                <c:pt idx="1">
                  <c:v>13.3</c:v>
                </c:pt>
                <c:pt idx="2">
                  <c:v>26.8</c:v>
                </c:pt>
                <c:pt idx="3">
                  <c:v>53.3</c:v>
                </c:pt>
                <c:pt idx="4">
                  <c:v>104.4</c:v>
                </c:pt>
                <c:pt idx="5">
                  <c:v>207.7</c:v>
                </c:pt>
                <c:pt idx="6">
                  <c:v>420.8</c:v>
                </c:pt>
                <c:pt idx="7">
                  <c:v>815.995</c:v>
                </c:pt>
                <c:pt idx="8">
                  <c:v>1617.22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68-654C-B9C1-21322E905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15024"/>
        <c:axId val="289710992"/>
      </c:scatterChart>
      <c:valAx>
        <c:axId val="2902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pmol injected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10992"/>
        <c:crosses val="autoZero"/>
        <c:crossBetween val="midCat"/>
      </c:valAx>
      <c:valAx>
        <c:axId val="2897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β-</a:t>
            </a:r>
            <a:r>
              <a:rPr lang="en-US" sz="1400" b="0" i="0" u="none" strike="noStrike" baseline="0">
                <a:effectLst/>
              </a:rPr>
              <a:t>Cryptoxanthin</a:t>
            </a:r>
            <a:r>
              <a:rPr lang="en-US" sz="1400" b="0" i="0" u="none" strike="noStrike" baseline="0"/>
              <a:t> </a:t>
            </a:r>
            <a:r>
              <a:rPr lang="en-US"/>
              <a:t>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StdCurves!$N$5</c:f>
              <c:strCache>
                <c:ptCount val="1"/>
                <c:pt idx="0">
                  <c:v>peak area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87169821318214"/>
                  <c:y val="6.70441737896838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StdCurves!$AE$6:$AE$14</c:f>
              <c:numCache>
                <c:formatCode>0.00</c:formatCode>
                <c:ptCount val="9"/>
                <c:pt idx="0">
                  <c:v>0</c:v>
                </c:pt>
                <c:pt idx="1">
                  <c:v>0.18668203687432686</c:v>
                </c:pt>
                <c:pt idx="2">
                  <c:v>0.37336407374865371</c:v>
                </c:pt>
                <c:pt idx="3">
                  <c:v>0.74672814749730743</c:v>
                </c:pt>
                <c:pt idx="4">
                  <c:v>1.4934562949946149</c:v>
                </c:pt>
                <c:pt idx="5">
                  <c:v>2.9869125899892297</c:v>
                </c:pt>
                <c:pt idx="6">
                  <c:v>5.9738251799784594</c:v>
                </c:pt>
                <c:pt idx="7">
                  <c:v>11.947650359956919</c:v>
                </c:pt>
                <c:pt idx="8">
                  <c:v>23.895300719913838</c:v>
                </c:pt>
              </c:numCache>
            </c:numRef>
          </c:xVal>
          <c:yVal>
            <c:numRef>
              <c:f>StdCurves!$AF$6:$AF$14</c:f>
              <c:numCache>
                <c:formatCode>0.0</c:formatCode>
                <c:ptCount val="9"/>
                <c:pt idx="0">
                  <c:v>0</c:v>
                </c:pt>
                <c:pt idx="1">
                  <c:v>5.7</c:v>
                </c:pt>
                <c:pt idx="2">
                  <c:v>12</c:v>
                </c:pt>
                <c:pt idx="3">
                  <c:v>23</c:v>
                </c:pt>
                <c:pt idx="4">
                  <c:v>41.9</c:v>
                </c:pt>
                <c:pt idx="5">
                  <c:v>83.5</c:v>
                </c:pt>
                <c:pt idx="6">
                  <c:v>168.1</c:v>
                </c:pt>
                <c:pt idx="7">
                  <c:v>332.12099999999998</c:v>
                </c:pt>
                <c:pt idx="8">
                  <c:v>670.17899999999997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3-1143-9E3C-C8A6CC492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15024"/>
        <c:axId val="289710992"/>
      </c:scatterChart>
      <c:valAx>
        <c:axId val="2902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pmol injected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10992"/>
        <c:crosses val="autoZero"/>
        <c:crossBetween val="midCat"/>
      </c:valAx>
      <c:valAx>
        <c:axId val="2897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α-</a:t>
            </a:r>
            <a:r>
              <a:rPr lang="en-US" sz="1400" b="0" i="0" u="none" strike="noStrike" baseline="0">
                <a:effectLst/>
              </a:rPr>
              <a:t>Carotene</a:t>
            </a:r>
            <a:r>
              <a:rPr lang="en-US" sz="1400" b="0" i="0" u="none" strike="noStrike" baseline="0"/>
              <a:t> </a:t>
            </a:r>
            <a:r>
              <a:rPr lang="en-US"/>
              <a:t>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StdCurves!$N$5</c:f>
              <c:strCache>
                <c:ptCount val="1"/>
                <c:pt idx="0">
                  <c:v>peak area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87169821318214"/>
                  <c:y val="6.70441737896838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StdCurves!$AN$6:$AN$14</c:f>
              <c:numCache>
                <c:formatCode>0.00</c:formatCode>
                <c:ptCount val="9"/>
                <c:pt idx="0">
                  <c:v>0</c:v>
                </c:pt>
                <c:pt idx="1">
                  <c:v>0.32380608009291117</c:v>
                </c:pt>
                <c:pt idx="2">
                  <c:v>0.64761216018582235</c:v>
                </c:pt>
                <c:pt idx="3">
                  <c:v>1.2952243203716447</c:v>
                </c:pt>
                <c:pt idx="4">
                  <c:v>2.5904486407432894</c:v>
                </c:pt>
                <c:pt idx="5">
                  <c:v>5.1808972814865788</c:v>
                </c:pt>
                <c:pt idx="6">
                  <c:v>10.361794562973158</c:v>
                </c:pt>
                <c:pt idx="7">
                  <c:v>20.723589125946315</c:v>
                </c:pt>
                <c:pt idx="8">
                  <c:v>41.44717825189263</c:v>
                </c:pt>
              </c:numCache>
            </c:numRef>
          </c:xVal>
          <c:yVal>
            <c:numRef>
              <c:f>StdCurves!$AO$6:$AO$14</c:f>
              <c:numCache>
                <c:formatCode>0.0</c:formatCode>
                <c:ptCount val="9"/>
                <c:pt idx="0">
                  <c:v>0</c:v>
                </c:pt>
                <c:pt idx="1">
                  <c:v>5.8</c:v>
                </c:pt>
                <c:pt idx="2">
                  <c:v>11.8</c:v>
                </c:pt>
                <c:pt idx="3">
                  <c:v>23.779299999999999</c:v>
                </c:pt>
                <c:pt idx="4">
                  <c:v>43.9</c:v>
                </c:pt>
                <c:pt idx="5">
                  <c:v>87.6</c:v>
                </c:pt>
                <c:pt idx="6">
                  <c:v>179</c:v>
                </c:pt>
                <c:pt idx="7">
                  <c:v>345</c:v>
                </c:pt>
                <c:pt idx="8">
                  <c:v>679.3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3F-D846-83ED-FCF8A7441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15024"/>
        <c:axId val="289710992"/>
      </c:scatterChart>
      <c:valAx>
        <c:axId val="2902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pmol injected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10992"/>
        <c:crosses val="autoZero"/>
        <c:crossBetween val="midCat"/>
      </c:valAx>
      <c:valAx>
        <c:axId val="2897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β-</a:t>
            </a:r>
            <a:r>
              <a:rPr lang="en-US" sz="1400" b="0" i="0" u="none" strike="noStrike" baseline="0">
                <a:effectLst/>
              </a:rPr>
              <a:t>Carotene</a:t>
            </a:r>
            <a:r>
              <a:rPr lang="en-US" sz="1400" b="0" i="0" u="none" strike="noStrike" baseline="0"/>
              <a:t> </a:t>
            </a:r>
            <a:r>
              <a:rPr lang="en-US"/>
              <a:t>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StdCurves!$AX$5</c:f>
              <c:strCache>
                <c:ptCount val="1"/>
                <c:pt idx="0">
                  <c:v>peak area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87169821318214"/>
                  <c:y val="6.70441737896838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StdCurves!$AW$6:$AW$14</c:f>
              <c:numCache>
                <c:formatCode>0.00</c:formatCode>
                <c:ptCount val="9"/>
                <c:pt idx="0">
                  <c:v>0</c:v>
                </c:pt>
                <c:pt idx="1">
                  <c:v>0.64743416680511712</c:v>
                </c:pt>
                <c:pt idx="2">
                  <c:v>1.2948683336102342</c:v>
                </c:pt>
                <c:pt idx="3">
                  <c:v>2.5897366672204685</c:v>
                </c:pt>
                <c:pt idx="4">
                  <c:v>5.1794733344409369</c:v>
                </c:pt>
                <c:pt idx="5">
                  <c:v>10.358946668881874</c:v>
                </c:pt>
                <c:pt idx="6">
                  <c:v>20.717893337763748</c:v>
                </c:pt>
                <c:pt idx="7">
                  <c:v>41.435786675527496</c:v>
                </c:pt>
                <c:pt idx="8">
                  <c:v>82.871573351054991</c:v>
                </c:pt>
              </c:numCache>
            </c:numRef>
          </c:xVal>
          <c:yVal>
            <c:numRef>
              <c:f>StdCurves!$AX$6:$AX$14</c:f>
              <c:numCache>
                <c:formatCode>General</c:formatCode>
                <c:ptCount val="9"/>
                <c:pt idx="0" formatCode="0.0">
                  <c:v>0</c:v>
                </c:pt>
                <c:pt idx="1">
                  <c:v>8.4</c:v>
                </c:pt>
                <c:pt idx="2">
                  <c:v>17.100000000000001</c:v>
                </c:pt>
                <c:pt idx="3">
                  <c:v>34.1</c:v>
                </c:pt>
                <c:pt idx="4">
                  <c:v>62.7</c:v>
                </c:pt>
                <c:pt idx="5">
                  <c:v>124.4</c:v>
                </c:pt>
                <c:pt idx="6">
                  <c:v>252.6</c:v>
                </c:pt>
                <c:pt idx="7">
                  <c:v>485.8</c:v>
                </c:pt>
                <c:pt idx="8">
                  <c:v>971.3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E0-6A4E-8CEF-98D55772D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15024"/>
        <c:axId val="289710992"/>
      </c:scatterChart>
      <c:valAx>
        <c:axId val="2902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pmol injected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10992"/>
        <c:crosses val="autoZero"/>
        <c:crossBetween val="midCat"/>
      </c:valAx>
      <c:valAx>
        <c:axId val="2897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Lycopene </a:t>
            </a:r>
            <a:r>
              <a:rPr lang="en-US"/>
              <a:t>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StdCurves!$N$5</c:f>
              <c:strCache>
                <c:ptCount val="1"/>
                <c:pt idx="0">
                  <c:v>peak area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87169821318214"/>
                  <c:y val="6.70441737896838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StdCurves!$BF$6:$BF$14</c:f>
              <c:numCache>
                <c:formatCode>0.00</c:formatCode>
                <c:ptCount val="9"/>
                <c:pt idx="0">
                  <c:v>0</c:v>
                </c:pt>
                <c:pt idx="1">
                  <c:v>0.73531007584680363</c:v>
                </c:pt>
                <c:pt idx="2">
                  <c:v>1.4706201516936073</c:v>
                </c:pt>
                <c:pt idx="3">
                  <c:v>2.9412403033872145</c:v>
                </c:pt>
                <c:pt idx="4">
                  <c:v>5.8824806067744291</c:v>
                </c:pt>
                <c:pt idx="5">
                  <c:v>11.764961213548858</c:v>
                </c:pt>
                <c:pt idx="6">
                  <c:v>23.529922427097716</c:v>
                </c:pt>
                <c:pt idx="7">
                  <c:v>47.059844854195433</c:v>
                </c:pt>
                <c:pt idx="8">
                  <c:v>94.119689708390865</c:v>
                </c:pt>
              </c:numCache>
            </c:numRef>
          </c:xVal>
          <c:yVal>
            <c:numRef>
              <c:f>StdCurves!$BG$6:$BG$14</c:f>
              <c:numCache>
                <c:formatCode>0.0</c:formatCode>
                <c:ptCount val="9"/>
                <c:pt idx="0">
                  <c:v>0</c:v>
                </c:pt>
                <c:pt idx="1">
                  <c:v>16.100000000000001</c:v>
                </c:pt>
                <c:pt idx="2">
                  <c:v>34.6</c:v>
                </c:pt>
                <c:pt idx="3">
                  <c:v>68.3</c:v>
                </c:pt>
                <c:pt idx="4">
                  <c:v>98.7</c:v>
                </c:pt>
                <c:pt idx="5">
                  <c:v>209.6</c:v>
                </c:pt>
                <c:pt idx="6">
                  <c:v>423.7</c:v>
                </c:pt>
                <c:pt idx="7">
                  <c:v>687.09400000000005</c:v>
                </c:pt>
                <c:pt idx="8">
                  <c:v>1353.08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23-7248-AA1E-0FEFA6FAF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15024"/>
        <c:axId val="289710992"/>
      </c:scatterChart>
      <c:valAx>
        <c:axId val="2902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pmol injected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10992"/>
        <c:crosses val="autoZero"/>
        <c:crossBetween val="midCat"/>
      </c:valAx>
      <c:valAx>
        <c:axId val="2897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924607</xdr:colOff>
      <xdr:row>19</xdr:row>
      <xdr:rowOff>46763</xdr:rowOff>
    </xdr:from>
    <xdr:to>
      <xdr:col>14</xdr:col>
      <xdr:colOff>688410</xdr:colOff>
      <xdr:row>42</xdr:row>
      <xdr:rowOff>130561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3FE25C0-4B67-6F40-B6B4-67CE350CB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924607</xdr:colOff>
      <xdr:row>19</xdr:row>
      <xdr:rowOff>46763</xdr:rowOff>
    </xdr:from>
    <xdr:to>
      <xdr:col>23</xdr:col>
      <xdr:colOff>688410</xdr:colOff>
      <xdr:row>42</xdr:row>
      <xdr:rowOff>130561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B29CFCD-FB02-0140-9059-F9A55ACD2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924607</xdr:colOff>
      <xdr:row>19</xdr:row>
      <xdr:rowOff>46763</xdr:rowOff>
    </xdr:from>
    <xdr:to>
      <xdr:col>32</xdr:col>
      <xdr:colOff>688410</xdr:colOff>
      <xdr:row>42</xdr:row>
      <xdr:rowOff>130561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643811A-4482-654F-B9C0-414577133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924607</xdr:colOff>
      <xdr:row>19</xdr:row>
      <xdr:rowOff>46763</xdr:rowOff>
    </xdr:from>
    <xdr:to>
      <xdr:col>41</xdr:col>
      <xdr:colOff>688410</xdr:colOff>
      <xdr:row>42</xdr:row>
      <xdr:rowOff>130561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CA989AE-FC31-384B-A3A5-3C823A85D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924607</xdr:colOff>
      <xdr:row>19</xdr:row>
      <xdr:rowOff>46763</xdr:rowOff>
    </xdr:from>
    <xdr:to>
      <xdr:col>50</xdr:col>
      <xdr:colOff>688410</xdr:colOff>
      <xdr:row>42</xdr:row>
      <xdr:rowOff>130561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4055453-2E39-CE46-ABAB-D045FFDBA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52</xdr:col>
      <xdr:colOff>924607</xdr:colOff>
      <xdr:row>19</xdr:row>
      <xdr:rowOff>46763</xdr:rowOff>
    </xdr:from>
    <xdr:to>
      <xdr:col>59</xdr:col>
      <xdr:colOff>688410</xdr:colOff>
      <xdr:row>42</xdr:row>
      <xdr:rowOff>130561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3B8C336-F44E-C143-B1FA-2A423F2CA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operstone.1@osu.edu" TargetMode="External"/><Relationship Id="rId1" Type="http://schemas.openxmlformats.org/officeDocument/2006/relationships/hyperlink" Target="https://www.cooperstonela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0D3-F28E-614E-B39C-56FCF1C85262}">
  <dimension ref="A1:E11"/>
  <sheetViews>
    <sheetView tabSelected="1" zoomScale="120" zoomScaleNormal="120" workbookViewId="0">
      <selection activeCell="A10" sqref="A10"/>
    </sheetView>
  </sheetViews>
  <sheetFormatPr baseColWidth="10" defaultRowHeight="15" x14ac:dyDescent="0.2"/>
  <sheetData>
    <row r="1" spans="1:5" ht="21" x14ac:dyDescent="0.25">
      <c r="A1" s="32" t="s">
        <v>21</v>
      </c>
    </row>
    <row r="2" spans="1:5" x14ac:dyDescent="0.2">
      <c r="A2" t="s">
        <v>22</v>
      </c>
      <c r="D2" s="33" t="s">
        <v>23</v>
      </c>
    </row>
    <row r="3" spans="1:5" x14ac:dyDescent="0.2">
      <c r="A3" t="s">
        <v>71</v>
      </c>
      <c r="B3" t="s">
        <v>72</v>
      </c>
      <c r="D3" s="33" t="s">
        <v>73</v>
      </c>
    </row>
    <row r="4" spans="1:5" x14ac:dyDescent="0.2">
      <c r="D4" s="33"/>
    </row>
    <row r="5" spans="1:5" x14ac:dyDescent="0.2">
      <c r="D5" s="33"/>
    </row>
    <row r="6" spans="1:5" x14ac:dyDescent="0.2">
      <c r="A6" t="s">
        <v>79</v>
      </c>
    </row>
    <row r="7" spans="1:5" x14ac:dyDescent="0.2">
      <c r="A7" s="47" t="s">
        <v>24</v>
      </c>
    </row>
    <row r="9" spans="1:5" x14ac:dyDescent="0.2">
      <c r="A9" t="s">
        <v>80</v>
      </c>
    </row>
    <row r="10" spans="1:5" x14ac:dyDescent="0.2">
      <c r="A10" s="31" t="s">
        <v>74</v>
      </c>
    </row>
    <row r="11" spans="1:5" x14ac:dyDescent="0.2">
      <c r="A11" s="34" t="s">
        <v>58</v>
      </c>
      <c r="B11" s="34"/>
      <c r="C11" s="34"/>
      <c r="D11" s="34"/>
      <c r="E11" s="34"/>
    </row>
  </sheetData>
  <hyperlinks>
    <hyperlink ref="D2" r:id="rId1" xr:uid="{AD7C72CA-8597-9B43-9D09-DC3A47C29513}"/>
    <hyperlink ref="D3" r:id="rId2" xr:uid="{5E2A31B4-B1FB-A447-9E0B-2EA8012D3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G64"/>
  <sheetViews>
    <sheetView zoomScale="120" zoomScaleNormal="120" zoomScalePageLayoutView="85" workbookViewId="0">
      <selection activeCell="A22" sqref="A22"/>
    </sheetView>
  </sheetViews>
  <sheetFormatPr baseColWidth="10" defaultColWidth="8.83203125" defaultRowHeight="15" x14ac:dyDescent="0.2"/>
  <cols>
    <col min="1" max="1" width="14.1640625" customWidth="1"/>
    <col min="2" max="2" width="10.33203125" bestFit="1" customWidth="1"/>
    <col min="3" max="3" width="11.83203125" bestFit="1" customWidth="1"/>
    <col min="4" max="4" width="11.6640625" customWidth="1"/>
    <col min="5" max="5" width="11.83203125" bestFit="1" customWidth="1"/>
    <col min="6" max="6" width="11" customWidth="1"/>
    <col min="7" max="7" width="14" bestFit="1" customWidth="1"/>
    <col min="8" max="8" width="12.83203125" customWidth="1"/>
    <col min="9" max="9" width="11.1640625" customWidth="1"/>
    <col min="10" max="10" width="12.5" customWidth="1"/>
    <col min="11" max="11" width="11.33203125" customWidth="1"/>
    <col min="12" max="12" width="12.33203125" bestFit="1" customWidth="1"/>
    <col min="13" max="13" width="11" customWidth="1"/>
    <col min="14" max="14" width="9.1640625" customWidth="1"/>
    <col min="15" max="15" width="13.5" customWidth="1"/>
    <col min="16" max="16" width="11.33203125" customWidth="1"/>
    <col min="17" max="17" width="12.83203125" customWidth="1"/>
    <col min="18" max="18" width="11.1640625" customWidth="1"/>
    <col min="19" max="19" width="12.5" customWidth="1"/>
    <col min="20" max="20" width="11.33203125" customWidth="1"/>
    <col min="21" max="21" width="12.33203125" bestFit="1" customWidth="1"/>
    <col min="22" max="22" width="11" customWidth="1"/>
    <col min="23" max="23" width="9.1640625" customWidth="1"/>
    <col min="24" max="24" width="13.5" customWidth="1"/>
    <col min="25" max="25" width="8.83203125" customWidth="1"/>
    <col min="26" max="26" width="12.83203125" customWidth="1"/>
    <col min="27" max="27" width="11.1640625" customWidth="1"/>
    <col min="28" max="28" width="12.5" customWidth="1"/>
    <col min="29" max="29" width="11.33203125" customWidth="1"/>
    <col min="30" max="30" width="12.33203125" bestFit="1" customWidth="1"/>
    <col min="31" max="31" width="11" customWidth="1"/>
    <col min="32" max="32" width="9.1640625" customWidth="1"/>
    <col min="33" max="33" width="13.5" customWidth="1"/>
    <col min="34" max="34" width="8.83203125" customWidth="1"/>
    <col min="35" max="35" width="12.83203125" customWidth="1"/>
    <col min="36" max="36" width="11.1640625" customWidth="1"/>
    <col min="37" max="37" width="12.5" customWidth="1"/>
    <col min="38" max="38" width="11.33203125" customWidth="1"/>
    <col min="39" max="39" width="12.33203125" bestFit="1" customWidth="1"/>
    <col min="40" max="40" width="11" customWidth="1"/>
    <col min="41" max="41" width="9.1640625" customWidth="1"/>
    <col min="42" max="42" width="13.5" customWidth="1"/>
    <col min="43" max="43" width="8.83203125" customWidth="1"/>
    <col min="44" max="44" width="12.83203125" customWidth="1"/>
    <col min="45" max="45" width="11.1640625" customWidth="1"/>
    <col min="46" max="46" width="12.5" customWidth="1"/>
    <col min="47" max="47" width="11.33203125" customWidth="1"/>
    <col min="48" max="48" width="12.33203125" bestFit="1" customWidth="1"/>
    <col min="49" max="49" width="11" customWidth="1"/>
    <col min="50" max="50" width="10.33203125" customWidth="1"/>
    <col min="51" max="51" width="13.5" customWidth="1"/>
    <col min="52" max="52" width="8.83203125" customWidth="1"/>
    <col min="53" max="53" width="12.83203125" customWidth="1"/>
    <col min="54" max="54" width="11.1640625" customWidth="1"/>
    <col min="55" max="55" width="12.5" customWidth="1"/>
    <col min="56" max="56" width="11.33203125" customWidth="1"/>
    <col min="57" max="57" width="12.33203125" bestFit="1" customWidth="1"/>
    <col min="58" max="58" width="11" customWidth="1"/>
    <col min="59" max="59" width="9.1640625" customWidth="1"/>
    <col min="60" max="60" width="13.5" customWidth="1"/>
    <col min="61" max="62" width="8.83203125" customWidth="1"/>
    <col min="63" max="63" width="12.33203125" customWidth="1"/>
    <col min="64" max="64" width="8.83203125" customWidth="1"/>
    <col min="65" max="65" width="12.33203125" customWidth="1"/>
    <col min="66" max="67" width="8.83203125" customWidth="1"/>
  </cols>
  <sheetData>
    <row r="1" spans="1:67" x14ac:dyDescent="0.2">
      <c r="A1" s="26" t="s">
        <v>25</v>
      </c>
      <c r="B1" s="34"/>
    </row>
    <row r="2" spans="1:67" x14ac:dyDescent="0.2">
      <c r="A2" s="26" t="s">
        <v>26</v>
      </c>
      <c r="B2" s="34"/>
      <c r="H2" s="10"/>
      <c r="Q2" s="10"/>
      <c r="Z2" s="10"/>
      <c r="AI2" s="10"/>
      <c r="AR2" s="10"/>
      <c r="BA2" s="10"/>
    </row>
    <row r="3" spans="1:67" x14ac:dyDescent="0.2">
      <c r="A3" s="26"/>
      <c r="H3" s="10"/>
      <c r="Q3" s="10"/>
      <c r="Z3" s="10"/>
      <c r="AI3" s="10"/>
      <c r="AR3" s="10"/>
      <c r="BA3" s="10"/>
    </row>
    <row r="4" spans="1:67" ht="26" x14ac:dyDescent="0.3">
      <c r="A4" s="45" t="s">
        <v>43</v>
      </c>
      <c r="B4" s="45"/>
      <c r="C4" s="45"/>
      <c r="D4" s="45"/>
      <c r="E4" s="45"/>
      <c r="F4" s="45"/>
      <c r="H4" s="54" t="s">
        <v>52</v>
      </c>
      <c r="I4" s="54"/>
      <c r="J4" s="54"/>
      <c r="K4" s="54"/>
      <c r="L4" s="54"/>
      <c r="M4" s="54"/>
      <c r="N4" s="54"/>
      <c r="O4" s="54"/>
      <c r="Q4" s="55" t="s">
        <v>53</v>
      </c>
      <c r="R4" s="55"/>
      <c r="S4" s="55"/>
      <c r="T4" s="55"/>
      <c r="U4" s="55"/>
      <c r="V4" s="55"/>
      <c r="W4" s="55"/>
      <c r="X4" s="55"/>
      <c r="Z4" s="56" t="s">
        <v>54</v>
      </c>
      <c r="AA4" s="56"/>
      <c r="AB4" s="56"/>
      <c r="AC4" s="56"/>
      <c r="AD4" s="56"/>
      <c r="AE4" s="56"/>
      <c r="AF4" s="56"/>
      <c r="AG4" s="56"/>
      <c r="AI4" s="57" t="s">
        <v>55</v>
      </c>
      <c r="AJ4" s="57"/>
      <c r="AK4" s="57"/>
      <c r="AL4" s="57"/>
      <c r="AM4" s="57"/>
      <c r="AN4" s="57"/>
      <c r="AO4" s="57"/>
      <c r="AP4" s="57"/>
      <c r="AR4" s="58" t="s">
        <v>56</v>
      </c>
      <c r="AS4" s="58"/>
      <c r="AT4" s="58"/>
      <c r="AU4" s="58"/>
      <c r="AV4" s="58"/>
      <c r="AW4" s="58"/>
      <c r="AX4" s="58"/>
      <c r="AY4" s="58"/>
      <c r="BA4" s="59" t="s">
        <v>57</v>
      </c>
      <c r="BB4" s="59"/>
      <c r="BC4" s="59"/>
      <c r="BD4" s="59"/>
      <c r="BE4" s="59"/>
      <c r="BF4" s="59"/>
      <c r="BG4" s="59"/>
      <c r="BH4" s="59"/>
      <c r="BI4" s="5"/>
    </row>
    <row r="5" spans="1:67" ht="34" x14ac:dyDescent="0.2">
      <c r="A5" s="39" t="s">
        <v>27</v>
      </c>
      <c r="B5" s="40" t="s">
        <v>38</v>
      </c>
      <c r="C5" s="39" t="s">
        <v>32</v>
      </c>
      <c r="D5" s="40" t="s">
        <v>33</v>
      </c>
      <c r="E5" s="40" t="s">
        <v>34</v>
      </c>
      <c r="F5" s="40" t="s">
        <v>37</v>
      </c>
      <c r="H5" s="12" t="s">
        <v>9</v>
      </c>
      <c r="I5" s="12" t="s">
        <v>10</v>
      </c>
      <c r="J5" s="12" t="s">
        <v>34</v>
      </c>
      <c r="K5" s="12" t="s">
        <v>45</v>
      </c>
      <c r="L5" s="12" t="s">
        <v>46</v>
      </c>
      <c r="M5" s="12" t="s">
        <v>47</v>
      </c>
      <c r="N5" s="12" t="s">
        <v>12</v>
      </c>
      <c r="O5" s="12" t="s">
        <v>20</v>
      </c>
      <c r="P5" s="3"/>
      <c r="Q5" s="12" t="s">
        <v>9</v>
      </c>
      <c r="R5" s="12" t="s">
        <v>10</v>
      </c>
      <c r="S5" s="12" t="s">
        <v>34</v>
      </c>
      <c r="T5" s="12" t="s">
        <v>45</v>
      </c>
      <c r="U5" s="12" t="s">
        <v>46</v>
      </c>
      <c r="V5" s="12" t="s">
        <v>47</v>
      </c>
      <c r="W5" s="12" t="s">
        <v>12</v>
      </c>
      <c r="X5" s="12" t="s">
        <v>20</v>
      </c>
      <c r="Y5" s="3"/>
      <c r="Z5" s="12" t="s">
        <v>9</v>
      </c>
      <c r="AA5" s="12" t="s">
        <v>10</v>
      </c>
      <c r="AB5" s="12" t="s">
        <v>34</v>
      </c>
      <c r="AC5" s="12" t="s">
        <v>45</v>
      </c>
      <c r="AD5" s="12" t="s">
        <v>46</v>
      </c>
      <c r="AE5" s="12" t="s">
        <v>47</v>
      </c>
      <c r="AF5" s="12" t="s">
        <v>12</v>
      </c>
      <c r="AG5" s="12" t="s">
        <v>20</v>
      </c>
      <c r="AH5" s="3"/>
      <c r="AI5" s="12" t="s">
        <v>9</v>
      </c>
      <c r="AJ5" s="12" t="s">
        <v>10</v>
      </c>
      <c r="AK5" s="12" t="s">
        <v>34</v>
      </c>
      <c r="AL5" s="12" t="s">
        <v>45</v>
      </c>
      <c r="AM5" s="12" t="s">
        <v>46</v>
      </c>
      <c r="AN5" s="12" t="s">
        <v>47</v>
      </c>
      <c r="AO5" s="12" t="s">
        <v>12</v>
      </c>
      <c r="AP5" s="12" t="s">
        <v>20</v>
      </c>
      <c r="AQ5" s="3"/>
      <c r="AR5" s="12" t="s">
        <v>9</v>
      </c>
      <c r="AS5" s="12" t="s">
        <v>10</v>
      </c>
      <c r="AT5" s="12" t="s">
        <v>34</v>
      </c>
      <c r="AU5" s="12" t="s">
        <v>45</v>
      </c>
      <c r="AV5" s="12" t="s">
        <v>46</v>
      </c>
      <c r="AW5" s="12" t="s">
        <v>47</v>
      </c>
      <c r="AX5" s="12" t="s">
        <v>12</v>
      </c>
      <c r="AY5" s="12" t="s">
        <v>20</v>
      </c>
      <c r="BA5" s="12" t="s">
        <v>9</v>
      </c>
      <c r="BB5" s="12" t="s">
        <v>10</v>
      </c>
      <c r="BC5" s="12" t="s">
        <v>34</v>
      </c>
      <c r="BD5" s="12" t="s">
        <v>45</v>
      </c>
      <c r="BE5" s="12" t="s">
        <v>46</v>
      </c>
      <c r="BF5" s="12" t="s">
        <v>47</v>
      </c>
      <c r="BG5" s="12" t="s">
        <v>12</v>
      </c>
      <c r="BH5" s="12" t="s">
        <v>20</v>
      </c>
      <c r="BI5" s="3"/>
      <c r="BJ5" s="3"/>
      <c r="BK5" s="3"/>
      <c r="BL5" s="3"/>
      <c r="BM5" s="3"/>
      <c r="BN5" s="3"/>
      <c r="BO5" s="3"/>
    </row>
    <row r="6" spans="1:67" x14ac:dyDescent="0.2">
      <c r="A6" s="36" t="s">
        <v>3</v>
      </c>
      <c r="B6" s="19">
        <v>144700</v>
      </c>
      <c r="C6" s="36" t="s">
        <v>35</v>
      </c>
      <c r="D6" s="60">
        <v>1.0693029999999999</v>
      </c>
      <c r="E6" s="36">
        <f>D6/B6</f>
        <v>7.3897926744989628E-6</v>
      </c>
      <c r="F6" s="36">
        <v>447</v>
      </c>
      <c r="H6" s="11" t="s">
        <v>13</v>
      </c>
      <c r="I6" s="13">
        <v>0</v>
      </c>
      <c r="J6" s="66">
        <f t="shared" ref="J6:J11" si="0">$E$15*I6</f>
        <v>0</v>
      </c>
      <c r="K6" s="62">
        <v>0.01</v>
      </c>
      <c r="L6" s="27">
        <f t="shared" ref="L6:L13" si="1">J6*(K6/1000)</f>
        <v>0</v>
      </c>
      <c r="M6" s="51">
        <f>L6*10^12</f>
        <v>0</v>
      </c>
      <c r="N6" s="64">
        <v>0</v>
      </c>
      <c r="O6" s="30"/>
      <c r="Q6" s="11" t="s">
        <v>13</v>
      </c>
      <c r="R6" s="13">
        <v>0</v>
      </c>
      <c r="S6" s="21">
        <f t="shared" ref="S6:S13" si="2">$E$16*R6</f>
        <v>0</v>
      </c>
      <c r="T6" s="62">
        <v>0.01</v>
      </c>
      <c r="U6" s="27">
        <f t="shared" ref="U6:U13" si="3">S6*(T6/1000)</f>
        <v>0</v>
      </c>
      <c r="V6" s="51">
        <f>U6*10^12</f>
        <v>0</v>
      </c>
      <c r="W6" s="64">
        <v>0</v>
      </c>
      <c r="X6" s="30"/>
      <c r="Z6" s="11" t="s">
        <v>13</v>
      </c>
      <c r="AA6" s="13">
        <v>0</v>
      </c>
      <c r="AB6" s="66">
        <f t="shared" ref="AB6:AB13" si="4">$E$17*AA6</f>
        <v>0</v>
      </c>
      <c r="AC6" s="62">
        <v>0.01</v>
      </c>
      <c r="AD6" s="27">
        <f t="shared" ref="AD6:AD13" si="5">AB6*(AC6/1000)</f>
        <v>0</v>
      </c>
      <c r="AE6" s="51">
        <f>AD6*10^12</f>
        <v>0</v>
      </c>
      <c r="AF6" s="64">
        <v>0</v>
      </c>
      <c r="AG6" s="30"/>
      <c r="AI6" s="11" t="s">
        <v>13</v>
      </c>
      <c r="AJ6" s="13">
        <v>0</v>
      </c>
      <c r="AK6" s="66">
        <f t="shared" ref="AK6:AK13" si="6">$E$18*AJ6</f>
        <v>0</v>
      </c>
      <c r="AL6" s="62">
        <v>0.01</v>
      </c>
      <c r="AM6" s="27">
        <f t="shared" ref="AM6:AM13" si="7">AK6*(AL6/1000)</f>
        <v>0</v>
      </c>
      <c r="AN6" s="51">
        <f>AM6*10^12</f>
        <v>0</v>
      </c>
      <c r="AO6" s="64">
        <v>0</v>
      </c>
      <c r="AP6" s="30"/>
      <c r="AR6" s="11" t="s">
        <v>13</v>
      </c>
      <c r="AS6" s="13">
        <v>0</v>
      </c>
      <c r="AT6" s="66">
        <f t="shared" ref="AT6:AT13" si="8">$E$19*AS6</f>
        <v>0</v>
      </c>
      <c r="AU6" s="62">
        <v>0.01</v>
      </c>
      <c r="AV6" s="27">
        <f t="shared" ref="AV6:AV13" si="9">AT6*(AU6/1000)</f>
        <v>0</v>
      </c>
      <c r="AW6" s="51">
        <f>AV6*10^12</f>
        <v>0</v>
      </c>
      <c r="AX6" s="64">
        <v>0</v>
      </c>
      <c r="AY6" s="30"/>
      <c r="BA6" s="11" t="s">
        <v>13</v>
      </c>
      <c r="BB6" s="13">
        <v>0</v>
      </c>
      <c r="BC6" s="66">
        <f t="shared" ref="BC6:BC13" si="10">$E$20*BB6</f>
        <v>0</v>
      </c>
      <c r="BD6" s="62">
        <v>0.01</v>
      </c>
      <c r="BE6" s="27">
        <f t="shared" ref="BE6:BE13" si="11">BC6*(BD6/1000)</f>
        <v>0</v>
      </c>
      <c r="BF6" s="51">
        <f>BE6*10^12</f>
        <v>0</v>
      </c>
      <c r="BG6" s="64">
        <v>0</v>
      </c>
      <c r="BH6" s="30"/>
      <c r="BJ6" s="8"/>
    </row>
    <row r="7" spans="1:67" x14ac:dyDescent="0.2">
      <c r="A7" s="36" t="s">
        <v>4</v>
      </c>
      <c r="B7" s="19">
        <v>144300</v>
      </c>
      <c r="C7" s="36" t="s">
        <v>35</v>
      </c>
      <c r="D7" s="60">
        <v>0.91700899999999996</v>
      </c>
      <c r="E7" s="36">
        <f t="shared" ref="E7:E11" si="12">D7/B7</f>
        <v>6.3548787248787249E-6</v>
      </c>
      <c r="F7" s="36">
        <v>451</v>
      </c>
      <c r="H7" s="48" t="s">
        <v>14</v>
      </c>
      <c r="I7" s="13">
        <f>1/64</f>
        <v>1.5625E-2</v>
      </c>
      <c r="J7" s="66">
        <f t="shared" si="0"/>
        <v>6.6614717618680538E-8</v>
      </c>
      <c r="K7" s="62">
        <v>0.01</v>
      </c>
      <c r="L7" s="27">
        <f t="shared" si="1"/>
        <v>6.6614717618680539E-13</v>
      </c>
      <c r="M7" s="51">
        <f t="shared" ref="M7:M13" si="13">L7*10^12</f>
        <v>0.66614717618680541</v>
      </c>
      <c r="N7" s="64">
        <v>8.9</v>
      </c>
      <c r="O7" s="30">
        <f>N7/M7</f>
        <v>13.360410909411712</v>
      </c>
      <c r="Q7" s="48" t="s">
        <v>14</v>
      </c>
      <c r="R7" s="13">
        <f>1/64</f>
        <v>1.5625E-2</v>
      </c>
      <c r="S7" s="21">
        <f t="shared" si="2"/>
        <v>4.7737971190495223E-8</v>
      </c>
      <c r="T7" s="62">
        <v>0.01</v>
      </c>
      <c r="U7" s="27">
        <f t="shared" si="3"/>
        <v>4.7737971190495227E-13</v>
      </c>
      <c r="V7" s="51">
        <f t="shared" ref="V7:V13" si="14">U7*10^12</f>
        <v>0.47737971190495226</v>
      </c>
      <c r="W7" s="62">
        <v>13.3</v>
      </c>
      <c r="X7" s="30">
        <f>W7/V7</f>
        <v>27.860421522580481</v>
      </c>
      <c r="Z7" s="48" t="s">
        <v>14</v>
      </c>
      <c r="AA7" s="13">
        <f>1/64</f>
        <v>1.5625E-2</v>
      </c>
      <c r="AB7" s="66">
        <f t="shared" si="4"/>
        <v>1.8668203687432684E-8</v>
      </c>
      <c r="AC7" s="62">
        <v>0.01</v>
      </c>
      <c r="AD7" s="27">
        <f t="shared" si="5"/>
        <v>1.8668203687432686E-13</v>
      </c>
      <c r="AE7" s="51">
        <f t="shared" ref="AE7:AE13" si="15">AD7*10^12</f>
        <v>0.18668203687432686</v>
      </c>
      <c r="AF7" s="64">
        <v>5.7</v>
      </c>
      <c r="AG7" s="30">
        <f>AF7/AE7</f>
        <v>30.533200169854602</v>
      </c>
      <c r="AI7" s="48" t="s">
        <v>14</v>
      </c>
      <c r="AJ7" s="13">
        <f>1/64</f>
        <v>1.5625E-2</v>
      </c>
      <c r="AK7" s="66">
        <f t="shared" si="6"/>
        <v>3.2380608009291116E-8</v>
      </c>
      <c r="AL7" s="62">
        <v>0.01</v>
      </c>
      <c r="AM7" s="27">
        <f t="shared" si="7"/>
        <v>3.2380608009291116E-13</v>
      </c>
      <c r="AN7" s="51">
        <f t="shared" ref="AN7:AN13" si="16">AM7*10^12</f>
        <v>0.32380608009291117</v>
      </c>
      <c r="AO7" s="64">
        <v>5.8</v>
      </c>
      <c r="AP7" s="30">
        <f>AO7/AN7</f>
        <v>17.911955199654617</v>
      </c>
      <c r="AR7" s="48" t="s">
        <v>14</v>
      </c>
      <c r="AS7" s="13">
        <f>1/64</f>
        <v>1.5625E-2</v>
      </c>
      <c r="AT7" s="66">
        <f t="shared" si="8"/>
        <v>6.4743416680511709E-8</v>
      </c>
      <c r="AU7" s="62">
        <v>0.01</v>
      </c>
      <c r="AV7" s="27">
        <f t="shared" si="9"/>
        <v>6.4743416680511711E-13</v>
      </c>
      <c r="AW7" s="51">
        <f t="shared" ref="AW7:AX13" si="17">AV7*10^12</f>
        <v>0.64743416680511712</v>
      </c>
      <c r="AX7" s="67">
        <v>8.4</v>
      </c>
      <c r="AY7" s="30">
        <f>AX7/AW7</f>
        <v>12.974292106719274</v>
      </c>
      <c r="BA7" s="48" t="s">
        <v>14</v>
      </c>
      <c r="BB7" s="13">
        <f>1/64</f>
        <v>1.5625E-2</v>
      </c>
      <c r="BC7" s="66">
        <f t="shared" si="10"/>
        <v>7.3531007584680358E-8</v>
      </c>
      <c r="BD7" s="62">
        <v>0.01</v>
      </c>
      <c r="BE7" s="27">
        <f t="shared" si="11"/>
        <v>7.353100758468036E-13</v>
      </c>
      <c r="BF7" s="51">
        <f t="shared" ref="BF7:BF13" si="18">BE7*10^12</f>
        <v>0.73531007584680363</v>
      </c>
      <c r="BG7" s="64">
        <v>16.100000000000001</v>
      </c>
      <c r="BH7" s="30">
        <f>BG7/BF7</f>
        <v>21.895524798104788</v>
      </c>
      <c r="BI7" s="6"/>
      <c r="BJ7" s="8"/>
    </row>
    <row r="8" spans="1:67" x14ac:dyDescent="0.2">
      <c r="A8" s="36" t="s">
        <v>28</v>
      </c>
      <c r="B8" s="19">
        <v>135700</v>
      </c>
      <c r="C8" s="36" t="s">
        <v>36</v>
      </c>
      <c r="D8" s="60">
        <v>0.84307399999999999</v>
      </c>
      <c r="E8" s="36">
        <f t="shared" si="12"/>
        <v>6.2127781871775972E-6</v>
      </c>
      <c r="F8" s="36">
        <v>452</v>
      </c>
      <c r="H8" s="49">
        <v>3.125E-2</v>
      </c>
      <c r="I8" s="13">
        <f>1/32</f>
        <v>3.125E-2</v>
      </c>
      <c r="J8" s="66">
        <f t="shared" si="0"/>
        <v>1.3322943523736108E-7</v>
      </c>
      <c r="K8" s="62">
        <v>0.01</v>
      </c>
      <c r="L8" s="27">
        <f t="shared" si="1"/>
        <v>1.3322943523736108E-12</v>
      </c>
      <c r="M8" s="51">
        <f t="shared" si="13"/>
        <v>1.3322943523736108</v>
      </c>
      <c r="N8" s="64">
        <v>17.600000000000001</v>
      </c>
      <c r="O8" s="30">
        <f t="shared" ref="O8:O15" si="19">N8/M8</f>
        <v>13.210293932901468</v>
      </c>
      <c r="Q8" s="49">
        <v>3.125E-2</v>
      </c>
      <c r="R8" s="13">
        <f>1/32</f>
        <v>3.125E-2</v>
      </c>
      <c r="S8" s="21">
        <f t="shared" si="2"/>
        <v>9.5475942380990445E-8</v>
      </c>
      <c r="T8" s="62">
        <v>0.01</v>
      </c>
      <c r="U8" s="27">
        <f t="shared" si="3"/>
        <v>9.5475942380990453E-13</v>
      </c>
      <c r="V8" s="51">
        <f t="shared" si="14"/>
        <v>0.95475942380990453</v>
      </c>
      <c r="W8" s="62">
        <v>26.8</v>
      </c>
      <c r="X8" s="30">
        <f t="shared" ref="X8:X15" si="20">W8/V8</f>
        <v>28.069898376133715</v>
      </c>
      <c r="Z8" s="49">
        <v>3.125E-2</v>
      </c>
      <c r="AA8" s="13">
        <f>1/32</f>
        <v>3.125E-2</v>
      </c>
      <c r="AB8" s="66">
        <f t="shared" si="4"/>
        <v>3.7336407374865368E-8</v>
      </c>
      <c r="AC8" s="62">
        <v>0.01</v>
      </c>
      <c r="AD8" s="27">
        <f t="shared" si="5"/>
        <v>3.7336407374865372E-13</v>
      </c>
      <c r="AE8" s="51">
        <f t="shared" si="15"/>
        <v>0.37336407374865371</v>
      </c>
      <c r="AF8" s="64">
        <v>12</v>
      </c>
      <c r="AG8" s="30">
        <f t="shared" ref="AG8:AG15" si="21">AF8/AE8</f>
        <v>32.140210705110107</v>
      </c>
      <c r="AI8" s="49">
        <v>3.125E-2</v>
      </c>
      <c r="AJ8" s="13">
        <f>1/32</f>
        <v>3.125E-2</v>
      </c>
      <c r="AK8" s="66">
        <f t="shared" si="6"/>
        <v>6.4761216018582231E-8</v>
      </c>
      <c r="AL8" s="62">
        <v>0.01</v>
      </c>
      <c r="AM8" s="27">
        <f t="shared" si="7"/>
        <v>6.4761216018582233E-13</v>
      </c>
      <c r="AN8" s="51">
        <f t="shared" si="16"/>
        <v>0.64761216018582235</v>
      </c>
      <c r="AO8" s="64">
        <v>11.8</v>
      </c>
      <c r="AP8" s="30">
        <f t="shared" ref="AP8:AP15" si="22">AO8/AN8</f>
        <v>18.220782013441767</v>
      </c>
      <c r="AR8" s="49">
        <v>3.125E-2</v>
      </c>
      <c r="AS8" s="13">
        <f>1/32</f>
        <v>3.125E-2</v>
      </c>
      <c r="AT8" s="66">
        <f t="shared" si="8"/>
        <v>1.2948683336102342E-7</v>
      </c>
      <c r="AU8" s="62">
        <v>0.01</v>
      </c>
      <c r="AV8" s="27">
        <f t="shared" si="9"/>
        <v>1.2948683336102342E-12</v>
      </c>
      <c r="AW8" s="51">
        <f t="shared" si="17"/>
        <v>1.2948683336102342</v>
      </c>
      <c r="AX8" s="67">
        <v>17.100000000000001</v>
      </c>
      <c r="AY8" s="30">
        <f t="shared" ref="AY8:AY15" si="23">AX8/AW8</f>
        <v>13.205975894339261</v>
      </c>
      <c r="BA8" s="49">
        <v>3.125E-2</v>
      </c>
      <c r="BB8" s="13">
        <f>1/32</f>
        <v>3.125E-2</v>
      </c>
      <c r="BC8" s="66">
        <f t="shared" si="10"/>
        <v>1.4706201516936072E-7</v>
      </c>
      <c r="BD8" s="62">
        <v>0.01</v>
      </c>
      <c r="BE8" s="27">
        <f t="shared" si="11"/>
        <v>1.4706201516936072E-12</v>
      </c>
      <c r="BF8" s="51">
        <f t="shared" si="18"/>
        <v>1.4706201516936073</v>
      </c>
      <c r="BG8" s="64">
        <v>34.6</v>
      </c>
      <c r="BH8" s="30">
        <f t="shared" ref="BH8:BH15" si="24">BG8/BF8</f>
        <v>23.527489379329989</v>
      </c>
      <c r="BI8" s="7"/>
      <c r="BJ8" s="8"/>
    </row>
    <row r="9" spans="1:67" x14ac:dyDescent="0.2">
      <c r="A9" s="36" t="s">
        <v>29</v>
      </c>
      <c r="B9" s="19">
        <v>145300</v>
      </c>
      <c r="C9" s="36" t="s">
        <v>36</v>
      </c>
      <c r="D9" s="60">
        <v>1.0438609999999999</v>
      </c>
      <c r="E9" s="36">
        <f t="shared" si="12"/>
        <v>7.1841775636613894E-6</v>
      </c>
      <c r="F9" s="36">
        <v>445</v>
      </c>
      <c r="H9" s="49">
        <v>6.25E-2</v>
      </c>
      <c r="I9" s="13">
        <f>1/16</f>
        <v>6.25E-2</v>
      </c>
      <c r="J9" s="66">
        <f t="shared" si="0"/>
        <v>2.6645887047472215E-7</v>
      </c>
      <c r="K9" s="62">
        <v>0.01</v>
      </c>
      <c r="L9" s="27">
        <f t="shared" si="1"/>
        <v>2.6645887047472216E-12</v>
      </c>
      <c r="M9" s="51">
        <f>L9*10^12</f>
        <v>2.6645887047472216</v>
      </c>
      <c r="N9" s="64">
        <v>34.9</v>
      </c>
      <c r="O9" s="30">
        <f t="shared" si="19"/>
        <v>13.097706200518783</v>
      </c>
      <c r="Q9" s="49">
        <v>6.25E-2</v>
      </c>
      <c r="R9" s="13">
        <f>1/16</f>
        <v>6.25E-2</v>
      </c>
      <c r="S9" s="21">
        <f t="shared" si="2"/>
        <v>1.9095188476198089E-7</v>
      </c>
      <c r="T9" s="62">
        <v>0.01</v>
      </c>
      <c r="U9" s="27">
        <f t="shared" si="3"/>
        <v>1.9095188476198091E-12</v>
      </c>
      <c r="V9" s="51">
        <f>U9*10^12</f>
        <v>1.9095188476198091</v>
      </c>
      <c r="W9" s="62">
        <v>53.3</v>
      </c>
      <c r="X9" s="30">
        <f t="shared" si="20"/>
        <v>27.912790735968784</v>
      </c>
      <c r="Z9" s="49">
        <v>6.25E-2</v>
      </c>
      <c r="AA9" s="13">
        <f>1/16</f>
        <v>6.25E-2</v>
      </c>
      <c r="AB9" s="66">
        <f t="shared" si="4"/>
        <v>7.4672814749730736E-8</v>
      </c>
      <c r="AC9" s="62">
        <v>0.01</v>
      </c>
      <c r="AD9" s="27">
        <f t="shared" si="5"/>
        <v>7.4672814749730743E-13</v>
      </c>
      <c r="AE9" s="51">
        <f>AD9*10^12</f>
        <v>0.74672814749730743</v>
      </c>
      <c r="AF9" s="64">
        <v>23</v>
      </c>
      <c r="AG9" s="30">
        <f t="shared" si="21"/>
        <v>30.801035259063855</v>
      </c>
      <c r="AI9" s="49">
        <v>6.25E-2</v>
      </c>
      <c r="AJ9" s="13">
        <f>1/16</f>
        <v>6.25E-2</v>
      </c>
      <c r="AK9" s="66">
        <f t="shared" si="6"/>
        <v>1.2952243203716446E-7</v>
      </c>
      <c r="AL9" s="62">
        <v>0.01</v>
      </c>
      <c r="AM9" s="27">
        <f t="shared" si="7"/>
        <v>1.2952243203716447E-12</v>
      </c>
      <c r="AN9" s="51">
        <f>AM9*10^12</f>
        <v>1.2952243203716447</v>
      </c>
      <c r="AO9" s="64">
        <v>23.779299999999999</v>
      </c>
      <c r="AP9" s="30">
        <f t="shared" si="22"/>
        <v>18.359213632721854</v>
      </c>
      <c r="AR9" s="49">
        <v>6.25E-2</v>
      </c>
      <c r="AS9" s="13">
        <f>1/16</f>
        <v>6.25E-2</v>
      </c>
      <c r="AT9" s="66">
        <f t="shared" si="8"/>
        <v>2.5897366672204684E-7</v>
      </c>
      <c r="AU9" s="62">
        <v>0.01</v>
      </c>
      <c r="AV9" s="27">
        <f t="shared" si="9"/>
        <v>2.5897366672204685E-12</v>
      </c>
      <c r="AW9" s="51">
        <f>AV9*10^12</f>
        <v>2.5897366672204685</v>
      </c>
      <c r="AX9" s="67">
        <v>34.1</v>
      </c>
      <c r="AY9" s="30">
        <f t="shared" si="23"/>
        <v>13.167361929735929</v>
      </c>
      <c r="BA9" s="49">
        <v>6.25E-2</v>
      </c>
      <c r="BB9" s="13">
        <f>1/16</f>
        <v>6.25E-2</v>
      </c>
      <c r="BC9" s="66">
        <f t="shared" si="10"/>
        <v>2.9412403033872143E-7</v>
      </c>
      <c r="BD9" s="62">
        <v>0.01</v>
      </c>
      <c r="BE9" s="27">
        <f t="shared" si="11"/>
        <v>2.9412403033872144E-12</v>
      </c>
      <c r="BF9" s="51">
        <f>BE9*10^12</f>
        <v>2.9412403033872145</v>
      </c>
      <c r="BG9" s="64">
        <v>68.3</v>
      </c>
      <c r="BH9" s="30">
        <f t="shared" si="24"/>
        <v>23.221496020350262</v>
      </c>
      <c r="BI9" s="7"/>
      <c r="BJ9" s="8"/>
    </row>
    <row r="10" spans="1:67" x14ac:dyDescent="0.2">
      <c r="A10" s="36" t="s">
        <v>30</v>
      </c>
      <c r="B10" s="19">
        <v>138900</v>
      </c>
      <c r="C10" s="36" t="s">
        <v>36</v>
      </c>
      <c r="D10" s="60">
        <v>0.74820600000000004</v>
      </c>
      <c r="E10" s="36">
        <f t="shared" si="12"/>
        <v>5.3866522678185745E-6</v>
      </c>
      <c r="F10" s="36">
        <v>450</v>
      </c>
      <c r="H10" s="49">
        <v>0.125</v>
      </c>
      <c r="I10" s="13">
        <f>1/8</f>
        <v>0.125</v>
      </c>
      <c r="J10" s="66">
        <f t="shared" si="0"/>
        <v>5.329177409494443E-7</v>
      </c>
      <c r="K10" s="62">
        <v>0.01</v>
      </c>
      <c r="L10" s="27">
        <f t="shared" si="1"/>
        <v>5.3291774094944431E-12</v>
      </c>
      <c r="M10" s="51">
        <f t="shared" si="13"/>
        <v>5.3291774094944433</v>
      </c>
      <c r="N10" s="64">
        <v>65.599999999999994</v>
      </c>
      <c r="O10" s="30">
        <f t="shared" si="19"/>
        <v>12.309592073840003</v>
      </c>
      <c r="Q10" s="49">
        <v>0.125</v>
      </c>
      <c r="R10" s="13">
        <f>1/8</f>
        <v>0.125</v>
      </c>
      <c r="S10" s="21">
        <f t="shared" si="2"/>
        <v>3.8190376952396178E-7</v>
      </c>
      <c r="T10" s="62">
        <v>0.01</v>
      </c>
      <c r="U10" s="27">
        <f t="shared" si="3"/>
        <v>3.8190376952396181E-12</v>
      </c>
      <c r="V10" s="51">
        <f t="shared" ref="V10:V16" si="25">U10*10^12</f>
        <v>3.8190376952396181</v>
      </c>
      <c r="W10" s="62">
        <v>104.4</v>
      </c>
      <c r="X10" s="30">
        <f t="shared" si="20"/>
        <v>27.336729388697389</v>
      </c>
      <c r="Z10" s="49">
        <v>0.125</v>
      </c>
      <c r="AA10" s="13">
        <f>1/8</f>
        <v>0.125</v>
      </c>
      <c r="AB10" s="66">
        <f t="shared" si="4"/>
        <v>1.4934562949946147E-7</v>
      </c>
      <c r="AC10" s="62">
        <v>0.01</v>
      </c>
      <c r="AD10" s="27">
        <f t="shared" si="5"/>
        <v>1.4934562949946149E-12</v>
      </c>
      <c r="AE10" s="51">
        <f t="shared" ref="AE10:AE16" si="26">AD10*10^12</f>
        <v>1.4934562949946149</v>
      </c>
      <c r="AF10" s="64">
        <v>41.9</v>
      </c>
      <c r="AG10" s="30">
        <f t="shared" si="21"/>
        <v>28.055725594669031</v>
      </c>
      <c r="AI10" s="49">
        <v>0.125</v>
      </c>
      <c r="AJ10" s="13">
        <f>1/8</f>
        <v>0.125</v>
      </c>
      <c r="AK10" s="66">
        <f t="shared" si="6"/>
        <v>2.5904486407432893E-7</v>
      </c>
      <c r="AL10" s="62">
        <v>0.01</v>
      </c>
      <c r="AM10" s="27">
        <f t="shared" si="7"/>
        <v>2.5904486407432893E-12</v>
      </c>
      <c r="AN10" s="51">
        <f t="shared" ref="AN10:AN16" si="27">AM10*10^12</f>
        <v>2.5904486407432894</v>
      </c>
      <c r="AO10" s="64">
        <v>43.9</v>
      </c>
      <c r="AP10" s="30">
        <f t="shared" si="22"/>
        <v>16.946871406569777</v>
      </c>
      <c r="AR10" s="49">
        <v>0.125</v>
      </c>
      <c r="AS10" s="13">
        <f>1/8</f>
        <v>0.125</v>
      </c>
      <c r="AT10" s="66">
        <f t="shared" si="8"/>
        <v>5.1794733344409367E-7</v>
      </c>
      <c r="AU10" s="62">
        <v>0.01</v>
      </c>
      <c r="AV10" s="27">
        <f t="shared" si="9"/>
        <v>5.1794733344409369E-12</v>
      </c>
      <c r="AW10" s="51">
        <f t="shared" ref="AW10:AW16" si="28">AV10*10^12</f>
        <v>5.1794733344409369</v>
      </c>
      <c r="AX10" s="67">
        <v>62.7</v>
      </c>
      <c r="AY10" s="30">
        <f t="shared" si="23"/>
        <v>12.105477903144322</v>
      </c>
      <c r="BA10" s="49">
        <v>0.125</v>
      </c>
      <c r="BB10" s="13">
        <f>1/8</f>
        <v>0.125</v>
      </c>
      <c r="BC10" s="66">
        <f t="shared" si="10"/>
        <v>5.8824806067744286E-7</v>
      </c>
      <c r="BD10" s="62">
        <v>0.01</v>
      </c>
      <c r="BE10" s="27">
        <f t="shared" si="11"/>
        <v>5.8824806067744288E-12</v>
      </c>
      <c r="BF10" s="51">
        <f t="shared" ref="BF10:BF16" si="29">BE10*10^12</f>
        <v>5.8824806067744291</v>
      </c>
      <c r="BG10" s="64">
        <v>98.7</v>
      </c>
      <c r="BH10" s="30">
        <f t="shared" si="24"/>
        <v>16.778635850721603</v>
      </c>
      <c r="BI10" s="7"/>
      <c r="BJ10" s="8"/>
    </row>
    <row r="11" spans="1:67" x14ac:dyDescent="0.2">
      <c r="A11" s="36" t="s">
        <v>31</v>
      </c>
      <c r="B11" s="19">
        <v>189400</v>
      </c>
      <c r="C11" s="36" t="s">
        <v>36</v>
      </c>
      <c r="D11" s="60">
        <v>0.92696599999999996</v>
      </c>
      <c r="E11" s="36">
        <f t="shared" si="12"/>
        <v>4.8942238648363246E-6</v>
      </c>
      <c r="F11" s="36">
        <v>471</v>
      </c>
      <c r="H11" s="49">
        <v>0.25</v>
      </c>
      <c r="I11" s="13">
        <f>1/4</f>
        <v>0.25</v>
      </c>
      <c r="J11" s="66">
        <f t="shared" si="0"/>
        <v>1.0658354818988886E-6</v>
      </c>
      <c r="K11" s="62">
        <v>0.01</v>
      </c>
      <c r="L11" s="27">
        <f t="shared" si="1"/>
        <v>1.0658354818988886E-11</v>
      </c>
      <c r="M11" s="51">
        <f t="shared" si="13"/>
        <v>10.658354818988887</v>
      </c>
      <c r="N11" s="64">
        <v>130.4</v>
      </c>
      <c r="O11" s="30">
        <f t="shared" si="19"/>
        <v>12.234533585584881</v>
      </c>
      <c r="Q11" s="49">
        <v>0.25</v>
      </c>
      <c r="R11" s="13">
        <f>1/4</f>
        <v>0.25</v>
      </c>
      <c r="S11" s="21">
        <f t="shared" si="2"/>
        <v>7.6380753904792356E-7</v>
      </c>
      <c r="T11" s="62">
        <v>0.01</v>
      </c>
      <c r="U11" s="27">
        <f t="shared" si="3"/>
        <v>7.6380753904792362E-12</v>
      </c>
      <c r="V11" s="51">
        <f t="shared" si="25"/>
        <v>7.6380753904792362</v>
      </c>
      <c r="W11" s="62">
        <v>207.7</v>
      </c>
      <c r="X11" s="30">
        <f t="shared" si="20"/>
        <v>27.192714051879534</v>
      </c>
      <c r="Z11" s="49">
        <v>0.25</v>
      </c>
      <c r="AA11" s="13">
        <f>1/4</f>
        <v>0.25</v>
      </c>
      <c r="AB11" s="66">
        <f t="shared" si="4"/>
        <v>2.9869125899892294E-7</v>
      </c>
      <c r="AC11" s="62">
        <v>0.01</v>
      </c>
      <c r="AD11" s="27">
        <f t="shared" si="5"/>
        <v>2.9869125899892297E-12</v>
      </c>
      <c r="AE11" s="51">
        <f t="shared" si="26"/>
        <v>2.9869125899892297</v>
      </c>
      <c r="AF11" s="64">
        <v>83.5</v>
      </c>
      <c r="AG11" s="30">
        <f t="shared" si="21"/>
        <v>27.955287436215563</v>
      </c>
      <c r="AI11" s="49">
        <v>0.25</v>
      </c>
      <c r="AJ11" s="13">
        <f>1/4</f>
        <v>0.25</v>
      </c>
      <c r="AK11" s="66">
        <f t="shared" si="6"/>
        <v>5.1808972814865785E-7</v>
      </c>
      <c r="AL11" s="62">
        <v>0.01</v>
      </c>
      <c r="AM11" s="27">
        <f t="shared" si="7"/>
        <v>5.1808972814865786E-12</v>
      </c>
      <c r="AN11" s="51">
        <f t="shared" si="27"/>
        <v>5.1808972814865788</v>
      </c>
      <c r="AO11" s="64">
        <v>87.6</v>
      </c>
      <c r="AP11" s="30">
        <f t="shared" si="22"/>
        <v>16.908268054846385</v>
      </c>
      <c r="AR11" s="49">
        <v>0.25</v>
      </c>
      <c r="AS11" s="13">
        <f>1/4</f>
        <v>0.25</v>
      </c>
      <c r="AT11" s="66">
        <f t="shared" si="8"/>
        <v>1.0358946668881873E-6</v>
      </c>
      <c r="AU11" s="62">
        <v>0.01</v>
      </c>
      <c r="AV11" s="27">
        <f t="shared" si="9"/>
        <v>1.0358946668881874E-11</v>
      </c>
      <c r="AW11" s="51">
        <f t="shared" si="28"/>
        <v>10.358946668881874</v>
      </c>
      <c r="AX11" s="67">
        <v>124.4</v>
      </c>
      <c r="AY11" s="30">
        <f t="shared" si="23"/>
        <v>12.008942991635994</v>
      </c>
      <c r="BA11" s="49">
        <v>0.25</v>
      </c>
      <c r="BB11" s="13">
        <f>1/4</f>
        <v>0.25</v>
      </c>
      <c r="BC11" s="66">
        <f t="shared" si="10"/>
        <v>1.1764961213548857E-6</v>
      </c>
      <c r="BD11" s="62">
        <v>0.01</v>
      </c>
      <c r="BE11" s="27">
        <f t="shared" si="11"/>
        <v>1.1764961213548858E-11</v>
      </c>
      <c r="BF11" s="51">
        <f t="shared" si="29"/>
        <v>11.764961213548858</v>
      </c>
      <c r="BG11" s="64">
        <v>209.6</v>
      </c>
      <c r="BH11" s="30">
        <f t="shared" si="24"/>
        <v>17.815613345041783</v>
      </c>
      <c r="BI11" s="7"/>
      <c r="BJ11" s="8"/>
    </row>
    <row r="12" spans="1:67" x14ac:dyDescent="0.2">
      <c r="A12" s="11"/>
      <c r="B12" s="22"/>
      <c r="C12" s="11"/>
      <c r="D12" s="22"/>
      <c r="E12" s="11"/>
      <c r="F12" s="11"/>
      <c r="H12" s="49">
        <v>0.5</v>
      </c>
      <c r="I12" s="13">
        <f>1/2</f>
        <v>0.5</v>
      </c>
      <c r="J12" s="66">
        <f>$E$15*I12</f>
        <v>2.1316709637977772E-6</v>
      </c>
      <c r="K12" s="62">
        <v>0.01</v>
      </c>
      <c r="L12" s="27">
        <f>J12*(K12/1000)</f>
        <v>2.1316709637977772E-11</v>
      </c>
      <c r="M12" s="51">
        <f>L12*10^12</f>
        <v>21.316709637977773</v>
      </c>
      <c r="N12" s="64">
        <v>278.39999999999998</v>
      </c>
      <c r="O12" s="30">
        <f>N12/M12</f>
        <v>13.060176956391222</v>
      </c>
      <c r="Q12" s="49">
        <v>0.5</v>
      </c>
      <c r="R12" s="13">
        <f>1/2</f>
        <v>0.5</v>
      </c>
      <c r="S12" s="21">
        <f t="shared" si="2"/>
        <v>1.5276150780958471E-6</v>
      </c>
      <c r="T12" s="62">
        <v>0.01</v>
      </c>
      <c r="U12" s="27">
        <f>S12*(T12/1000)</f>
        <v>1.5276150780958472E-11</v>
      </c>
      <c r="V12" s="51">
        <f>U12*10^12</f>
        <v>15.276150780958472</v>
      </c>
      <c r="W12" s="62">
        <v>420.8</v>
      </c>
      <c r="X12" s="30">
        <f>W12/V12</f>
        <v>27.546206242250623</v>
      </c>
      <c r="Z12" s="49">
        <v>0.5</v>
      </c>
      <c r="AA12" s="13">
        <f>1/2</f>
        <v>0.5</v>
      </c>
      <c r="AB12" s="66">
        <f t="shared" si="4"/>
        <v>5.9738251799784588E-7</v>
      </c>
      <c r="AC12" s="62">
        <v>0.01</v>
      </c>
      <c r="AD12" s="27">
        <f>AB12*(AC12/1000)</f>
        <v>5.9738251799784595E-12</v>
      </c>
      <c r="AE12" s="51">
        <f>AD12*10^12</f>
        <v>5.9738251799784594</v>
      </c>
      <c r="AF12" s="64">
        <v>168.1</v>
      </c>
      <c r="AG12" s="30">
        <f>AF12/AE12</f>
        <v>28.13942406004692</v>
      </c>
      <c r="AI12" s="49">
        <v>0.5</v>
      </c>
      <c r="AJ12" s="13">
        <f>1/2</f>
        <v>0.5</v>
      </c>
      <c r="AK12" s="66">
        <f t="shared" si="6"/>
        <v>1.0361794562973157E-6</v>
      </c>
      <c r="AL12" s="62">
        <v>0.01</v>
      </c>
      <c r="AM12" s="27">
        <f>AK12*(AL12/1000)</f>
        <v>1.0361794562973157E-11</v>
      </c>
      <c r="AN12" s="51">
        <f>AM12*10^12</f>
        <v>10.361794562973158</v>
      </c>
      <c r="AO12" s="64">
        <v>179</v>
      </c>
      <c r="AP12" s="30">
        <f>AO12/AN12</f>
        <v>17.274999896218624</v>
      </c>
      <c r="AR12" s="49">
        <v>0.5</v>
      </c>
      <c r="AS12" s="13">
        <f>1/2</f>
        <v>0.5</v>
      </c>
      <c r="AT12" s="66">
        <f t="shared" si="8"/>
        <v>2.0717893337763747E-6</v>
      </c>
      <c r="AU12" s="62">
        <v>0.01</v>
      </c>
      <c r="AV12" s="27">
        <f>AT12*(AU12/1000)</f>
        <v>2.0717893337763748E-11</v>
      </c>
      <c r="AW12" s="51">
        <f>AV12*10^12</f>
        <v>20.717893337763748</v>
      </c>
      <c r="AX12" s="67">
        <v>252.6</v>
      </c>
      <c r="AY12" s="30">
        <f>AX12/AW12</f>
        <v>12.192359323501817</v>
      </c>
      <c r="BA12" s="49">
        <v>0.5</v>
      </c>
      <c r="BB12" s="13">
        <f>1/2</f>
        <v>0.5</v>
      </c>
      <c r="BC12" s="66">
        <f t="shared" si="10"/>
        <v>2.3529922427097715E-6</v>
      </c>
      <c r="BD12" s="62">
        <v>0.01</v>
      </c>
      <c r="BE12" s="27">
        <f>BC12*(BD12/1000)</f>
        <v>2.3529922427097715E-11</v>
      </c>
      <c r="BF12" s="51">
        <f>BE12*10^12</f>
        <v>23.529922427097716</v>
      </c>
      <c r="BG12" s="64">
        <v>423.7</v>
      </c>
      <c r="BH12" s="30">
        <f>BG12/BF12</f>
        <v>18.006859194404111</v>
      </c>
      <c r="BI12" s="7"/>
      <c r="BJ12" s="8"/>
    </row>
    <row r="13" spans="1:67" x14ac:dyDescent="0.2">
      <c r="A13" s="46" t="s">
        <v>44</v>
      </c>
      <c r="B13" s="46"/>
      <c r="C13" s="46"/>
      <c r="D13" s="46"/>
      <c r="E13" s="46"/>
      <c r="H13" s="49" t="s">
        <v>15</v>
      </c>
      <c r="I13" s="13">
        <v>1</v>
      </c>
      <c r="J13" s="66">
        <f>$E$15*I13</f>
        <v>4.2633419275955544E-6</v>
      </c>
      <c r="K13" s="62">
        <v>0.01</v>
      </c>
      <c r="L13" s="27">
        <f>J13*(K13/1000)</f>
        <v>4.2633419275955545E-11</v>
      </c>
      <c r="M13" s="51">
        <f>L13*10^12</f>
        <v>42.633419275955546</v>
      </c>
      <c r="N13" s="64">
        <v>528.62900000000002</v>
      </c>
      <c r="O13" s="30">
        <f>N13/M13</f>
        <v>12.399404246192773</v>
      </c>
      <c r="Q13" s="49" t="s">
        <v>15</v>
      </c>
      <c r="R13" s="13">
        <v>1</v>
      </c>
      <c r="S13" s="21">
        <f t="shared" si="2"/>
        <v>3.0552301561916943E-6</v>
      </c>
      <c r="T13" s="62">
        <v>0.01</v>
      </c>
      <c r="U13" s="27">
        <f>S13*(T13/1000)</f>
        <v>3.0552301561916945E-11</v>
      </c>
      <c r="V13" s="51">
        <f>U13*10^12</f>
        <v>30.552301561916945</v>
      </c>
      <c r="W13" s="62">
        <v>815.995</v>
      </c>
      <c r="X13" s="30">
        <f>W13/V13</f>
        <v>26.708135174245839</v>
      </c>
      <c r="Z13" s="49" t="s">
        <v>15</v>
      </c>
      <c r="AA13" s="13">
        <v>1</v>
      </c>
      <c r="AB13" s="66">
        <f t="shared" si="4"/>
        <v>1.1947650359956918E-6</v>
      </c>
      <c r="AC13" s="62">
        <v>0.01</v>
      </c>
      <c r="AD13" s="27">
        <f>AB13*(AC13/1000)</f>
        <v>1.1947650359956919E-11</v>
      </c>
      <c r="AE13" s="51">
        <f>AD13*10^12</f>
        <v>11.947650359956919</v>
      </c>
      <c r="AF13" s="64">
        <v>332.12099999999998</v>
      </c>
      <c r="AG13" s="30">
        <f>AF13/AE13</f>
        <v>27.798018019770506</v>
      </c>
      <c r="AI13" s="49" t="s">
        <v>15</v>
      </c>
      <c r="AJ13" s="13">
        <v>1</v>
      </c>
      <c r="AK13" s="66">
        <f t="shared" si="6"/>
        <v>2.0723589125946314E-6</v>
      </c>
      <c r="AL13" s="62">
        <v>0.01</v>
      </c>
      <c r="AM13" s="27">
        <f>AK13*(AL13/1000)</f>
        <v>2.0723589125946314E-11</v>
      </c>
      <c r="AN13" s="51">
        <f>AM13*10^12</f>
        <v>20.723589125946315</v>
      </c>
      <c r="AO13" s="64">
        <v>345</v>
      </c>
      <c r="AP13" s="30">
        <f>AO13/AN13</f>
        <v>16.64769543071348</v>
      </c>
      <c r="AR13" s="49" t="s">
        <v>15</v>
      </c>
      <c r="AS13" s="13">
        <v>1</v>
      </c>
      <c r="AT13" s="66">
        <f t="shared" si="8"/>
        <v>4.1435786675527494E-6</v>
      </c>
      <c r="AU13" s="62">
        <v>0.01</v>
      </c>
      <c r="AV13" s="27">
        <f>AT13*(AU13/1000)</f>
        <v>4.1435786675527495E-11</v>
      </c>
      <c r="AW13" s="51">
        <f>AV13*10^12</f>
        <v>41.435786675527496</v>
      </c>
      <c r="AX13" s="67">
        <v>485.8</v>
      </c>
      <c r="AY13" s="30">
        <f>AX13/AW13</f>
        <v>11.724165002686426</v>
      </c>
      <c r="BA13" s="49" t="s">
        <v>15</v>
      </c>
      <c r="BB13" s="13">
        <v>1</v>
      </c>
      <c r="BC13" s="66">
        <f t="shared" si="10"/>
        <v>4.7059844854195429E-6</v>
      </c>
      <c r="BD13" s="62">
        <v>0.01</v>
      </c>
      <c r="BE13" s="27">
        <f>BC13*(BD13/1000)</f>
        <v>4.705984485419543E-11</v>
      </c>
      <c r="BF13" s="51">
        <f>BE13*10^12</f>
        <v>47.059844854195433</v>
      </c>
      <c r="BG13" s="64">
        <v>687.09400000000005</v>
      </c>
      <c r="BH13" s="30">
        <f>BG13/BF13</f>
        <v>14.600430624639957</v>
      </c>
      <c r="BI13" s="7"/>
      <c r="BJ13" s="8"/>
    </row>
    <row r="14" spans="1:67" ht="32" x14ac:dyDescent="0.2">
      <c r="A14" s="43" t="s">
        <v>27</v>
      </c>
      <c r="B14" s="43" t="s">
        <v>39</v>
      </c>
      <c r="C14" s="40" t="s">
        <v>41</v>
      </c>
      <c r="D14" s="40" t="s">
        <v>40</v>
      </c>
      <c r="E14" s="43" t="s">
        <v>42</v>
      </c>
      <c r="H14" s="50" t="s">
        <v>15</v>
      </c>
      <c r="I14" s="20">
        <v>1</v>
      </c>
      <c r="J14" s="66">
        <f>$E$15*I14</f>
        <v>4.2633419275955544E-6</v>
      </c>
      <c r="K14" s="62">
        <v>0.02</v>
      </c>
      <c r="L14" s="66">
        <f>J14*(K14/1000)</f>
        <v>8.526683855191109E-11</v>
      </c>
      <c r="M14" s="41">
        <f>L14*10^12</f>
        <v>85.266838551911093</v>
      </c>
      <c r="N14" s="64">
        <v>1030.0999999999999</v>
      </c>
      <c r="O14" s="30">
        <f>N14/M14</f>
        <v>12.080898242437677</v>
      </c>
      <c r="Q14" s="50" t="s">
        <v>15</v>
      </c>
      <c r="R14" s="20">
        <v>1</v>
      </c>
      <c r="S14" s="21">
        <f>$E$16*R14</f>
        <v>3.0552301561916943E-6</v>
      </c>
      <c r="T14" s="62">
        <v>0.02</v>
      </c>
      <c r="U14" s="66">
        <f t="shared" ref="U14" si="30">S14*(T14/1000)</f>
        <v>6.110460312383389E-11</v>
      </c>
      <c r="V14" s="41">
        <f>U14*10^12</f>
        <v>61.10460312383389</v>
      </c>
      <c r="W14" s="62">
        <v>1617.22</v>
      </c>
      <c r="X14" s="30">
        <f>W14/V14</f>
        <v>26.466418523700423</v>
      </c>
      <c r="Z14" s="50" t="s">
        <v>15</v>
      </c>
      <c r="AA14" s="20">
        <v>1</v>
      </c>
      <c r="AB14" s="66">
        <f>$E$17*AA14</f>
        <v>1.1947650359956918E-6</v>
      </c>
      <c r="AC14" s="62">
        <v>0.02</v>
      </c>
      <c r="AD14" s="66">
        <f t="shared" ref="AD14" si="31">AB14*(AC14/1000)</f>
        <v>2.3895300719913838E-11</v>
      </c>
      <c r="AE14" s="41">
        <f>AD14*10^12</f>
        <v>23.895300719913838</v>
      </c>
      <c r="AF14" s="64">
        <v>670.17899999999997</v>
      </c>
      <c r="AG14" s="30">
        <f>AF14/AE14</f>
        <v>28.046476914244774</v>
      </c>
      <c r="AI14" s="50" t="s">
        <v>15</v>
      </c>
      <c r="AJ14" s="20">
        <v>1</v>
      </c>
      <c r="AK14" s="66">
        <f>$E$18*AJ14</f>
        <v>2.0723589125946314E-6</v>
      </c>
      <c r="AL14" s="62">
        <v>0.02</v>
      </c>
      <c r="AM14" s="66">
        <f t="shared" ref="AM14" si="32">AK14*(AL14/1000)</f>
        <v>4.1447178251892629E-11</v>
      </c>
      <c r="AN14" s="41">
        <f>AM14*10^12</f>
        <v>41.44717825189263</v>
      </c>
      <c r="AO14" s="64">
        <v>679.3</v>
      </c>
      <c r="AP14" s="30">
        <f>AO14/AN14</f>
        <v>16.389535516063283</v>
      </c>
      <c r="AR14" s="50" t="s">
        <v>15</v>
      </c>
      <c r="AS14" s="20">
        <v>1</v>
      </c>
      <c r="AT14" s="66">
        <f>$E$19*AS14</f>
        <v>4.1435786675527494E-6</v>
      </c>
      <c r="AU14" s="62">
        <v>0.02</v>
      </c>
      <c r="AV14" s="66">
        <f t="shared" ref="AV14" si="33">AT14*(AU14/1000)</f>
        <v>8.287157335105499E-11</v>
      </c>
      <c r="AW14" s="41">
        <f>AV14*10^12</f>
        <v>82.871573351054991</v>
      </c>
      <c r="AX14" s="67">
        <v>971.3</v>
      </c>
      <c r="AY14" s="30">
        <f>AX14/AW14</f>
        <v>11.720544943504864</v>
      </c>
      <c r="BA14" s="50" t="s">
        <v>15</v>
      </c>
      <c r="BB14" s="20">
        <v>1</v>
      </c>
      <c r="BC14" s="66">
        <f>$E$20*BB14</f>
        <v>4.7059844854195429E-6</v>
      </c>
      <c r="BD14" s="62">
        <v>0.02</v>
      </c>
      <c r="BE14" s="66">
        <f t="shared" ref="BE14" si="34">BC14*(BD14/1000)</f>
        <v>9.4119689708390861E-11</v>
      </c>
      <c r="BF14" s="41">
        <f>BE14*10^12</f>
        <v>94.119689708390865</v>
      </c>
      <c r="BG14" s="64">
        <v>1353.08</v>
      </c>
      <c r="BH14" s="30">
        <f>BG14/BF14</f>
        <v>14.376162991954397</v>
      </c>
      <c r="BI14" s="7"/>
      <c r="BJ14" s="8"/>
    </row>
    <row r="15" spans="1:67" s="4" customFormat="1" x14ac:dyDescent="0.2">
      <c r="A15" s="36" t="s">
        <v>3</v>
      </c>
      <c r="B15" s="61">
        <v>0.6</v>
      </c>
      <c r="C15" s="19">
        <f>B15*E6*(10^-3)</f>
        <v>4.4338756046993771E-9</v>
      </c>
      <c r="D15" s="60">
        <v>1.04</v>
      </c>
      <c r="E15" s="19">
        <f>C15/(D15/1000)</f>
        <v>4.2633419275955544E-6</v>
      </c>
      <c r="H15" s="11"/>
      <c r="I15" s="11"/>
      <c r="J15" s="11"/>
      <c r="K15" s="11"/>
      <c r="L15" s="11"/>
      <c r="M15" s="51"/>
      <c r="N15" s="11"/>
      <c r="O15" s="11"/>
      <c r="Q15" s="11"/>
      <c r="R15" s="11"/>
      <c r="S15" s="11"/>
      <c r="T15" s="11"/>
      <c r="U15" s="11"/>
      <c r="V15" s="51"/>
      <c r="W15" s="11"/>
      <c r="X15" s="30"/>
      <c r="Z15" s="11"/>
      <c r="AA15" s="11"/>
      <c r="AB15" s="11"/>
      <c r="AC15" s="11"/>
      <c r="AD15" s="11"/>
      <c r="AE15" s="51"/>
      <c r="AF15" s="11"/>
      <c r="AG15" s="30"/>
      <c r="AI15" s="11"/>
      <c r="AJ15" s="11"/>
      <c r="AK15" s="11"/>
      <c r="AL15" s="11"/>
      <c r="AM15" s="11"/>
      <c r="AN15" s="51"/>
      <c r="AO15" s="11"/>
      <c r="AP15" s="30"/>
      <c r="AR15" s="11"/>
      <c r="AS15" s="11"/>
      <c r="AT15" s="11"/>
      <c r="AU15" s="11"/>
      <c r="AV15" s="11"/>
      <c r="AW15" s="51"/>
      <c r="AX15" s="11"/>
      <c r="AY15" s="30"/>
      <c r="BA15" s="11"/>
      <c r="BB15" s="11"/>
      <c r="BC15" s="11"/>
      <c r="BD15" s="11"/>
      <c r="BE15" s="11"/>
      <c r="BF15" s="51"/>
      <c r="BG15" s="11"/>
      <c r="BH15" s="30"/>
      <c r="BI15" s="23"/>
      <c r="BJ15" s="24"/>
    </row>
    <row r="16" spans="1:67" x14ac:dyDescent="0.2">
      <c r="A16" s="36" t="s">
        <v>4</v>
      </c>
      <c r="B16" s="61">
        <v>0.5</v>
      </c>
      <c r="C16" s="19">
        <f>B16*E7*(10^-3)</f>
        <v>3.1774393624393624E-9</v>
      </c>
      <c r="D16" s="60">
        <v>1.04</v>
      </c>
      <c r="E16" s="19">
        <f t="shared" ref="E16:E20" si="35">C16/(D16/1000)</f>
        <v>3.0552301561916943E-6</v>
      </c>
      <c r="L16" s="31" t="s">
        <v>48</v>
      </c>
      <c r="M16" s="20">
        <f>SLOPE(N6:N14,M6:M14)</f>
        <v>12.120638507522361</v>
      </c>
      <c r="N16" s="31" t="s">
        <v>49</v>
      </c>
      <c r="O16" s="42">
        <f>AVERAGE(O7:O14)</f>
        <v>12.719127018409814</v>
      </c>
      <c r="P16" s="2"/>
      <c r="U16" s="31" t="s">
        <v>48</v>
      </c>
      <c r="V16" s="20">
        <f>SLOPE(W6:W14,V6:V14)</f>
        <v>26.475326036160276</v>
      </c>
      <c r="W16" s="31" t="s">
        <v>49</v>
      </c>
      <c r="X16" s="42">
        <f>AVERAGE(X7:X14)</f>
        <v>27.3866642519321</v>
      </c>
      <c r="Y16" s="2"/>
      <c r="AD16" s="31" t="s">
        <v>48</v>
      </c>
      <c r="AE16" s="20">
        <f>SLOPE(AF6:AF14,AE6:AE14)</f>
        <v>27.971823230211598</v>
      </c>
      <c r="AF16" s="31" t="s">
        <v>49</v>
      </c>
      <c r="AG16" s="42">
        <f>AVERAGE(AG7:AG14)</f>
        <v>29.183672269871916</v>
      </c>
      <c r="AH16" s="2"/>
      <c r="AM16" s="31" t="s">
        <v>48</v>
      </c>
      <c r="AN16" s="20">
        <f>SLOPE(AO6:AO14,AN6:AN14)</f>
        <v>16.401190135513986</v>
      </c>
      <c r="AO16" s="31" t="s">
        <v>49</v>
      </c>
      <c r="AP16" s="42">
        <f>AVERAGE(AP7:AP14)</f>
        <v>17.332415143778722</v>
      </c>
      <c r="AQ16" s="2"/>
      <c r="AV16" s="31" t="s">
        <v>48</v>
      </c>
      <c r="AW16" s="20">
        <f>SLOPE(AX6:AX14,AW6:AW14)</f>
        <v>11.69939387147207</v>
      </c>
      <c r="AX16" s="31" t="s">
        <v>49</v>
      </c>
      <c r="AY16" s="42">
        <f>AVERAGE(AY7:AY14)</f>
        <v>12.387390011908485</v>
      </c>
      <c r="BE16" s="31" t="s">
        <v>48</v>
      </c>
      <c r="BF16" s="20">
        <f>SLOPE(BG6:BG14,BF6:BF14)</f>
        <v>14.261249493691414</v>
      </c>
      <c r="BG16" s="31" t="s">
        <v>49</v>
      </c>
      <c r="BH16" s="42">
        <f>AVERAGE(BH7:BH14)</f>
        <v>18.777776525568363</v>
      </c>
      <c r="BO16" s="2"/>
    </row>
    <row r="17" spans="1:60" ht="16" x14ac:dyDescent="0.2">
      <c r="A17" s="36" t="s">
        <v>28</v>
      </c>
      <c r="B17" s="61">
        <v>0.2</v>
      </c>
      <c r="C17" s="19">
        <f>B17*E8*(10^-3)</f>
        <v>1.2425556374355196E-9</v>
      </c>
      <c r="D17" s="60">
        <v>1.04</v>
      </c>
      <c r="E17" s="19">
        <f t="shared" si="35"/>
        <v>1.1947650359956918E-6</v>
      </c>
      <c r="J17" s="1"/>
      <c r="K17" s="16"/>
      <c r="L17" s="1"/>
      <c r="M17" s="1"/>
      <c r="N17" s="29" t="s">
        <v>50</v>
      </c>
      <c r="O17" s="65">
        <f>STDEV(O7:O14)</f>
        <v>0.51049492953786646</v>
      </c>
      <c r="S17" s="1"/>
      <c r="T17" s="16"/>
      <c r="U17" s="1"/>
      <c r="V17" s="1"/>
      <c r="W17" s="29" t="s">
        <v>50</v>
      </c>
      <c r="X17" s="65">
        <f>STDEV(X7:X14)</f>
        <v>0.57828337394969087</v>
      </c>
      <c r="AB17" s="1"/>
      <c r="AC17" s="16"/>
      <c r="AD17" s="1"/>
      <c r="AE17" s="1"/>
      <c r="AF17" s="29" t="s">
        <v>50</v>
      </c>
      <c r="AG17" s="65">
        <f>STDEV(AG7:AG14)</f>
        <v>1.7013904571490592</v>
      </c>
      <c r="AK17" s="1"/>
      <c r="AL17" s="16"/>
      <c r="AM17" s="1"/>
      <c r="AN17" s="1"/>
      <c r="AO17" s="29" t="s">
        <v>50</v>
      </c>
      <c r="AP17" s="65">
        <f>STDEV(AP7:AP14)</f>
        <v>0.74345542888783933</v>
      </c>
      <c r="AT17" s="1"/>
      <c r="AU17" s="16"/>
      <c r="AV17" s="1"/>
      <c r="AW17" s="1"/>
      <c r="AX17" s="29" t="s">
        <v>50</v>
      </c>
      <c r="AY17" s="65">
        <f>STDEV(AY7:AY14)</f>
        <v>0.62885115433518679</v>
      </c>
      <c r="BC17" s="1"/>
      <c r="BD17" s="16"/>
      <c r="BE17" s="1"/>
      <c r="BF17" s="1"/>
      <c r="BG17" s="29" t="s">
        <v>50</v>
      </c>
      <c r="BH17" s="65">
        <f>STDEV(BH7:BH14)</f>
        <v>3.6716641782122799</v>
      </c>
    </row>
    <row r="18" spans="1:60" x14ac:dyDescent="0.2">
      <c r="A18" s="36" t="s">
        <v>29</v>
      </c>
      <c r="B18" s="61">
        <v>0.3</v>
      </c>
      <c r="C18" s="19">
        <f>B18*E9*(10^-3)</f>
        <v>2.1552532690984168E-9</v>
      </c>
      <c r="D18" s="60">
        <v>1.04</v>
      </c>
      <c r="E18" s="19">
        <f t="shared" si="35"/>
        <v>2.0723589125946314E-6</v>
      </c>
      <c r="K18" s="17"/>
      <c r="N18" s="31" t="s">
        <v>51</v>
      </c>
      <c r="O18" s="63">
        <f>(O17/O16)*100</f>
        <v>4.0136003736653469</v>
      </c>
      <c r="T18" s="17"/>
      <c r="W18" s="31" t="s">
        <v>51</v>
      </c>
      <c r="X18" s="63">
        <f>(X17/X16)*100</f>
        <v>2.1115509673979136</v>
      </c>
      <c r="AC18" s="17"/>
      <c r="AF18" s="31" t="s">
        <v>51</v>
      </c>
      <c r="AG18" s="63">
        <f>(AG17/AG16)*100</f>
        <v>5.829939568316453</v>
      </c>
      <c r="AL18" s="17"/>
      <c r="AO18" s="31" t="s">
        <v>51</v>
      </c>
      <c r="AP18" s="63">
        <f>(AP17/AP16)*100</f>
        <v>4.2893931556601013</v>
      </c>
      <c r="AU18" s="17"/>
      <c r="AX18" s="31" t="s">
        <v>51</v>
      </c>
      <c r="AY18" s="63">
        <f>(AY17/AY16)*100</f>
        <v>5.0765427885183847</v>
      </c>
      <c r="BD18" s="17"/>
      <c r="BG18" s="31" t="s">
        <v>51</v>
      </c>
      <c r="BH18" s="63">
        <f>(BH17/BH16)*100</f>
        <v>19.553242489667696</v>
      </c>
    </row>
    <row r="19" spans="1:60" x14ac:dyDescent="0.2">
      <c r="A19" s="36" t="s">
        <v>30</v>
      </c>
      <c r="B19" s="61">
        <v>0.8</v>
      </c>
      <c r="C19" s="19">
        <f>B19*E10*(10^-3)</f>
        <v>4.3093218142548597E-9</v>
      </c>
      <c r="D19" s="60">
        <v>1.04</v>
      </c>
      <c r="E19" s="19">
        <f t="shared" si="35"/>
        <v>4.1435786675527494E-6</v>
      </c>
      <c r="K19" s="17"/>
      <c r="T19" s="17"/>
      <c r="AC19" s="17"/>
      <c r="AL19" s="17"/>
      <c r="AU19" s="17"/>
      <c r="BD19" s="17"/>
    </row>
    <row r="20" spans="1:60" ht="15.75" customHeight="1" x14ac:dyDescent="0.2">
      <c r="A20" s="36" t="s">
        <v>31</v>
      </c>
      <c r="B20" s="61">
        <v>1</v>
      </c>
      <c r="C20" s="19">
        <f>B20*E11*(10^-3)</f>
        <v>4.8942238648363248E-9</v>
      </c>
      <c r="D20" s="60">
        <v>1.04</v>
      </c>
      <c r="E20" s="19">
        <f t="shared" si="35"/>
        <v>4.7059844854195429E-6</v>
      </c>
      <c r="J20" s="15"/>
      <c r="K20" s="25"/>
      <c r="L20" s="9"/>
      <c r="M20" s="17"/>
      <c r="N20" s="26"/>
      <c r="S20" s="15"/>
      <c r="T20" s="25"/>
      <c r="U20" s="9"/>
      <c r="V20" s="17"/>
      <c r="W20" s="26"/>
      <c r="AB20" s="15"/>
      <c r="AC20" s="25"/>
      <c r="AD20" s="9"/>
      <c r="AE20" s="17"/>
      <c r="AF20" s="26"/>
      <c r="AK20" s="15"/>
      <c r="AL20" s="25"/>
      <c r="AM20" s="9"/>
      <c r="AN20" s="17"/>
      <c r="AO20" s="26"/>
      <c r="AT20" s="15"/>
      <c r="AU20" s="25"/>
      <c r="AV20" s="9"/>
      <c r="AW20" s="17"/>
      <c r="AX20" s="26"/>
      <c r="BC20" s="15"/>
      <c r="BD20" s="25"/>
      <c r="BE20" s="9"/>
      <c r="BF20" s="17"/>
      <c r="BG20" s="26"/>
    </row>
    <row r="21" spans="1:60" x14ac:dyDescent="0.2">
      <c r="A21" s="37"/>
      <c r="B21" s="22"/>
      <c r="J21" s="15"/>
      <c r="K21" s="25"/>
      <c r="M21" s="17"/>
      <c r="N21" s="26"/>
      <c r="S21" s="15"/>
      <c r="T21" s="25"/>
      <c r="V21" s="17"/>
      <c r="W21" s="26"/>
      <c r="AB21" s="15"/>
      <c r="AC21" s="25"/>
      <c r="AE21" s="17"/>
      <c r="AF21" s="26"/>
      <c r="AK21" s="15"/>
      <c r="AL21" s="25"/>
      <c r="AN21" s="17"/>
      <c r="AO21" s="26"/>
      <c r="AT21" s="15"/>
      <c r="AU21" s="25"/>
      <c r="AW21" s="17"/>
      <c r="AX21" s="26"/>
      <c r="BC21" s="15"/>
      <c r="BD21" s="25"/>
      <c r="BF21" s="17"/>
      <c r="BG21" s="26"/>
    </row>
    <row r="22" spans="1:60" x14ac:dyDescent="0.2">
      <c r="A22" s="68" t="s">
        <v>59</v>
      </c>
      <c r="J22" s="15"/>
      <c r="K22" s="25"/>
      <c r="M22" s="17"/>
      <c r="S22" s="15"/>
      <c r="T22" s="25"/>
      <c r="V22" s="17"/>
      <c r="AB22" s="15"/>
      <c r="AC22" s="25"/>
      <c r="AE22" s="17"/>
      <c r="AK22" s="15"/>
      <c r="AL22" s="25"/>
      <c r="AN22" s="17"/>
      <c r="AT22" s="15"/>
      <c r="AU22" s="25"/>
      <c r="AW22" s="17"/>
      <c r="BC22" s="15"/>
      <c r="BD22" s="25"/>
      <c r="BF22" s="17"/>
    </row>
    <row r="23" spans="1:60" ht="32" x14ac:dyDescent="0.2">
      <c r="A23" s="43" t="s">
        <v>27</v>
      </c>
      <c r="B23" s="18" t="s">
        <v>60</v>
      </c>
      <c r="C23" s="35" t="s">
        <v>61</v>
      </c>
      <c r="J23" s="15"/>
      <c r="K23" s="25"/>
      <c r="M23" s="17"/>
      <c r="S23" s="15"/>
      <c r="T23" s="25"/>
      <c r="V23" s="17"/>
      <c r="AB23" s="15"/>
      <c r="AC23" s="25"/>
      <c r="AE23" s="17"/>
      <c r="AK23" s="15"/>
      <c r="AL23" s="25"/>
      <c r="AN23" s="17"/>
      <c r="AT23" s="15"/>
      <c r="AU23" s="25"/>
      <c r="AW23" s="17"/>
      <c r="BC23" s="15"/>
      <c r="BD23" s="25"/>
      <c r="BF23" s="17"/>
    </row>
    <row r="24" spans="1:60" x14ac:dyDescent="0.2">
      <c r="A24" s="36" t="s">
        <v>3</v>
      </c>
      <c r="B24" s="44">
        <f>N7</f>
        <v>8.9</v>
      </c>
      <c r="C24" s="69">
        <f>N14</f>
        <v>1030.0999999999999</v>
      </c>
      <c r="J24" s="15"/>
      <c r="K24" s="25"/>
      <c r="M24" s="17"/>
      <c r="S24" s="15"/>
      <c r="T24" s="25"/>
      <c r="V24" s="17"/>
      <c r="AB24" s="15"/>
      <c r="AC24" s="25"/>
      <c r="AE24" s="17"/>
      <c r="AK24" s="15"/>
      <c r="AL24" s="25"/>
      <c r="AN24" s="17"/>
      <c r="AT24" s="15"/>
      <c r="AU24" s="25"/>
      <c r="AW24" s="17"/>
      <c r="BC24" s="15"/>
      <c r="BD24" s="25"/>
      <c r="BF24" s="17"/>
    </row>
    <row r="25" spans="1:60" x14ac:dyDescent="0.2">
      <c r="A25" s="36" t="s">
        <v>4</v>
      </c>
      <c r="B25" s="36">
        <f>W7</f>
        <v>13.3</v>
      </c>
      <c r="C25" s="36">
        <f>W14</f>
        <v>1617.22</v>
      </c>
      <c r="J25" s="15"/>
      <c r="K25" s="25"/>
      <c r="M25" s="17"/>
      <c r="S25" s="15"/>
      <c r="T25" s="25"/>
      <c r="V25" s="17"/>
      <c r="AB25" s="15"/>
      <c r="AC25" s="25"/>
      <c r="AE25" s="17"/>
      <c r="AK25" s="15"/>
      <c r="AL25" s="25"/>
      <c r="AN25" s="17"/>
      <c r="AT25" s="15"/>
      <c r="AU25" s="25"/>
      <c r="AW25" s="17"/>
      <c r="BC25" s="15"/>
      <c r="BD25" s="25"/>
      <c r="BF25" s="17"/>
    </row>
    <row r="26" spans="1:60" x14ac:dyDescent="0.2">
      <c r="A26" s="36" t="s">
        <v>28</v>
      </c>
      <c r="B26" s="44">
        <f>AF7</f>
        <v>5.7</v>
      </c>
      <c r="C26" s="69">
        <f>AF14</f>
        <v>670.17899999999997</v>
      </c>
      <c r="J26" s="15"/>
      <c r="K26" s="25"/>
      <c r="M26" s="17"/>
      <c r="S26" s="15"/>
      <c r="T26" s="25"/>
      <c r="V26" s="17"/>
      <c r="AB26" s="15"/>
      <c r="AC26" s="25"/>
      <c r="AE26" s="17"/>
      <c r="AK26" s="15"/>
      <c r="AL26" s="25"/>
      <c r="AN26" s="17"/>
      <c r="AT26" s="15"/>
      <c r="AU26" s="25"/>
      <c r="AW26" s="17"/>
      <c r="BC26" s="15"/>
      <c r="BD26" s="25"/>
      <c r="BF26" s="17"/>
    </row>
    <row r="27" spans="1:60" x14ac:dyDescent="0.2">
      <c r="A27" s="36" t="s">
        <v>29</v>
      </c>
      <c r="B27" s="44">
        <f>AO7</f>
        <v>5.8</v>
      </c>
      <c r="C27" s="69">
        <f>AO14</f>
        <v>679.3</v>
      </c>
      <c r="J27" s="15"/>
      <c r="K27" s="25"/>
      <c r="M27" s="17"/>
      <c r="S27" s="15"/>
      <c r="T27" s="25"/>
      <c r="V27" s="17"/>
      <c r="AB27" s="15"/>
      <c r="AC27" s="25"/>
      <c r="AE27" s="17"/>
      <c r="AK27" s="15"/>
      <c r="AL27" s="25"/>
      <c r="AN27" s="17"/>
      <c r="AT27" s="15"/>
      <c r="AU27" s="25"/>
      <c r="AW27" s="17"/>
      <c r="BC27" s="15"/>
      <c r="BD27" s="25"/>
      <c r="BF27" s="17"/>
    </row>
    <row r="28" spans="1:60" x14ac:dyDescent="0.2">
      <c r="A28" s="36" t="s">
        <v>30</v>
      </c>
      <c r="B28" s="44">
        <f>AX7</f>
        <v>8.4</v>
      </c>
      <c r="C28" s="36">
        <f>AX14</f>
        <v>971.3</v>
      </c>
      <c r="J28" s="15"/>
      <c r="K28" s="25"/>
      <c r="M28" s="17"/>
      <c r="S28" s="15"/>
      <c r="T28" s="25"/>
      <c r="V28" s="17"/>
      <c r="AB28" s="15"/>
      <c r="AC28" s="25"/>
      <c r="AE28" s="17"/>
      <c r="AK28" s="15"/>
      <c r="AL28" s="25"/>
      <c r="AN28" s="17"/>
      <c r="AT28" s="15"/>
      <c r="AU28" s="25"/>
      <c r="AW28" s="17"/>
      <c r="BC28" s="15"/>
      <c r="BD28" s="25"/>
      <c r="BF28" s="17"/>
    </row>
    <row r="29" spans="1:60" x14ac:dyDescent="0.2">
      <c r="A29" s="36" t="s">
        <v>31</v>
      </c>
      <c r="B29" s="44">
        <f>BG7</f>
        <v>16.100000000000001</v>
      </c>
      <c r="C29" s="69">
        <f>BG14</f>
        <v>1353.08</v>
      </c>
      <c r="J29" s="15"/>
      <c r="K29" s="25"/>
      <c r="M29" s="17"/>
      <c r="S29" s="15"/>
      <c r="T29" s="25"/>
      <c r="V29" s="17"/>
      <c r="AB29" s="15"/>
      <c r="AC29" s="25"/>
      <c r="AE29" s="17"/>
      <c r="AK29" s="15"/>
      <c r="AL29" s="25"/>
      <c r="AN29" s="17"/>
      <c r="AT29" s="15"/>
      <c r="AU29" s="25"/>
      <c r="AW29" s="17"/>
      <c r="BC29" s="15"/>
      <c r="BD29" s="25"/>
      <c r="BF29" s="17"/>
    </row>
    <row r="30" spans="1:60" x14ac:dyDescent="0.2">
      <c r="A30" s="11"/>
      <c r="B30" s="11"/>
      <c r="J30" s="15"/>
      <c r="K30" s="25"/>
      <c r="M30" s="17"/>
      <c r="S30" s="15"/>
      <c r="T30" s="25"/>
      <c r="V30" s="17"/>
      <c r="AB30" s="15"/>
      <c r="AC30" s="25"/>
      <c r="AE30" s="17"/>
      <c r="AK30" s="15"/>
      <c r="AL30" s="25"/>
      <c r="AN30" s="17"/>
      <c r="AT30" s="15"/>
      <c r="AU30" s="25"/>
      <c r="AW30" s="17"/>
      <c r="BC30" s="15"/>
      <c r="BD30" s="25"/>
      <c r="BF30" s="17"/>
    </row>
    <row r="31" spans="1:60" ht="16" x14ac:dyDescent="0.2">
      <c r="A31" s="53" t="s">
        <v>18</v>
      </c>
      <c r="B31" s="22"/>
      <c r="J31" s="15"/>
      <c r="K31" s="25"/>
      <c r="M31" s="17"/>
      <c r="S31" s="15"/>
      <c r="T31" s="25"/>
      <c r="V31" s="17"/>
      <c r="AB31" s="15"/>
      <c r="AC31" s="25"/>
      <c r="AE31" s="17"/>
      <c r="AK31" s="15"/>
      <c r="AL31" s="25"/>
      <c r="AN31" s="17"/>
      <c r="AT31" s="15"/>
      <c r="AU31" s="25"/>
      <c r="AW31" s="17"/>
      <c r="BC31" s="15"/>
      <c r="BD31" s="25"/>
      <c r="BF31" s="17"/>
    </row>
    <row r="32" spans="1:60" x14ac:dyDescent="0.2">
      <c r="A32" s="37"/>
      <c r="B32" s="22"/>
      <c r="J32" s="15"/>
      <c r="K32" s="25"/>
      <c r="M32" s="17"/>
      <c r="S32" s="15"/>
      <c r="T32" s="25"/>
      <c r="V32" s="17"/>
      <c r="AB32" s="15"/>
      <c r="AC32" s="25"/>
      <c r="AE32" s="17"/>
      <c r="AK32" s="15"/>
      <c r="AL32" s="25"/>
      <c r="AN32" s="17"/>
      <c r="AT32" s="15"/>
      <c r="AU32" s="25"/>
      <c r="AW32" s="17"/>
      <c r="BC32" s="15"/>
      <c r="BD32" s="25"/>
      <c r="BF32" s="17"/>
    </row>
    <row r="33" spans="1:58" x14ac:dyDescent="0.2">
      <c r="B33" s="21"/>
      <c r="J33" s="15"/>
      <c r="K33" s="25"/>
      <c r="M33" s="17"/>
      <c r="S33" s="15"/>
      <c r="T33" s="25"/>
      <c r="V33" s="17"/>
      <c r="AB33" s="15"/>
      <c r="AC33" s="25"/>
      <c r="AE33" s="17"/>
      <c r="AK33" s="15"/>
      <c r="AL33" s="25"/>
      <c r="AN33" s="17"/>
      <c r="AT33" s="15"/>
      <c r="AU33" s="25"/>
      <c r="AW33" s="17"/>
      <c r="BC33" s="15"/>
      <c r="BD33" s="25"/>
      <c r="BF33" s="17"/>
    </row>
    <row r="34" spans="1:58" x14ac:dyDescent="0.2">
      <c r="A34" s="38"/>
      <c r="B34" s="11"/>
      <c r="J34" s="15"/>
      <c r="K34" s="25"/>
      <c r="M34" s="17"/>
      <c r="S34" s="15"/>
      <c r="T34" s="25"/>
      <c r="V34" s="17"/>
      <c r="AB34" s="15"/>
      <c r="AC34" s="25"/>
      <c r="AE34" s="17"/>
      <c r="AK34" s="15"/>
      <c r="AL34" s="25"/>
      <c r="AN34" s="17"/>
      <c r="AT34" s="15"/>
      <c r="AU34" s="25"/>
      <c r="AW34" s="17"/>
      <c r="BC34" s="15"/>
      <c r="BD34" s="25"/>
      <c r="BF34" s="17"/>
    </row>
    <row r="35" spans="1:58" x14ac:dyDescent="0.2">
      <c r="A35" s="11"/>
      <c r="B35" s="11"/>
      <c r="J35" s="15"/>
      <c r="K35" s="25"/>
      <c r="M35" s="17"/>
      <c r="S35" s="15"/>
      <c r="T35" s="25"/>
      <c r="V35" s="17"/>
      <c r="AB35" s="15"/>
      <c r="AC35" s="25"/>
      <c r="AE35" s="17"/>
      <c r="AK35" s="15"/>
      <c r="AL35" s="25"/>
      <c r="AN35" s="17"/>
      <c r="AT35" s="15"/>
      <c r="AU35" s="25"/>
      <c r="AW35" s="17"/>
      <c r="BC35" s="15"/>
      <c r="BD35" s="25"/>
      <c r="BF35" s="17"/>
    </row>
    <row r="36" spans="1:58" x14ac:dyDescent="0.2">
      <c r="A36" s="11"/>
      <c r="B36" s="11"/>
      <c r="J36" s="15"/>
      <c r="K36" s="25"/>
      <c r="M36" s="17"/>
      <c r="S36" s="15"/>
      <c r="T36" s="25"/>
      <c r="V36" s="17"/>
      <c r="AB36" s="15"/>
      <c r="AC36" s="25"/>
      <c r="AE36" s="17"/>
      <c r="AK36" s="15"/>
      <c r="AL36" s="25"/>
      <c r="AN36" s="17"/>
      <c r="AT36" s="15"/>
      <c r="AU36" s="25"/>
      <c r="AW36" s="17"/>
      <c r="BC36" s="15"/>
      <c r="BD36" s="25"/>
      <c r="BF36" s="17"/>
    </row>
    <row r="37" spans="1:58" x14ac:dyDescent="0.2">
      <c r="A37" s="11"/>
      <c r="B37" s="11"/>
      <c r="J37" s="15"/>
      <c r="K37" s="25"/>
      <c r="M37" s="17"/>
      <c r="S37" s="15"/>
      <c r="T37" s="25"/>
      <c r="V37" s="17"/>
      <c r="AB37" s="15"/>
      <c r="AC37" s="25"/>
      <c r="AE37" s="17"/>
      <c r="AK37" s="15"/>
      <c r="AL37" s="25"/>
      <c r="AN37" s="17"/>
      <c r="AT37" s="15"/>
      <c r="AU37" s="25"/>
      <c r="AW37" s="17"/>
      <c r="BC37" s="15"/>
      <c r="BD37" s="25"/>
      <c r="BF37" s="17"/>
    </row>
    <row r="38" spans="1:58" x14ac:dyDescent="0.2">
      <c r="A38" s="11"/>
      <c r="B38" s="11"/>
      <c r="J38" s="15"/>
      <c r="K38" s="25"/>
      <c r="M38" s="17"/>
      <c r="S38" s="15"/>
      <c r="T38" s="25"/>
      <c r="V38" s="17"/>
      <c r="AB38" s="15"/>
      <c r="AC38" s="25"/>
      <c r="AE38" s="17"/>
      <c r="AK38" s="15"/>
      <c r="AL38" s="25"/>
      <c r="AN38" s="17"/>
      <c r="AT38" s="15"/>
      <c r="AU38" s="25"/>
      <c r="AW38" s="17"/>
      <c r="BC38" s="15"/>
      <c r="BD38" s="25"/>
      <c r="BF38" s="17"/>
    </row>
    <row r="39" spans="1:58" x14ac:dyDescent="0.2">
      <c r="A39" s="11"/>
      <c r="B39" s="11"/>
      <c r="J39" s="15"/>
      <c r="K39" s="25"/>
      <c r="M39" s="17"/>
      <c r="S39" s="15"/>
      <c r="T39" s="25"/>
      <c r="V39" s="17"/>
      <c r="AB39" s="15"/>
      <c r="AC39" s="25"/>
      <c r="AE39" s="17"/>
      <c r="AK39" s="15"/>
      <c r="AL39" s="25"/>
      <c r="AN39" s="17"/>
      <c r="AT39" s="15"/>
      <c r="AU39" s="25"/>
      <c r="AW39" s="17"/>
      <c r="BC39" s="15"/>
      <c r="BD39" s="25"/>
      <c r="BF39" s="17"/>
    </row>
    <row r="40" spans="1:58" x14ac:dyDescent="0.2">
      <c r="J40" s="15"/>
      <c r="K40" s="25"/>
      <c r="M40" s="17"/>
      <c r="S40" s="15"/>
      <c r="T40" s="25"/>
      <c r="V40" s="17"/>
      <c r="AB40" s="15"/>
      <c r="AC40" s="25"/>
      <c r="AE40" s="17"/>
      <c r="AK40" s="15"/>
      <c r="AL40" s="25"/>
      <c r="AN40" s="17"/>
      <c r="AT40" s="15"/>
      <c r="AU40" s="25"/>
      <c r="AW40" s="17"/>
      <c r="BC40" s="15"/>
      <c r="BD40" s="25"/>
      <c r="BF40" s="17"/>
    </row>
    <row r="41" spans="1:58" x14ac:dyDescent="0.2">
      <c r="K41" s="25"/>
      <c r="T41" s="25"/>
      <c r="AC41" s="25"/>
      <c r="AL41" s="25"/>
      <c r="AU41" s="25"/>
      <c r="BD41" s="25"/>
    </row>
    <row r="43" spans="1:58" x14ac:dyDescent="0.2">
      <c r="H43" s="11"/>
      <c r="I43" s="11"/>
      <c r="Q43" s="11"/>
      <c r="R43" s="11"/>
      <c r="Z43" s="11"/>
      <c r="AA43" s="11"/>
      <c r="AI43" s="11"/>
      <c r="AJ43" s="11"/>
      <c r="AR43" s="11"/>
      <c r="AS43" s="11"/>
      <c r="BA43" s="11"/>
      <c r="BB43" s="11"/>
    </row>
    <row r="44" spans="1:58" x14ac:dyDescent="0.2">
      <c r="H44" s="11"/>
      <c r="I44" s="11"/>
      <c r="Q44" s="11"/>
      <c r="R44" s="11"/>
      <c r="Z44" s="11"/>
      <c r="AA44" s="11"/>
      <c r="AI44" s="11"/>
      <c r="AJ44" s="11"/>
      <c r="AR44" s="11"/>
      <c r="AS44" s="11"/>
      <c r="BA44" s="11"/>
      <c r="BB44" s="11"/>
    </row>
    <row r="45" spans="1:58" x14ac:dyDescent="0.2">
      <c r="H45" s="11"/>
      <c r="I45" s="11"/>
      <c r="J45" s="11"/>
      <c r="Q45" s="11"/>
      <c r="R45" s="11"/>
      <c r="S45" s="11"/>
      <c r="Z45" s="11"/>
      <c r="AA45" s="11"/>
      <c r="AB45" s="11"/>
      <c r="AI45" s="11"/>
      <c r="AJ45" s="11"/>
      <c r="AK45" s="11"/>
      <c r="AR45" s="11"/>
      <c r="AS45" s="11"/>
      <c r="AT45" s="11"/>
      <c r="BA45" s="11"/>
      <c r="BB45" s="11"/>
      <c r="BC45" s="11"/>
    </row>
    <row r="46" spans="1:58" x14ac:dyDescent="0.2">
      <c r="H46" s="11"/>
      <c r="I46" s="11"/>
      <c r="J46" s="11"/>
      <c r="Q46" s="11"/>
      <c r="R46" s="11"/>
      <c r="S46" s="11"/>
      <c r="Z46" s="11"/>
      <c r="AA46" s="11"/>
      <c r="AB46" s="11"/>
      <c r="AI46" s="11"/>
      <c r="AJ46" s="11"/>
      <c r="AK46" s="11"/>
      <c r="AR46" s="11"/>
      <c r="AS46" s="11"/>
      <c r="AT46" s="11"/>
      <c r="BA46" s="11"/>
      <c r="BB46" s="11"/>
      <c r="BC46" s="11"/>
    </row>
    <row r="47" spans="1:58" x14ac:dyDescent="0.2">
      <c r="H47" s="11"/>
      <c r="I47" s="11"/>
      <c r="J47" s="11"/>
      <c r="Q47" s="11"/>
      <c r="R47" s="11"/>
      <c r="S47" s="11"/>
      <c r="Z47" s="11"/>
      <c r="AA47" s="11"/>
      <c r="AB47" s="11"/>
      <c r="AI47" s="11"/>
      <c r="AJ47" s="11"/>
      <c r="AK47" s="11"/>
      <c r="AR47" s="11"/>
      <c r="AS47" s="11"/>
      <c r="AT47" s="11"/>
      <c r="BA47" s="11"/>
      <c r="BB47" s="11"/>
      <c r="BC47" s="11"/>
    </row>
    <row r="48" spans="1:58" x14ac:dyDescent="0.2">
      <c r="H48" s="11"/>
      <c r="I48" s="11"/>
      <c r="J48" s="11"/>
      <c r="Q48" s="11"/>
      <c r="R48" s="11"/>
      <c r="S48" s="11"/>
      <c r="Z48" s="11"/>
      <c r="AA48" s="11"/>
      <c r="AB48" s="11"/>
      <c r="AI48" s="11"/>
      <c r="AJ48" s="11"/>
      <c r="AK48" s="11"/>
      <c r="AR48" s="11"/>
      <c r="AS48" s="11"/>
      <c r="AT48" s="11"/>
      <c r="BA48" s="11"/>
      <c r="BB48" s="11"/>
      <c r="BC48" s="11"/>
    </row>
    <row r="56" spans="10:55" ht="16" x14ac:dyDescent="0.2">
      <c r="J56" s="12"/>
      <c r="S56" s="12"/>
      <c r="AB56" s="12"/>
      <c r="AK56" s="12"/>
      <c r="AT56" s="12"/>
      <c r="BC56" s="12"/>
    </row>
    <row r="57" spans="10:55" x14ac:dyDescent="0.2">
      <c r="J57" s="14"/>
      <c r="S57" s="14"/>
      <c r="AB57" s="14"/>
      <c r="AK57" s="14"/>
      <c r="AT57" s="14"/>
      <c r="BC57" s="14"/>
    </row>
    <row r="58" spans="10:55" x14ac:dyDescent="0.2">
      <c r="J58" s="14"/>
      <c r="S58" s="14"/>
      <c r="AB58" s="14"/>
      <c r="AK58" s="14"/>
      <c r="AT58" s="14"/>
      <c r="BC58" s="14"/>
    </row>
    <row r="59" spans="10:55" x14ac:dyDescent="0.2">
      <c r="J59" s="14"/>
      <c r="S59" s="14"/>
      <c r="AB59" s="14"/>
      <c r="AK59" s="14"/>
      <c r="AT59" s="14"/>
      <c r="BC59" s="14"/>
    </row>
    <row r="60" spans="10:55" x14ac:dyDescent="0.2">
      <c r="J60" s="14"/>
      <c r="S60" s="14"/>
      <c r="AB60" s="14"/>
      <c r="AK60" s="14"/>
      <c r="AT60" s="14"/>
      <c r="BC60" s="14"/>
    </row>
    <row r="61" spans="10:55" x14ac:dyDescent="0.2">
      <c r="J61" s="14"/>
      <c r="S61" s="14"/>
      <c r="AB61" s="14"/>
      <c r="AK61" s="14"/>
      <c r="AT61" s="14"/>
      <c r="BC61" s="14"/>
    </row>
    <row r="62" spans="10:55" x14ac:dyDescent="0.2">
      <c r="J62" s="14"/>
      <c r="S62" s="14"/>
      <c r="AB62" s="14"/>
      <c r="AK62" s="14"/>
      <c r="AT62" s="14"/>
      <c r="BC62" s="14"/>
    </row>
    <row r="63" spans="10:55" x14ac:dyDescent="0.2">
      <c r="J63" s="14"/>
      <c r="S63" s="14"/>
      <c r="AB63" s="14"/>
      <c r="AK63" s="14"/>
      <c r="AT63" s="14"/>
      <c r="BC63" s="14"/>
    </row>
    <row r="64" spans="10:55" x14ac:dyDescent="0.2">
      <c r="J64" s="14"/>
      <c r="S64" s="14"/>
      <c r="AB64" s="14"/>
      <c r="AK64" s="14"/>
      <c r="AT64" s="14"/>
      <c r="BC64" s="14"/>
    </row>
  </sheetData>
  <mergeCells count="8">
    <mergeCell ref="A4:F4"/>
    <mergeCell ref="A13:E13"/>
    <mergeCell ref="H4:O4"/>
    <mergeCell ref="Q4:X4"/>
    <mergeCell ref="Z4:AG4"/>
    <mergeCell ref="AI4:AP4"/>
    <mergeCell ref="AR4:AY4"/>
    <mergeCell ref="BA4:BH4"/>
  </mergeCells>
  <pageMargins left="0.7" right="0.7" top="0.75" bottom="0.75" header="0.3" footer="0.3"/>
  <pageSetup orientation="portrait" verticalDpi="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9"/>
  <sheetViews>
    <sheetView zoomScale="120" zoomScaleNormal="120" workbookViewId="0">
      <selection activeCell="G19" sqref="G19"/>
    </sheetView>
  </sheetViews>
  <sheetFormatPr baseColWidth="10" defaultColWidth="8.83203125" defaultRowHeight="15" x14ac:dyDescent="0.2"/>
  <cols>
    <col min="1" max="1" width="18.1640625" style="11" bestFit="1" customWidth="1"/>
    <col min="2" max="2" width="12" style="11" bestFit="1" customWidth="1"/>
    <col min="3" max="8" width="8.83203125" style="11"/>
    <col min="9" max="9" width="13.33203125" style="11" customWidth="1"/>
    <col min="10" max="16384" width="8.83203125" style="11"/>
  </cols>
  <sheetData>
    <row r="1" spans="1:9" s="77" customFormat="1" ht="48" x14ac:dyDescent="0.2">
      <c r="A1" s="40" t="s">
        <v>27</v>
      </c>
      <c r="B1" s="40" t="s">
        <v>76</v>
      </c>
      <c r="C1" s="88" t="s">
        <v>0</v>
      </c>
      <c r="D1" s="40" t="s">
        <v>1</v>
      </c>
      <c r="E1" s="88" t="s">
        <v>2</v>
      </c>
      <c r="F1" s="40" t="s">
        <v>63</v>
      </c>
      <c r="G1" s="40" t="s">
        <v>64</v>
      </c>
    </row>
    <row r="2" spans="1:9" x14ac:dyDescent="0.2">
      <c r="A2" s="36" t="s">
        <v>3</v>
      </c>
      <c r="B2" s="70">
        <f>StdCurves!M16</f>
        <v>12.120638507522361</v>
      </c>
      <c r="C2" s="36">
        <v>144800</v>
      </c>
      <c r="D2" s="36">
        <v>568.87</v>
      </c>
      <c r="E2" s="36">
        <v>450</v>
      </c>
      <c r="F2" s="60"/>
      <c r="G2" s="60"/>
    </row>
    <row r="3" spans="1:9" x14ac:dyDescent="0.2">
      <c r="A3" s="36" t="s">
        <v>4</v>
      </c>
      <c r="B3" s="70">
        <f>StdCurves!V16</f>
        <v>26.475326036160276</v>
      </c>
      <c r="C3" s="36">
        <v>144300</v>
      </c>
      <c r="D3" s="36">
        <v>568.87</v>
      </c>
      <c r="E3" s="36">
        <v>450</v>
      </c>
      <c r="F3" s="60"/>
      <c r="G3" s="60"/>
      <c r="I3" s="27"/>
    </row>
    <row r="4" spans="1:9" x14ac:dyDescent="0.2">
      <c r="A4" s="89" t="s">
        <v>5</v>
      </c>
      <c r="B4" s="70">
        <f>StdCurves!AE16</f>
        <v>27.971823230211598</v>
      </c>
      <c r="C4" s="36">
        <v>135700</v>
      </c>
      <c r="D4" s="36">
        <v>552.85</v>
      </c>
      <c r="E4" s="36">
        <v>450</v>
      </c>
      <c r="F4" s="60"/>
      <c r="G4" s="60"/>
    </row>
    <row r="5" spans="1:9" x14ac:dyDescent="0.2">
      <c r="A5" s="89" t="s">
        <v>6</v>
      </c>
      <c r="B5" s="70">
        <f>StdCurves!AN16</f>
        <v>16.401190135513986</v>
      </c>
      <c r="C5" s="36">
        <v>145300</v>
      </c>
      <c r="D5" s="36">
        <v>536.89</v>
      </c>
      <c r="E5" s="36">
        <v>450</v>
      </c>
      <c r="F5" s="60"/>
      <c r="G5" s="60"/>
    </row>
    <row r="6" spans="1:9" x14ac:dyDescent="0.2">
      <c r="A6" s="89" t="s">
        <v>7</v>
      </c>
      <c r="B6" s="70">
        <f>StdCurves!AW16</f>
        <v>11.69939387147207</v>
      </c>
      <c r="C6" s="36">
        <v>138900</v>
      </c>
      <c r="D6" s="36">
        <v>536.89</v>
      </c>
      <c r="E6" s="36">
        <v>450</v>
      </c>
      <c r="F6" s="60"/>
      <c r="G6" s="60"/>
    </row>
    <row r="7" spans="1:9" x14ac:dyDescent="0.2">
      <c r="A7" s="89" t="s">
        <v>8</v>
      </c>
      <c r="B7" s="70">
        <f>StdCurves!BF16</f>
        <v>14.261249493691414</v>
      </c>
      <c r="C7" s="36">
        <v>184900</v>
      </c>
      <c r="D7" s="36">
        <v>536.89</v>
      </c>
      <c r="E7" s="36">
        <v>450</v>
      </c>
      <c r="F7" s="60"/>
      <c r="G7" s="60"/>
    </row>
    <row r="8" spans="1:9" x14ac:dyDescent="0.2">
      <c r="A8" s="78"/>
      <c r="B8" s="51"/>
    </row>
    <row r="9" spans="1:9" x14ac:dyDescent="0.2">
      <c r="A9" s="90" t="s">
        <v>77</v>
      </c>
      <c r="B9" s="27"/>
    </row>
  </sheetData>
  <pageMargins left="0.7" right="0.7" top="0.75" bottom="0.75" header="0.3" footer="0.3"/>
  <pageSetup orientation="portrait" verticalDpi="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6EA9-10F9-1C4A-A782-396297F060A1}">
  <dimension ref="A1:K104"/>
  <sheetViews>
    <sheetView zoomScale="120" zoomScaleNormal="120" workbookViewId="0">
      <selection activeCell="C2" sqref="C2"/>
    </sheetView>
  </sheetViews>
  <sheetFormatPr baseColWidth="10" defaultRowHeight="15" x14ac:dyDescent="0.2"/>
  <cols>
    <col min="1" max="1" width="10.83203125" style="28"/>
    <col min="2" max="2" width="11.83203125" style="11" bestFit="1" customWidth="1"/>
    <col min="3" max="3" width="11.83203125" style="11" customWidth="1"/>
    <col min="4" max="4" width="12.5" style="11" customWidth="1"/>
    <col min="5" max="5" width="11.83203125" style="11" customWidth="1"/>
    <col min="6" max="10" width="10.83203125" style="11"/>
    <col min="11" max="11" width="10.83203125" style="22"/>
    <col min="12" max="16384" width="10.83203125" style="11"/>
  </cols>
  <sheetData>
    <row r="1" spans="1:11" x14ac:dyDescent="0.2">
      <c r="A1" s="71" t="s">
        <v>62</v>
      </c>
      <c r="C1" s="62"/>
    </row>
    <row r="2" spans="1:11" x14ac:dyDescent="0.2">
      <c r="A2" s="71" t="s">
        <v>26</v>
      </c>
      <c r="B2" s="62"/>
      <c r="C2" s="22"/>
    </row>
    <row r="3" spans="1:11" x14ac:dyDescent="0.2">
      <c r="A3" s="71" t="s">
        <v>78</v>
      </c>
    </row>
    <row r="4" spans="1:11" x14ac:dyDescent="0.2">
      <c r="A4" s="72"/>
    </row>
    <row r="5" spans="1:11" ht="40" customHeight="1" x14ac:dyDescent="0.2">
      <c r="A5" s="82" t="s">
        <v>3</v>
      </c>
      <c r="B5" s="82"/>
      <c r="C5" s="82"/>
      <c r="D5" s="82"/>
      <c r="E5" s="82"/>
      <c r="F5" s="82"/>
      <c r="G5" s="82"/>
      <c r="H5" s="82"/>
      <c r="I5" s="82"/>
      <c r="J5" s="82"/>
      <c r="K5" s="79"/>
    </row>
    <row r="6" spans="1:11" ht="60" x14ac:dyDescent="0.2">
      <c r="A6" s="73" t="s">
        <v>9</v>
      </c>
      <c r="B6" s="73" t="s">
        <v>16</v>
      </c>
      <c r="C6" s="73" t="s">
        <v>68</v>
      </c>
      <c r="D6" s="73" t="s">
        <v>69</v>
      </c>
      <c r="E6" s="73" t="s">
        <v>67</v>
      </c>
      <c r="F6" s="73" t="s">
        <v>19</v>
      </c>
      <c r="G6" s="74" t="s">
        <v>11</v>
      </c>
      <c r="H6" s="74" t="s">
        <v>75</v>
      </c>
      <c r="I6" s="74" t="s">
        <v>70</v>
      </c>
      <c r="J6" s="80" t="s">
        <v>17</v>
      </c>
      <c r="K6" s="80"/>
    </row>
    <row r="7" spans="1:11" x14ac:dyDescent="0.2">
      <c r="A7" s="28">
        <v>1</v>
      </c>
      <c r="B7" s="75"/>
      <c r="C7" s="83">
        <v>0.5</v>
      </c>
      <c r="D7" s="83">
        <v>0.3</v>
      </c>
      <c r="E7" s="83">
        <v>0.01</v>
      </c>
      <c r="F7" s="62">
        <v>98.4</v>
      </c>
      <c r="G7" s="30">
        <f>F7/StdsSummary!$B$2</f>
        <v>8.118384187345459</v>
      </c>
      <c r="H7" s="30">
        <f>G7*(D7/E7)</f>
        <v>243.55152562036378</v>
      </c>
      <c r="I7" s="30">
        <f>H7/C7</f>
        <v>487.10305124072755</v>
      </c>
      <c r="J7" s="30">
        <f>I7</f>
        <v>487.10305124072755</v>
      </c>
      <c r="K7" s="42"/>
    </row>
    <row r="8" spans="1:11" x14ac:dyDescent="0.2">
      <c r="A8" s="28">
        <v>2</v>
      </c>
      <c r="B8" s="75"/>
      <c r="C8" s="83">
        <v>0.5</v>
      </c>
      <c r="D8" s="83">
        <v>0.3</v>
      </c>
      <c r="E8" s="83">
        <v>0.01</v>
      </c>
      <c r="F8" s="62">
        <v>80.599999999999994</v>
      </c>
      <c r="G8" s="30">
        <f>F8/StdsSummary!$B$2</f>
        <v>6.6498146900410964</v>
      </c>
      <c r="H8" s="30">
        <f t="shared" ref="H8:H16" si="0">G8*(D8/E8)</f>
        <v>199.49444070123289</v>
      </c>
      <c r="I8" s="30">
        <f t="shared" ref="I8:I16" si="1">H8/C8</f>
        <v>398.98888140246578</v>
      </c>
      <c r="J8" s="30">
        <f t="shared" ref="J8:J16" si="2">I8</f>
        <v>398.98888140246578</v>
      </c>
      <c r="K8" s="42"/>
    </row>
    <row r="9" spans="1:11" x14ac:dyDescent="0.2">
      <c r="A9" s="28">
        <v>3</v>
      </c>
      <c r="B9" s="76"/>
      <c r="C9" s="83">
        <v>0.5</v>
      </c>
      <c r="D9" s="83">
        <v>0.3</v>
      </c>
      <c r="E9" s="83">
        <v>0.01</v>
      </c>
      <c r="F9" s="62">
        <v>64.400000000000006</v>
      </c>
      <c r="G9" s="30">
        <f>F9/StdsSummary!$B$2</f>
        <v>5.3132514396854429</v>
      </c>
      <c r="H9" s="30">
        <f t="shared" si="0"/>
        <v>159.39754319056328</v>
      </c>
      <c r="I9" s="30">
        <f t="shared" si="1"/>
        <v>318.79508638112657</v>
      </c>
      <c r="J9" s="30">
        <f t="shared" si="2"/>
        <v>318.79508638112657</v>
      </c>
      <c r="K9" s="42"/>
    </row>
    <row r="10" spans="1:11" x14ac:dyDescent="0.2">
      <c r="A10" s="28">
        <v>4</v>
      </c>
      <c r="B10" s="75"/>
      <c r="C10" s="83">
        <v>0.5</v>
      </c>
      <c r="D10" s="83">
        <v>0.3</v>
      </c>
      <c r="E10" s="83">
        <v>0.01</v>
      </c>
      <c r="F10" s="62">
        <v>37</v>
      </c>
      <c r="G10" s="30">
        <f>F10/StdsSummary!$B$2</f>
        <v>3.0526444606888412</v>
      </c>
      <c r="H10" s="30">
        <f t="shared" si="0"/>
        <v>91.579333820665241</v>
      </c>
      <c r="I10" s="30">
        <f t="shared" si="1"/>
        <v>183.15866764133048</v>
      </c>
      <c r="J10" s="30">
        <f t="shared" si="2"/>
        <v>183.15866764133048</v>
      </c>
      <c r="K10" s="42"/>
    </row>
    <row r="11" spans="1:11" x14ac:dyDescent="0.2">
      <c r="A11" s="28">
        <v>5</v>
      </c>
      <c r="B11" s="75"/>
      <c r="C11" s="83">
        <v>0.5</v>
      </c>
      <c r="D11" s="83">
        <v>0.3</v>
      </c>
      <c r="E11" s="83">
        <v>0.01</v>
      </c>
      <c r="F11" s="62">
        <v>98.6</v>
      </c>
      <c r="G11" s="30">
        <f>F11/StdsSummary!$B$2</f>
        <v>8.1348849682140472</v>
      </c>
      <c r="H11" s="30">
        <f t="shared" si="0"/>
        <v>244.0465490464214</v>
      </c>
      <c r="I11" s="30">
        <f t="shared" si="1"/>
        <v>488.09309809284281</v>
      </c>
      <c r="J11" s="30">
        <f t="shared" si="2"/>
        <v>488.09309809284281</v>
      </c>
      <c r="K11" s="42"/>
    </row>
    <row r="12" spans="1:11" x14ac:dyDescent="0.2">
      <c r="A12" s="28">
        <v>6</v>
      </c>
      <c r="B12" s="75"/>
      <c r="C12" s="83">
        <v>0.5</v>
      </c>
      <c r="D12" s="83">
        <v>0.3</v>
      </c>
      <c r="E12" s="83">
        <v>0.01</v>
      </c>
      <c r="F12" s="62">
        <v>48.9</v>
      </c>
      <c r="G12" s="30">
        <f>F12/StdsSummary!$B$2</f>
        <v>4.0344409223698463</v>
      </c>
      <c r="H12" s="30">
        <f t="shared" si="0"/>
        <v>121.03322767109539</v>
      </c>
      <c r="I12" s="30">
        <f t="shared" si="1"/>
        <v>242.06645534219078</v>
      </c>
      <c r="J12" s="30">
        <f t="shared" si="2"/>
        <v>242.06645534219078</v>
      </c>
      <c r="K12" s="42"/>
    </row>
    <row r="13" spans="1:11" x14ac:dyDescent="0.2">
      <c r="A13" s="28">
        <v>7</v>
      </c>
      <c r="B13" s="75"/>
      <c r="C13" s="83">
        <v>0.5</v>
      </c>
      <c r="D13" s="83">
        <v>0.3</v>
      </c>
      <c r="E13" s="83">
        <v>0.01</v>
      </c>
      <c r="F13" s="62">
        <v>86.7</v>
      </c>
      <c r="G13" s="30">
        <f>F13/StdsSummary!$B$2</f>
        <v>7.1530885065330416</v>
      </c>
      <c r="H13" s="30">
        <f t="shared" si="0"/>
        <v>214.59265519599126</v>
      </c>
      <c r="I13" s="30">
        <f t="shared" si="1"/>
        <v>429.18531039198251</v>
      </c>
      <c r="J13" s="30">
        <f t="shared" si="2"/>
        <v>429.18531039198251</v>
      </c>
      <c r="K13" s="42"/>
    </row>
    <row r="14" spans="1:11" x14ac:dyDescent="0.2">
      <c r="A14" s="28">
        <v>8</v>
      </c>
      <c r="B14" s="75"/>
      <c r="C14" s="83">
        <v>0.5</v>
      </c>
      <c r="D14" s="83">
        <v>0.3</v>
      </c>
      <c r="E14" s="83">
        <v>0.01</v>
      </c>
      <c r="F14" s="62">
        <v>105.1</v>
      </c>
      <c r="G14" s="30">
        <f>F14/StdsSummary!$B$2</f>
        <v>8.6711603464431679</v>
      </c>
      <c r="H14" s="30">
        <f t="shared" si="0"/>
        <v>260.13481039329503</v>
      </c>
      <c r="I14" s="30">
        <f t="shared" si="1"/>
        <v>520.26962078659005</v>
      </c>
      <c r="J14" s="30">
        <f t="shared" si="2"/>
        <v>520.26962078659005</v>
      </c>
      <c r="K14" s="42"/>
    </row>
    <row r="15" spans="1:11" x14ac:dyDescent="0.2">
      <c r="A15" s="28">
        <v>9</v>
      </c>
      <c r="B15" s="75"/>
      <c r="C15" s="83">
        <v>0.5</v>
      </c>
      <c r="D15" s="83">
        <v>0.3</v>
      </c>
      <c r="E15" s="83">
        <v>0.01</v>
      </c>
      <c r="F15" s="62">
        <v>110.5</v>
      </c>
      <c r="G15" s="30">
        <f>F15/StdsSummary!$B$2</f>
        <v>9.1166814298950527</v>
      </c>
      <c r="H15" s="30">
        <f t="shared" si="0"/>
        <v>273.50044289685161</v>
      </c>
      <c r="I15" s="30">
        <f t="shared" si="1"/>
        <v>547.00088579370322</v>
      </c>
      <c r="J15" s="30">
        <f t="shared" si="2"/>
        <v>547.00088579370322</v>
      </c>
      <c r="K15" s="42"/>
    </row>
    <row r="16" spans="1:11" x14ac:dyDescent="0.2">
      <c r="A16" s="28">
        <v>10</v>
      </c>
      <c r="B16" s="75"/>
      <c r="C16" s="83">
        <v>0.5</v>
      </c>
      <c r="D16" s="83">
        <v>0.3</v>
      </c>
      <c r="E16" s="83">
        <v>0.01</v>
      </c>
      <c r="F16" s="62">
        <v>240.3</v>
      </c>
      <c r="G16" s="30">
        <f>F16/StdsSummary!$B$2</f>
        <v>19.825688213608881</v>
      </c>
      <c r="H16" s="30">
        <f t="shared" si="0"/>
        <v>594.77064640826643</v>
      </c>
      <c r="I16" s="30">
        <f t="shared" si="1"/>
        <v>1189.5412928165329</v>
      </c>
      <c r="J16" s="30">
        <f t="shared" si="2"/>
        <v>1189.5412928165329</v>
      </c>
      <c r="K16" s="42"/>
    </row>
    <row r="18" spans="1:10" x14ac:dyDescent="0.2">
      <c r="E18" s="11" t="s">
        <v>65</v>
      </c>
      <c r="F18" s="11">
        <f>MIN(F7:F16)</f>
        <v>37</v>
      </c>
    </row>
    <row r="19" spans="1:10" x14ac:dyDescent="0.2">
      <c r="E19" s="11" t="s">
        <v>66</v>
      </c>
      <c r="F19" s="11">
        <f>MAX(F7:F16)</f>
        <v>240.3</v>
      </c>
      <c r="G19" s="52"/>
      <c r="H19" s="52"/>
      <c r="I19" s="52"/>
    </row>
    <row r="21" spans="1:10" x14ac:dyDescent="0.2">
      <c r="G21" s="52"/>
      <c r="H21" s="52"/>
      <c r="I21" s="52"/>
    </row>
    <row r="22" spans="1:10" ht="26" x14ac:dyDescent="0.2">
      <c r="A22" s="81" t="s">
        <v>4</v>
      </c>
      <c r="B22" s="81"/>
      <c r="C22" s="81"/>
      <c r="D22" s="81"/>
      <c r="E22" s="81"/>
      <c r="F22" s="81"/>
      <c r="G22" s="81"/>
      <c r="H22" s="81"/>
      <c r="I22" s="81"/>
      <c r="J22" s="81"/>
    </row>
    <row r="23" spans="1:10" ht="60" x14ac:dyDescent="0.2">
      <c r="A23" s="73" t="s">
        <v>9</v>
      </c>
      <c r="B23" s="73" t="s">
        <v>16</v>
      </c>
      <c r="C23" s="73" t="s">
        <v>68</v>
      </c>
      <c r="D23" s="73" t="s">
        <v>69</v>
      </c>
      <c r="E23" s="73" t="s">
        <v>67</v>
      </c>
      <c r="F23" s="73" t="s">
        <v>19</v>
      </c>
      <c r="G23" s="74" t="s">
        <v>11</v>
      </c>
      <c r="H23" s="74" t="s">
        <v>75</v>
      </c>
      <c r="I23" s="74" t="s">
        <v>70</v>
      </c>
      <c r="J23" s="80" t="s">
        <v>17</v>
      </c>
    </row>
    <row r="24" spans="1:10" x14ac:dyDescent="0.2">
      <c r="A24" s="28">
        <v>1</v>
      </c>
      <c r="C24" s="83">
        <v>0.5</v>
      </c>
      <c r="D24" s="83">
        <v>0.3</v>
      </c>
      <c r="E24" s="83">
        <v>0.01</v>
      </c>
      <c r="F24" s="62">
        <v>25.7</v>
      </c>
      <c r="G24" s="30">
        <f>F24/StdsSummary!$B$3</f>
        <v>0.97071514680871818</v>
      </c>
      <c r="H24" s="30">
        <f>G24*(D24/E24)</f>
        <v>29.121454404261545</v>
      </c>
      <c r="I24" s="30">
        <f>H24/C24</f>
        <v>58.24290880852309</v>
      </c>
      <c r="J24" s="30">
        <f>I24</f>
        <v>58.24290880852309</v>
      </c>
    </row>
    <row r="25" spans="1:10" x14ac:dyDescent="0.2">
      <c r="A25" s="28">
        <v>2</v>
      </c>
      <c r="C25" s="83">
        <v>0.5</v>
      </c>
      <c r="D25" s="83">
        <v>0.3</v>
      </c>
      <c r="E25" s="83">
        <v>0.01</v>
      </c>
      <c r="F25" s="62">
        <v>33.5</v>
      </c>
      <c r="G25" s="30">
        <f>F25/StdsSummary!$B$3</f>
        <v>1.2653290824160335</v>
      </c>
      <c r="H25" s="30">
        <f t="shared" ref="H25:H33" si="3">G25*(D25/E25)</f>
        <v>37.959872472481003</v>
      </c>
      <c r="I25" s="30">
        <f t="shared" ref="I25:I33" si="4">H25/C25</f>
        <v>75.919744944962005</v>
      </c>
      <c r="J25" s="30">
        <f t="shared" ref="J25:J33" si="5">I25</f>
        <v>75.919744944962005</v>
      </c>
    </row>
    <row r="26" spans="1:10" x14ac:dyDescent="0.2">
      <c r="A26" s="28">
        <v>3</v>
      </c>
      <c r="C26" s="83">
        <v>0.5</v>
      </c>
      <c r="D26" s="83">
        <v>0.3</v>
      </c>
      <c r="E26" s="83">
        <v>0.01</v>
      </c>
      <c r="F26" s="62">
        <v>29.9</v>
      </c>
      <c r="G26" s="30">
        <f>F26/StdsSummary!$B$3</f>
        <v>1.1293534198280417</v>
      </c>
      <c r="H26" s="30">
        <f t="shared" si="3"/>
        <v>33.88060259484125</v>
      </c>
      <c r="I26" s="30">
        <f t="shared" si="4"/>
        <v>67.761205189682499</v>
      </c>
      <c r="J26" s="30">
        <f t="shared" si="5"/>
        <v>67.761205189682499</v>
      </c>
    </row>
    <row r="27" spans="1:10" x14ac:dyDescent="0.2">
      <c r="A27" s="28">
        <v>4</v>
      </c>
      <c r="C27" s="83">
        <v>0.5</v>
      </c>
      <c r="D27" s="83">
        <v>0.3</v>
      </c>
      <c r="E27" s="83">
        <v>0.01</v>
      </c>
      <c r="F27" s="62">
        <v>18.100000000000001</v>
      </c>
      <c r="G27" s="30">
        <f>F27/StdsSummary!$B$3</f>
        <v>0.68365541467851365</v>
      </c>
      <c r="H27" s="30">
        <f t="shared" si="3"/>
        <v>20.50966244035541</v>
      </c>
      <c r="I27" s="30">
        <f t="shared" si="4"/>
        <v>41.019324880710819</v>
      </c>
      <c r="J27" s="30">
        <f t="shared" si="5"/>
        <v>41.019324880710819</v>
      </c>
    </row>
    <row r="28" spans="1:10" x14ac:dyDescent="0.2">
      <c r="A28" s="28">
        <v>5</v>
      </c>
      <c r="C28" s="83">
        <v>0.5</v>
      </c>
      <c r="D28" s="83">
        <v>0.3</v>
      </c>
      <c r="E28" s="83">
        <v>0.01</v>
      </c>
      <c r="F28" s="62">
        <v>16.399999999999999</v>
      </c>
      <c r="G28" s="30">
        <f>F28/StdsSummary!$B$3</f>
        <v>0.61944468512307305</v>
      </c>
      <c r="H28" s="30">
        <f t="shared" si="3"/>
        <v>18.583340553692192</v>
      </c>
      <c r="I28" s="30">
        <f t="shared" si="4"/>
        <v>37.166681107384385</v>
      </c>
      <c r="J28" s="30">
        <f t="shared" si="5"/>
        <v>37.166681107384385</v>
      </c>
    </row>
    <row r="29" spans="1:10" x14ac:dyDescent="0.2">
      <c r="A29" s="28">
        <v>6</v>
      </c>
      <c r="C29" s="83">
        <v>0.5</v>
      </c>
      <c r="D29" s="83">
        <v>0.3</v>
      </c>
      <c r="E29" s="83">
        <v>0.01</v>
      </c>
      <c r="F29" s="62">
        <v>22.6</v>
      </c>
      <c r="G29" s="30">
        <f>F29/StdsSummary!$B$3</f>
        <v>0.85362499291350313</v>
      </c>
      <c r="H29" s="30">
        <f t="shared" si="3"/>
        <v>25.608749787405095</v>
      </c>
      <c r="I29" s="30">
        <f t="shared" si="4"/>
        <v>51.217499574810191</v>
      </c>
      <c r="J29" s="30">
        <f t="shared" si="5"/>
        <v>51.217499574810191</v>
      </c>
    </row>
    <row r="30" spans="1:10" x14ac:dyDescent="0.2">
      <c r="A30" s="28">
        <v>7</v>
      </c>
      <c r="C30" s="83">
        <v>0.5</v>
      </c>
      <c r="D30" s="83">
        <v>0.3</v>
      </c>
      <c r="E30" s="83">
        <v>0.01</v>
      </c>
      <c r="F30" s="62">
        <v>24.8</v>
      </c>
      <c r="G30" s="30">
        <f>F30/StdsSummary!$B$3</f>
        <v>0.93672123116172024</v>
      </c>
      <c r="H30" s="30">
        <f t="shared" si="3"/>
        <v>28.101636934851609</v>
      </c>
      <c r="I30" s="30">
        <f t="shared" si="4"/>
        <v>56.203273869703217</v>
      </c>
      <c r="J30" s="30">
        <f t="shared" si="5"/>
        <v>56.203273869703217</v>
      </c>
    </row>
    <row r="31" spans="1:10" x14ac:dyDescent="0.2">
      <c r="A31" s="28">
        <v>8</v>
      </c>
      <c r="C31" s="83">
        <v>0.5</v>
      </c>
      <c r="D31" s="83">
        <v>0.3</v>
      </c>
      <c r="E31" s="83">
        <v>0.01</v>
      </c>
      <c r="F31" s="62">
        <v>30.3</v>
      </c>
      <c r="G31" s="30">
        <f>F31/StdsSummary!$B$3</f>
        <v>1.144461826782263</v>
      </c>
      <c r="H31" s="30">
        <f t="shared" si="3"/>
        <v>34.333854803467894</v>
      </c>
      <c r="I31" s="30">
        <f t="shared" si="4"/>
        <v>68.667709606935787</v>
      </c>
      <c r="J31" s="30">
        <f t="shared" si="5"/>
        <v>68.667709606935787</v>
      </c>
    </row>
    <row r="32" spans="1:10" x14ac:dyDescent="0.2">
      <c r="A32" s="28">
        <v>9</v>
      </c>
      <c r="C32" s="83">
        <v>0.5</v>
      </c>
      <c r="D32" s="83">
        <v>0.3</v>
      </c>
      <c r="E32" s="83">
        <v>0.01</v>
      </c>
      <c r="F32" s="62">
        <v>31.2</v>
      </c>
      <c r="G32" s="30">
        <f>F32/StdsSummary!$B$3</f>
        <v>1.178455742429261</v>
      </c>
      <c r="H32" s="30">
        <f t="shared" si="3"/>
        <v>35.35367227287783</v>
      </c>
      <c r="I32" s="30">
        <f t="shared" si="4"/>
        <v>70.70734454575566</v>
      </c>
      <c r="J32" s="30">
        <f t="shared" si="5"/>
        <v>70.70734454575566</v>
      </c>
    </row>
    <row r="33" spans="1:10" x14ac:dyDescent="0.2">
      <c r="A33" s="28">
        <v>10</v>
      </c>
      <c r="C33" s="83">
        <v>0.5</v>
      </c>
      <c r="D33" s="83">
        <v>0.3</v>
      </c>
      <c r="E33" s="83">
        <v>0.01</v>
      </c>
      <c r="F33" s="62">
        <v>58.9</v>
      </c>
      <c r="G33" s="30">
        <f>F33/StdsSummary!$B$3</f>
        <v>2.2247129240090855</v>
      </c>
      <c r="H33" s="30">
        <f t="shared" si="3"/>
        <v>66.74138772027257</v>
      </c>
      <c r="I33" s="30">
        <f t="shared" si="4"/>
        <v>133.48277544054514</v>
      </c>
      <c r="J33" s="30">
        <f t="shared" si="5"/>
        <v>133.48277544054514</v>
      </c>
    </row>
    <row r="35" spans="1:10" x14ac:dyDescent="0.2">
      <c r="E35" s="11" t="s">
        <v>65</v>
      </c>
      <c r="F35" s="11">
        <f>MIN(F24:F33)</f>
        <v>16.399999999999999</v>
      </c>
    </row>
    <row r="36" spans="1:10" x14ac:dyDescent="0.2">
      <c r="E36" s="11" t="s">
        <v>66</v>
      </c>
      <c r="F36" s="11">
        <f>MAX(F24:F33)</f>
        <v>58.9</v>
      </c>
    </row>
    <row r="39" spans="1:10" ht="26" x14ac:dyDescent="0.2">
      <c r="A39" s="84" t="s">
        <v>5</v>
      </c>
      <c r="B39" s="84"/>
      <c r="C39" s="84"/>
      <c r="D39" s="84"/>
      <c r="E39" s="84"/>
      <c r="F39" s="84"/>
      <c r="G39" s="84"/>
      <c r="H39" s="84"/>
      <c r="I39" s="84"/>
      <c r="J39" s="84"/>
    </row>
    <row r="40" spans="1:10" ht="60" x14ac:dyDescent="0.2">
      <c r="A40" s="73" t="s">
        <v>9</v>
      </c>
      <c r="B40" s="73" t="s">
        <v>16</v>
      </c>
      <c r="C40" s="73" t="s">
        <v>68</v>
      </c>
      <c r="D40" s="73" t="s">
        <v>69</v>
      </c>
      <c r="E40" s="73" t="s">
        <v>67</v>
      </c>
      <c r="F40" s="73" t="s">
        <v>19</v>
      </c>
      <c r="G40" s="74" t="s">
        <v>11</v>
      </c>
      <c r="H40" s="74" t="s">
        <v>75</v>
      </c>
      <c r="I40" s="74" t="s">
        <v>70</v>
      </c>
      <c r="J40" s="80" t="s">
        <v>17</v>
      </c>
    </row>
    <row r="41" spans="1:10" x14ac:dyDescent="0.2">
      <c r="A41" s="28">
        <v>1</v>
      </c>
      <c r="C41" s="83">
        <v>0.5</v>
      </c>
      <c r="D41" s="83">
        <v>0.3</v>
      </c>
      <c r="E41" s="83">
        <v>0.01</v>
      </c>
      <c r="F41" s="62">
        <v>79.7</v>
      </c>
      <c r="G41" s="30">
        <f>F41/StdsSummary!$B$4</f>
        <v>2.8492958554778163</v>
      </c>
      <c r="H41" s="30">
        <f>G41*(D41/E41)</f>
        <v>85.478875664334481</v>
      </c>
      <c r="I41" s="30">
        <f>H41/C41</f>
        <v>170.95775132866896</v>
      </c>
      <c r="J41" s="30">
        <f>I41</f>
        <v>170.95775132866896</v>
      </c>
    </row>
    <row r="42" spans="1:10" x14ac:dyDescent="0.2">
      <c r="A42" s="28">
        <v>2</v>
      </c>
      <c r="C42" s="83">
        <v>0.5</v>
      </c>
      <c r="D42" s="83">
        <v>0.3</v>
      </c>
      <c r="E42" s="83">
        <v>0.01</v>
      </c>
      <c r="F42" s="62">
        <v>48.1</v>
      </c>
      <c r="G42" s="30">
        <f>F42/StdsSummary!$B$4</f>
        <v>1.7195875865556205</v>
      </c>
      <c r="H42" s="30">
        <f t="shared" ref="H42:H50" si="6">G42*(D42/E42)</f>
        <v>51.587627596668618</v>
      </c>
      <c r="I42" s="30">
        <f t="shared" ref="I42:I50" si="7">H42/C42</f>
        <v>103.17525519333724</v>
      </c>
      <c r="J42" s="30">
        <f t="shared" ref="J42:J50" si="8">I42</f>
        <v>103.17525519333724</v>
      </c>
    </row>
    <row r="43" spans="1:10" x14ac:dyDescent="0.2">
      <c r="A43" s="28">
        <v>3</v>
      </c>
      <c r="C43" s="83">
        <v>0.5</v>
      </c>
      <c r="D43" s="83">
        <v>0.3</v>
      </c>
      <c r="E43" s="83">
        <v>0.01</v>
      </c>
      <c r="F43" s="62">
        <v>53.9</v>
      </c>
      <c r="G43" s="30">
        <f>F43/StdsSummary!$B$4</f>
        <v>1.9269391042691879</v>
      </c>
      <c r="H43" s="30">
        <f t="shared" si="6"/>
        <v>57.808173128075637</v>
      </c>
      <c r="I43" s="30">
        <f t="shared" si="7"/>
        <v>115.61634625615127</v>
      </c>
      <c r="J43" s="30">
        <f t="shared" si="8"/>
        <v>115.61634625615127</v>
      </c>
    </row>
    <row r="44" spans="1:10" x14ac:dyDescent="0.2">
      <c r="A44" s="28">
        <v>4</v>
      </c>
      <c r="C44" s="83">
        <v>0.5</v>
      </c>
      <c r="D44" s="83">
        <v>0.3</v>
      </c>
      <c r="E44" s="83">
        <v>0.01</v>
      </c>
      <c r="F44" s="62">
        <v>39.1</v>
      </c>
      <c r="G44" s="30">
        <f>F44/StdsSummary!$B$4</f>
        <v>1.3978352314828433</v>
      </c>
      <c r="H44" s="30">
        <f t="shared" si="6"/>
        <v>41.935056944485297</v>
      </c>
      <c r="I44" s="30">
        <f t="shared" si="7"/>
        <v>83.870113888970593</v>
      </c>
      <c r="J44" s="30">
        <f t="shared" si="8"/>
        <v>83.870113888970593</v>
      </c>
    </row>
    <row r="45" spans="1:10" x14ac:dyDescent="0.2">
      <c r="A45" s="28">
        <v>5</v>
      </c>
      <c r="C45" s="83">
        <v>0.5</v>
      </c>
      <c r="D45" s="83">
        <v>0.3</v>
      </c>
      <c r="E45" s="83">
        <v>0.01</v>
      </c>
      <c r="F45" s="62">
        <v>79.5</v>
      </c>
      <c r="G45" s="30">
        <f>F45/StdsSummary!$B$4</f>
        <v>2.8421458031428655</v>
      </c>
      <c r="H45" s="30">
        <f t="shared" si="6"/>
        <v>85.264374094285969</v>
      </c>
      <c r="I45" s="30">
        <f t="shared" si="7"/>
        <v>170.52874818857194</v>
      </c>
      <c r="J45" s="30">
        <f t="shared" si="8"/>
        <v>170.52874818857194</v>
      </c>
    </row>
    <row r="46" spans="1:10" x14ac:dyDescent="0.2">
      <c r="A46" s="28">
        <v>6</v>
      </c>
      <c r="C46" s="83">
        <v>0.5</v>
      </c>
      <c r="D46" s="83">
        <v>0.3</v>
      </c>
      <c r="E46" s="83">
        <v>0.01</v>
      </c>
      <c r="F46" s="62">
        <v>71.7</v>
      </c>
      <c r="G46" s="30">
        <f>F46/StdsSummary!$B$4</f>
        <v>2.563293762079792</v>
      </c>
      <c r="H46" s="30">
        <f t="shared" si="6"/>
        <v>76.898812862393754</v>
      </c>
      <c r="I46" s="30">
        <f t="shared" si="7"/>
        <v>153.79762572478751</v>
      </c>
      <c r="J46" s="30">
        <f t="shared" si="8"/>
        <v>153.79762572478751</v>
      </c>
    </row>
    <row r="47" spans="1:10" x14ac:dyDescent="0.2">
      <c r="A47" s="28">
        <v>7</v>
      </c>
      <c r="C47" s="83">
        <v>0.5</v>
      </c>
      <c r="D47" s="83">
        <v>0.3</v>
      </c>
      <c r="E47" s="83">
        <v>0.01</v>
      </c>
      <c r="F47" s="62">
        <v>36.5</v>
      </c>
      <c r="G47" s="30">
        <f>F47/StdsSummary!$B$4</f>
        <v>1.3048845511284854</v>
      </c>
      <c r="H47" s="30">
        <f t="shared" si="6"/>
        <v>39.146536533854565</v>
      </c>
      <c r="I47" s="30">
        <f t="shared" si="7"/>
        <v>78.29307306770913</v>
      </c>
      <c r="J47" s="30">
        <f t="shared" si="8"/>
        <v>78.29307306770913</v>
      </c>
    </row>
    <row r="48" spans="1:10" x14ac:dyDescent="0.2">
      <c r="A48" s="28">
        <v>8</v>
      </c>
      <c r="C48" s="83">
        <v>0.5</v>
      </c>
      <c r="D48" s="83">
        <v>0.3</v>
      </c>
      <c r="E48" s="83">
        <v>0.01</v>
      </c>
      <c r="F48" s="62">
        <v>71.7</v>
      </c>
      <c r="G48" s="30">
        <f>F48/StdsSummary!$B$4</f>
        <v>2.563293762079792</v>
      </c>
      <c r="H48" s="30">
        <f t="shared" si="6"/>
        <v>76.898812862393754</v>
      </c>
      <c r="I48" s="30">
        <f t="shared" si="7"/>
        <v>153.79762572478751</v>
      </c>
      <c r="J48" s="30">
        <f t="shared" si="8"/>
        <v>153.79762572478751</v>
      </c>
    </row>
    <row r="49" spans="1:10" x14ac:dyDescent="0.2">
      <c r="A49" s="28">
        <v>9</v>
      </c>
      <c r="C49" s="83">
        <v>0.5</v>
      </c>
      <c r="D49" s="83">
        <v>0.3</v>
      </c>
      <c r="E49" s="83">
        <v>0.01</v>
      </c>
      <c r="F49" s="62">
        <v>48.7</v>
      </c>
      <c r="G49" s="30">
        <f>F49/StdsSummary!$B$4</f>
        <v>1.7410377435604723</v>
      </c>
      <c r="H49" s="30">
        <f t="shared" si="6"/>
        <v>52.231132306814168</v>
      </c>
      <c r="I49" s="30">
        <f t="shared" si="7"/>
        <v>104.46226461362834</v>
      </c>
      <c r="J49" s="30">
        <f t="shared" si="8"/>
        <v>104.46226461362834</v>
      </c>
    </row>
    <row r="50" spans="1:10" x14ac:dyDescent="0.2">
      <c r="A50" s="28">
        <v>10</v>
      </c>
      <c r="C50" s="83">
        <v>0.5</v>
      </c>
      <c r="D50" s="83">
        <v>0.3</v>
      </c>
      <c r="E50" s="83">
        <v>0.01</v>
      </c>
      <c r="F50" s="62">
        <v>115.7</v>
      </c>
      <c r="G50" s="30">
        <f>F50/StdsSummary!$B$4</f>
        <v>4.1363052757689251</v>
      </c>
      <c r="H50" s="30">
        <f t="shared" si="6"/>
        <v>124.08915827306775</v>
      </c>
      <c r="I50" s="30">
        <f t="shared" si="7"/>
        <v>248.17831654613551</v>
      </c>
      <c r="J50" s="30">
        <f t="shared" si="8"/>
        <v>248.17831654613551</v>
      </c>
    </row>
    <row r="52" spans="1:10" x14ac:dyDescent="0.2">
      <c r="E52" s="11" t="s">
        <v>65</v>
      </c>
      <c r="F52" s="11">
        <f>MIN(F41:F50)</f>
        <v>36.5</v>
      </c>
    </row>
    <row r="53" spans="1:10" x14ac:dyDescent="0.2">
      <c r="E53" s="11" t="s">
        <v>66</v>
      </c>
      <c r="F53" s="11">
        <f>MAX(F41:F50)</f>
        <v>115.7</v>
      </c>
    </row>
    <row r="56" spans="1:10" ht="26" x14ac:dyDescent="0.2">
      <c r="A56" s="85" t="s">
        <v>29</v>
      </c>
      <c r="B56" s="85"/>
      <c r="C56" s="85"/>
      <c r="D56" s="85"/>
      <c r="E56" s="85"/>
      <c r="F56" s="85"/>
      <c r="G56" s="85"/>
      <c r="H56" s="85"/>
      <c r="I56" s="85"/>
      <c r="J56" s="85"/>
    </row>
    <row r="57" spans="1:10" ht="60" x14ac:dyDescent="0.2">
      <c r="A57" s="73" t="s">
        <v>9</v>
      </c>
      <c r="B57" s="73" t="s">
        <v>16</v>
      </c>
      <c r="C57" s="73" t="s">
        <v>68</v>
      </c>
      <c r="D57" s="73" t="s">
        <v>69</v>
      </c>
      <c r="E57" s="73" t="s">
        <v>67</v>
      </c>
      <c r="F57" s="73" t="s">
        <v>19</v>
      </c>
      <c r="G57" s="74" t="s">
        <v>11</v>
      </c>
      <c r="H57" s="74" t="s">
        <v>75</v>
      </c>
      <c r="I57" s="74" t="s">
        <v>70</v>
      </c>
      <c r="J57" s="80" t="s">
        <v>17</v>
      </c>
    </row>
    <row r="58" spans="1:10" x14ac:dyDescent="0.2">
      <c r="A58" s="28">
        <v>1</v>
      </c>
      <c r="C58" s="83">
        <v>0.5</v>
      </c>
      <c r="D58" s="83">
        <v>0.3</v>
      </c>
      <c r="E58" s="83">
        <v>0.01</v>
      </c>
      <c r="F58" s="62">
        <v>90.3</v>
      </c>
      <c r="G58" s="30">
        <f>F58/StdsSummary!$B$5</f>
        <v>5.5056980166622616</v>
      </c>
      <c r="H58" s="30">
        <f>G58*(D58/E58)</f>
        <v>165.17094049986784</v>
      </c>
      <c r="I58" s="30">
        <f>H58/C58</f>
        <v>330.34188099973568</v>
      </c>
      <c r="J58" s="30">
        <f>I58</f>
        <v>330.34188099973568</v>
      </c>
    </row>
    <row r="59" spans="1:10" x14ac:dyDescent="0.2">
      <c r="A59" s="28">
        <v>2</v>
      </c>
      <c r="C59" s="83">
        <v>0.5</v>
      </c>
      <c r="D59" s="83">
        <v>0.3</v>
      </c>
      <c r="E59" s="83">
        <v>0.01</v>
      </c>
      <c r="F59" s="62">
        <v>29.8</v>
      </c>
      <c r="G59" s="30">
        <f>F59/StdsSummary!$B$5</f>
        <v>1.8169413166836701</v>
      </c>
      <c r="H59" s="30">
        <f t="shared" ref="H59:H67" si="9">G59*(D59/E59)</f>
        <v>54.508239500510101</v>
      </c>
      <c r="I59" s="30">
        <f t="shared" ref="I59:I67" si="10">H59/C59</f>
        <v>109.0164790010202</v>
      </c>
      <c r="J59" s="30">
        <f t="shared" ref="J59:J67" si="11">I59</f>
        <v>109.0164790010202</v>
      </c>
    </row>
    <row r="60" spans="1:10" x14ac:dyDescent="0.2">
      <c r="A60" s="28">
        <v>3</v>
      </c>
      <c r="C60" s="83">
        <v>0.5</v>
      </c>
      <c r="D60" s="83">
        <v>0.3</v>
      </c>
      <c r="E60" s="83">
        <v>0.01</v>
      </c>
      <c r="F60" s="62">
        <v>23</v>
      </c>
      <c r="G60" s="30">
        <f>F60/StdsSummary!$B$5</f>
        <v>1.402337257843101</v>
      </c>
      <c r="H60" s="30">
        <f t="shared" si="9"/>
        <v>42.070117735293032</v>
      </c>
      <c r="I60" s="30">
        <f t="shared" si="10"/>
        <v>84.140235470586063</v>
      </c>
      <c r="J60" s="30">
        <f t="shared" si="11"/>
        <v>84.140235470586063</v>
      </c>
    </row>
    <row r="61" spans="1:10" x14ac:dyDescent="0.2">
      <c r="A61" s="28">
        <v>4</v>
      </c>
      <c r="C61" s="83">
        <v>0.5</v>
      </c>
      <c r="D61" s="83">
        <v>0.3</v>
      </c>
      <c r="E61" s="83">
        <v>0.01</v>
      </c>
      <c r="F61" s="62">
        <v>28.2</v>
      </c>
      <c r="G61" s="30">
        <f>F61/StdsSummary!$B$5</f>
        <v>1.719387420485889</v>
      </c>
      <c r="H61" s="30">
        <f t="shared" si="9"/>
        <v>51.581622614576673</v>
      </c>
      <c r="I61" s="30">
        <f t="shared" si="10"/>
        <v>103.16324522915335</v>
      </c>
      <c r="J61" s="30">
        <f t="shared" si="11"/>
        <v>103.16324522915335</v>
      </c>
    </row>
    <row r="62" spans="1:10" x14ac:dyDescent="0.2">
      <c r="A62" s="28">
        <v>5</v>
      </c>
      <c r="C62" s="83">
        <v>0.5</v>
      </c>
      <c r="D62" s="83">
        <v>0.3</v>
      </c>
      <c r="E62" s="83">
        <v>0.01</v>
      </c>
      <c r="F62" s="62">
        <v>135.9</v>
      </c>
      <c r="G62" s="30">
        <f>F62/StdsSummary!$B$5</f>
        <v>8.2859840582990181</v>
      </c>
      <c r="H62" s="30">
        <f t="shared" si="9"/>
        <v>248.57952174897054</v>
      </c>
      <c r="I62" s="30">
        <f t="shared" si="10"/>
        <v>497.15904349794107</v>
      </c>
      <c r="J62" s="30">
        <f t="shared" si="11"/>
        <v>497.15904349794107</v>
      </c>
    </row>
    <row r="63" spans="1:10" x14ac:dyDescent="0.2">
      <c r="A63" s="28">
        <v>6</v>
      </c>
      <c r="C63" s="83">
        <v>0.5</v>
      </c>
      <c r="D63" s="83">
        <v>0.3</v>
      </c>
      <c r="E63" s="83">
        <v>0.01</v>
      </c>
      <c r="F63" s="62">
        <v>28.4</v>
      </c>
      <c r="G63" s="30">
        <f>F63/StdsSummary!$B$5</f>
        <v>1.7315816575106115</v>
      </c>
      <c r="H63" s="30">
        <f t="shared" si="9"/>
        <v>51.94744972531835</v>
      </c>
      <c r="I63" s="30">
        <f t="shared" si="10"/>
        <v>103.8948994506367</v>
      </c>
      <c r="J63" s="30">
        <f t="shared" si="11"/>
        <v>103.8948994506367</v>
      </c>
    </row>
    <row r="64" spans="1:10" x14ac:dyDescent="0.2">
      <c r="A64" s="28">
        <v>7</v>
      </c>
      <c r="C64" s="83">
        <v>0.5</v>
      </c>
      <c r="D64" s="83">
        <v>0.3</v>
      </c>
      <c r="E64" s="83">
        <v>0.01</v>
      </c>
      <c r="F64" s="62">
        <v>20.399999999999999</v>
      </c>
      <c r="G64" s="30">
        <f>F64/StdsSummary!$B$5</f>
        <v>1.2438121765217069</v>
      </c>
      <c r="H64" s="30">
        <f t="shared" si="9"/>
        <v>37.314365295651207</v>
      </c>
      <c r="I64" s="30">
        <f t="shared" si="10"/>
        <v>74.628730591302414</v>
      </c>
      <c r="J64" s="30">
        <f t="shared" si="11"/>
        <v>74.628730591302414</v>
      </c>
    </row>
    <row r="65" spans="1:10" x14ac:dyDescent="0.2">
      <c r="A65" s="28">
        <v>8</v>
      </c>
      <c r="C65" s="83">
        <v>0.5</v>
      </c>
      <c r="D65" s="83">
        <v>0.3</v>
      </c>
      <c r="E65" s="83">
        <v>0.01</v>
      </c>
      <c r="F65" s="62">
        <v>28.4</v>
      </c>
      <c r="G65" s="30">
        <f>F65/StdsSummary!$B$5</f>
        <v>1.7315816575106115</v>
      </c>
      <c r="H65" s="30">
        <f t="shared" si="9"/>
        <v>51.94744972531835</v>
      </c>
      <c r="I65" s="30">
        <f t="shared" si="10"/>
        <v>103.8948994506367</v>
      </c>
      <c r="J65" s="30">
        <f t="shared" si="11"/>
        <v>103.8948994506367</v>
      </c>
    </row>
    <row r="66" spans="1:10" x14ac:dyDescent="0.2">
      <c r="A66" s="28">
        <v>9</v>
      </c>
      <c r="C66" s="83">
        <v>0.5</v>
      </c>
      <c r="D66" s="83">
        <v>0.3</v>
      </c>
      <c r="E66" s="83">
        <v>0.01</v>
      </c>
      <c r="F66" s="62">
        <v>80.3</v>
      </c>
      <c r="G66" s="30">
        <f>F66/StdsSummary!$B$5</f>
        <v>4.8959861654261303</v>
      </c>
      <c r="H66" s="30">
        <f t="shared" si="9"/>
        <v>146.87958496278389</v>
      </c>
      <c r="I66" s="30">
        <f t="shared" si="10"/>
        <v>293.75916992556779</v>
      </c>
      <c r="J66" s="30">
        <f t="shared" si="11"/>
        <v>293.75916992556779</v>
      </c>
    </row>
    <row r="67" spans="1:10" x14ac:dyDescent="0.2">
      <c r="A67" s="28">
        <v>10</v>
      </c>
      <c r="C67" s="83">
        <v>0.5</v>
      </c>
      <c r="D67" s="83">
        <v>0.3</v>
      </c>
      <c r="E67" s="83">
        <v>0.01</v>
      </c>
      <c r="F67" s="62">
        <v>126.1</v>
      </c>
      <c r="G67" s="30">
        <f>F67/StdsSummary!$B$5</f>
        <v>7.6884664440876094</v>
      </c>
      <c r="H67" s="30">
        <f t="shared" si="9"/>
        <v>230.65399332262828</v>
      </c>
      <c r="I67" s="30">
        <f t="shared" si="10"/>
        <v>461.30798664525656</v>
      </c>
      <c r="J67" s="30">
        <f t="shared" si="11"/>
        <v>461.30798664525656</v>
      </c>
    </row>
    <row r="69" spans="1:10" x14ac:dyDescent="0.2">
      <c r="E69" s="11" t="s">
        <v>65</v>
      </c>
      <c r="F69" s="11">
        <f>MIN(F58:F67)</f>
        <v>20.399999999999999</v>
      </c>
    </row>
    <row r="70" spans="1:10" x14ac:dyDescent="0.2">
      <c r="E70" s="11" t="s">
        <v>66</v>
      </c>
      <c r="F70" s="11">
        <f>MAX(F58:F67)</f>
        <v>135.9</v>
      </c>
    </row>
    <row r="73" spans="1:10" ht="26" x14ac:dyDescent="0.2">
      <c r="A73" s="86" t="s">
        <v>30</v>
      </c>
      <c r="B73" s="86"/>
      <c r="C73" s="86"/>
      <c r="D73" s="86"/>
      <c r="E73" s="86"/>
      <c r="F73" s="86"/>
      <c r="G73" s="86"/>
      <c r="H73" s="86"/>
      <c r="I73" s="86"/>
      <c r="J73" s="86"/>
    </row>
    <row r="74" spans="1:10" ht="60" x14ac:dyDescent="0.2">
      <c r="A74" s="73" t="s">
        <v>9</v>
      </c>
      <c r="B74" s="73" t="s">
        <v>16</v>
      </c>
      <c r="C74" s="73" t="s">
        <v>68</v>
      </c>
      <c r="D74" s="73" t="s">
        <v>69</v>
      </c>
      <c r="E74" s="73" t="s">
        <v>67</v>
      </c>
      <c r="F74" s="73" t="s">
        <v>19</v>
      </c>
      <c r="G74" s="74" t="s">
        <v>11</v>
      </c>
      <c r="H74" s="74" t="s">
        <v>75</v>
      </c>
      <c r="I74" s="74" t="s">
        <v>70</v>
      </c>
      <c r="J74" s="80" t="s">
        <v>17</v>
      </c>
    </row>
    <row r="75" spans="1:10" x14ac:dyDescent="0.2">
      <c r="A75" s="28">
        <v>1</v>
      </c>
      <c r="C75" s="83">
        <v>0.5</v>
      </c>
      <c r="D75" s="83">
        <v>0.3</v>
      </c>
      <c r="E75" s="83">
        <v>0.01</v>
      </c>
      <c r="F75" s="62">
        <v>213.8</v>
      </c>
      <c r="G75" s="30">
        <f>F75/StdsSummary!$B$6</f>
        <v>18.274450997100992</v>
      </c>
      <c r="H75" s="30">
        <f>G75*(D75/E75)</f>
        <v>548.23352991302977</v>
      </c>
      <c r="I75" s="30">
        <f>H75/C75</f>
        <v>1096.4670598260595</v>
      </c>
      <c r="J75" s="30">
        <f>I75</f>
        <v>1096.4670598260595</v>
      </c>
    </row>
    <row r="76" spans="1:10" x14ac:dyDescent="0.2">
      <c r="A76" s="28">
        <v>2</v>
      </c>
      <c r="C76" s="83">
        <v>0.5</v>
      </c>
      <c r="D76" s="83">
        <v>0.3</v>
      </c>
      <c r="E76" s="83">
        <v>0.01</v>
      </c>
      <c r="F76" s="62">
        <v>79.7</v>
      </c>
      <c r="G76" s="30">
        <f>F76/StdsSummary!$B$6</f>
        <v>6.8123187299763757</v>
      </c>
      <c r="H76" s="30">
        <f t="shared" ref="H76:H84" si="12">G76*(D76/E76)</f>
        <v>204.36956189929128</v>
      </c>
      <c r="I76" s="30">
        <f t="shared" ref="I76:I84" si="13">H76/C76</f>
        <v>408.73912379858257</v>
      </c>
      <c r="J76" s="30">
        <f t="shared" ref="J76:J84" si="14">I76</f>
        <v>408.73912379858257</v>
      </c>
    </row>
    <row r="77" spans="1:10" x14ac:dyDescent="0.2">
      <c r="A77" s="28">
        <v>3</v>
      </c>
      <c r="C77" s="83">
        <v>0.5</v>
      </c>
      <c r="D77" s="83">
        <v>0.3</v>
      </c>
      <c r="E77" s="83">
        <v>0.01</v>
      </c>
      <c r="F77" s="62">
        <v>75.400000000000006</v>
      </c>
      <c r="G77" s="30">
        <f>F77/StdsSummary!$B$6</f>
        <v>6.4447783217091432</v>
      </c>
      <c r="H77" s="30">
        <f t="shared" si="12"/>
        <v>193.34334965127431</v>
      </c>
      <c r="I77" s="30">
        <f t="shared" si="13"/>
        <v>386.68669930254862</v>
      </c>
      <c r="J77" s="30">
        <f t="shared" si="14"/>
        <v>386.68669930254862</v>
      </c>
    </row>
    <row r="78" spans="1:10" x14ac:dyDescent="0.2">
      <c r="A78" s="28">
        <v>4</v>
      </c>
      <c r="C78" s="83">
        <v>0.5</v>
      </c>
      <c r="D78" s="83">
        <v>0.3</v>
      </c>
      <c r="E78" s="83">
        <v>0.01</v>
      </c>
      <c r="F78" s="62">
        <v>96.7</v>
      </c>
      <c r="G78" s="30">
        <f>F78/StdsSummary!$B$6</f>
        <v>8.2653854603352013</v>
      </c>
      <c r="H78" s="30">
        <f t="shared" si="12"/>
        <v>247.96156381005605</v>
      </c>
      <c r="I78" s="30">
        <f t="shared" si="13"/>
        <v>495.9231276201121</v>
      </c>
      <c r="J78" s="30">
        <f t="shared" si="14"/>
        <v>495.9231276201121</v>
      </c>
    </row>
    <row r="79" spans="1:10" x14ac:dyDescent="0.2">
      <c r="A79" s="28">
        <v>5</v>
      </c>
      <c r="C79" s="83">
        <v>0.5</v>
      </c>
      <c r="D79" s="83">
        <v>0.3</v>
      </c>
      <c r="E79" s="83">
        <v>0.01</v>
      </c>
      <c r="F79" s="62">
        <v>217.8</v>
      </c>
      <c r="G79" s="30">
        <f>F79/StdsSummary!$B$6</f>
        <v>18.616349051303068</v>
      </c>
      <c r="H79" s="30">
        <f t="shared" si="12"/>
        <v>558.49047153909203</v>
      </c>
      <c r="I79" s="30">
        <f t="shared" si="13"/>
        <v>1116.9809430781841</v>
      </c>
      <c r="J79" s="30">
        <f t="shared" si="14"/>
        <v>1116.9809430781841</v>
      </c>
    </row>
    <row r="80" spans="1:10" x14ac:dyDescent="0.2">
      <c r="A80" s="28">
        <v>6</v>
      </c>
      <c r="C80" s="83">
        <v>0.5</v>
      </c>
      <c r="D80" s="83">
        <v>0.3</v>
      </c>
      <c r="E80" s="83">
        <v>0.01</v>
      </c>
      <c r="F80" s="62">
        <v>399.4</v>
      </c>
      <c r="G80" s="30">
        <f>F80/StdsSummary!$B$6</f>
        <v>34.138520712077344</v>
      </c>
      <c r="H80" s="30">
        <f t="shared" si="12"/>
        <v>1024.1556213623203</v>
      </c>
      <c r="I80" s="30">
        <f t="shared" si="13"/>
        <v>2048.3112427246406</v>
      </c>
      <c r="J80" s="30">
        <f t="shared" si="14"/>
        <v>2048.3112427246406</v>
      </c>
    </row>
    <row r="81" spans="1:10" x14ac:dyDescent="0.2">
      <c r="A81" s="28">
        <v>7</v>
      </c>
      <c r="C81" s="83">
        <v>0.5</v>
      </c>
      <c r="D81" s="83">
        <v>0.3</v>
      </c>
      <c r="E81" s="83">
        <v>0.01</v>
      </c>
      <c r="F81" s="62">
        <v>100.7</v>
      </c>
      <c r="G81" s="30">
        <f>F81/StdsSummary!$B$6</f>
        <v>8.6072835145372775</v>
      </c>
      <c r="H81" s="30">
        <f t="shared" si="12"/>
        <v>258.21850543611833</v>
      </c>
      <c r="I81" s="30">
        <f t="shared" si="13"/>
        <v>516.43701087223667</v>
      </c>
      <c r="J81" s="30">
        <f t="shared" si="14"/>
        <v>516.43701087223667</v>
      </c>
    </row>
    <row r="82" spans="1:10" x14ac:dyDescent="0.2">
      <c r="A82" s="28">
        <v>8</v>
      </c>
      <c r="C82" s="83">
        <v>0.5</v>
      </c>
      <c r="D82" s="83">
        <v>0.3</v>
      </c>
      <c r="E82" s="83">
        <v>0.01</v>
      </c>
      <c r="F82" s="62">
        <v>399.4</v>
      </c>
      <c r="G82" s="30">
        <f>F82/StdsSummary!$B$6</f>
        <v>34.138520712077344</v>
      </c>
      <c r="H82" s="30">
        <f t="shared" si="12"/>
        <v>1024.1556213623203</v>
      </c>
      <c r="I82" s="30">
        <f t="shared" si="13"/>
        <v>2048.3112427246406</v>
      </c>
      <c r="J82" s="30">
        <f t="shared" si="14"/>
        <v>2048.3112427246406</v>
      </c>
    </row>
    <row r="83" spans="1:10" x14ac:dyDescent="0.2">
      <c r="A83" s="28">
        <v>9</v>
      </c>
      <c r="C83" s="83">
        <v>0.5</v>
      </c>
      <c r="D83" s="83">
        <v>0.3</v>
      </c>
      <c r="E83" s="83">
        <v>0.01</v>
      </c>
      <c r="F83" s="62">
        <v>192.7</v>
      </c>
      <c r="G83" s="30">
        <f>F83/StdsSummary!$B$6</f>
        <v>16.470938761185035</v>
      </c>
      <c r="H83" s="30">
        <f t="shared" si="12"/>
        <v>494.12816283555105</v>
      </c>
      <c r="I83" s="30">
        <f t="shared" si="13"/>
        <v>988.2563256711021</v>
      </c>
      <c r="J83" s="30">
        <f t="shared" si="14"/>
        <v>988.2563256711021</v>
      </c>
    </row>
    <row r="84" spans="1:10" x14ac:dyDescent="0.2">
      <c r="A84" s="28">
        <v>10</v>
      </c>
      <c r="C84" s="83">
        <v>0.5</v>
      </c>
      <c r="D84" s="83">
        <v>0.3</v>
      </c>
      <c r="E84" s="83">
        <v>0.01</v>
      </c>
      <c r="F84" s="62">
        <v>380.6</v>
      </c>
      <c r="G84" s="30">
        <f>F84/StdsSummary!$B$6</f>
        <v>32.531599857327585</v>
      </c>
      <c r="H84" s="30">
        <f t="shared" si="12"/>
        <v>975.94799571982753</v>
      </c>
      <c r="I84" s="30">
        <f t="shared" si="13"/>
        <v>1951.8959914396551</v>
      </c>
      <c r="J84" s="30">
        <f t="shared" si="14"/>
        <v>1951.8959914396551</v>
      </c>
    </row>
    <row r="86" spans="1:10" x14ac:dyDescent="0.2">
      <c r="E86" s="11" t="s">
        <v>65</v>
      </c>
      <c r="F86" s="11">
        <f>MIN(F75:F84)</f>
        <v>75.400000000000006</v>
      </c>
    </row>
    <row r="87" spans="1:10" x14ac:dyDescent="0.2">
      <c r="E87" s="11" t="s">
        <v>66</v>
      </c>
      <c r="F87" s="11">
        <f>MAX(F75:F84)</f>
        <v>399.4</v>
      </c>
    </row>
    <row r="90" spans="1:10" ht="26" x14ac:dyDescent="0.2">
      <c r="A90" s="87" t="s">
        <v>31</v>
      </c>
      <c r="B90" s="87"/>
      <c r="C90" s="87"/>
      <c r="D90" s="87"/>
      <c r="E90" s="87"/>
      <c r="F90" s="87"/>
      <c r="G90" s="87"/>
      <c r="H90" s="87"/>
      <c r="I90" s="87"/>
      <c r="J90" s="87"/>
    </row>
    <row r="91" spans="1:10" ht="60" x14ac:dyDescent="0.2">
      <c r="A91" s="73" t="s">
        <v>9</v>
      </c>
      <c r="B91" s="73" t="s">
        <v>16</v>
      </c>
      <c r="C91" s="73" t="s">
        <v>68</v>
      </c>
      <c r="D91" s="73" t="s">
        <v>69</v>
      </c>
      <c r="E91" s="73" t="s">
        <v>67</v>
      </c>
      <c r="F91" s="73" t="s">
        <v>19</v>
      </c>
      <c r="G91" s="74" t="s">
        <v>11</v>
      </c>
      <c r="H91" s="74" t="s">
        <v>75</v>
      </c>
      <c r="I91" s="74" t="s">
        <v>70</v>
      </c>
      <c r="J91" s="80" t="s">
        <v>17</v>
      </c>
    </row>
    <row r="92" spans="1:10" x14ac:dyDescent="0.2">
      <c r="A92" s="28">
        <v>1</v>
      </c>
      <c r="C92" s="83">
        <v>0.5</v>
      </c>
      <c r="D92" s="83">
        <v>0.3</v>
      </c>
      <c r="E92" s="83">
        <v>0.01</v>
      </c>
      <c r="F92" s="62">
        <f>84.8+49+351.4</f>
        <v>485.2</v>
      </c>
      <c r="G92" s="30">
        <f>F92/StdsSummary!$B$7</f>
        <v>34.022264333474595</v>
      </c>
      <c r="H92" s="30">
        <f>G92*(D92/E92)</f>
        <v>1020.6679300042379</v>
      </c>
      <c r="I92" s="30">
        <f>H92/C92</f>
        <v>2041.3358600084757</v>
      </c>
      <c r="J92" s="30">
        <f>I92</f>
        <v>2041.3358600084757</v>
      </c>
    </row>
    <row r="93" spans="1:10" x14ac:dyDescent="0.2">
      <c r="A93" s="28">
        <v>2</v>
      </c>
      <c r="C93" s="83">
        <v>0.5</v>
      </c>
      <c r="D93" s="83">
        <v>0.3</v>
      </c>
      <c r="E93" s="83">
        <v>0.01</v>
      </c>
      <c r="F93" s="62">
        <f>47.3+40.5+185.6</f>
        <v>273.39999999999998</v>
      </c>
      <c r="G93" s="30">
        <f>F93/StdsSummary!$B$7</f>
        <v>19.170830727065031</v>
      </c>
      <c r="H93" s="30">
        <f>G93*(D93/E93)</f>
        <v>575.12492181195091</v>
      </c>
      <c r="I93" s="30">
        <f t="shared" ref="I93:I101" si="15">H93/C93</f>
        <v>1150.2498436239018</v>
      </c>
      <c r="J93" s="30">
        <f t="shared" ref="J93:J101" si="16">I93</f>
        <v>1150.2498436239018</v>
      </c>
    </row>
    <row r="94" spans="1:10" x14ac:dyDescent="0.2">
      <c r="A94" s="28">
        <v>3</v>
      </c>
      <c r="C94" s="83">
        <v>0.5</v>
      </c>
      <c r="D94" s="83">
        <v>0.3</v>
      </c>
      <c r="E94" s="83">
        <v>0.01</v>
      </c>
      <c r="F94" s="62">
        <f>30.6+23.2+160.6</f>
        <v>214.39999999999998</v>
      </c>
      <c r="G94" s="30">
        <f>F94/StdsSummary!$B$7</f>
        <v>15.033745822541121</v>
      </c>
      <c r="H94" s="30">
        <f t="shared" ref="H94:H101" si="17">G94*(D94/E94)</f>
        <v>451.01237467623366</v>
      </c>
      <c r="I94" s="30">
        <f t="shared" si="15"/>
        <v>902.02474935246732</v>
      </c>
      <c r="J94" s="30">
        <f t="shared" si="16"/>
        <v>902.02474935246732</v>
      </c>
    </row>
    <row r="95" spans="1:10" x14ac:dyDescent="0.2">
      <c r="A95" s="28">
        <v>4</v>
      </c>
      <c r="C95" s="83">
        <v>0.5</v>
      </c>
      <c r="D95" s="83">
        <v>0.3</v>
      </c>
      <c r="E95" s="83">
        <v>0.01</v>
      </c>
      <c r="F95" s="62">
        <f>48.5+30.9+223.5</f>
        <v>302.89999999999998</v>
      </c>
      <c r="G95" s="30">
        <f>F95/StdsSummary!$B$7</f>
        <v>21.239373179326986</v>
      </c>
      <c r="H95" s="30">
        <f t="shared" si="17"/>
        <v>637.18119537980954</v>
      </c>
      <c r="I95" s="30">
        <f t="shared" si="15"/>
        <v>1274.3623907596191</v>
      </c>
      <c r="J95" s="30">
        <f t="shared" si="16"/>
        <v>1274.3623907596191</v>
      </c>
    </row>
    <row r="96" spans="1:10" x14ac:dyDescent="0.2">
      <c r="A96" s="28">
        <v>5</v>
      </c>
      <c r="C96" s="83">
        <v>0.5</v>
      </c>
      <c r="D96" s="83">
        <v>0.3</v>
      </c>
      <c r="E96" s="83">
        <v>0.01</v>
      </c>
      <c r="F96" s="62">
        <f>78.7+52.7+350.9</f>
        <v>482.29999999999995</v>
      </c>
      <c r="G96" s="30">
        <f>F96/StdsSummary!$B$7</f>
        <v>33.81891609240477</v>
      </c>
      <c r="H96" s="30">
        <f t="shared" si="17"/>
        <v>1014.5674827721431</v>
      </c>
      <c r="I96" s="30">
        <f t="shared" si="15"/>
        <v>2029.1349655442862</v>
      </c>
      <c r="J96" s="30">
        <f t="shared" si="16"/>
        <v>2029.1349655442862</v>
      </c>
    </row>
    <row r="97" spans="1:10" x14ac:dyDescent="0.2">
      <c r="A97" s="28">
        <v>6</v>
      </c>
      <c r="C97" s="83">
        <v>0.5</v>
      </c>
      <c r="D97" s="83">
        <v>0.3</v>
      </c>
      <c r="E97" s="83">
        <v>0.01</v>
      </c>
      <c r="F97" s="62">
        <f>70.9+54.7+311</f>
        <v>436.6</v>
      </c>
      <c r="G97" s="30">
        <f>F97/StdsSummary!$B$7</f>
        <v>30.614428293476934</v>
      </c>
      <c r="H97" s="30">
        <f t="shared" si="17"/>
        <v>918.43284880430804</v>
      </c>
      <c r="I97" s="30">
        <f t="shared" si="15"/>
        <v>1836.8656976086161</v>
      </c>
      <c r="J97" s="30">
        <f t="shared" si="16"/>
        <v>1836.8656976086161</v>
      </c>
    </row>
    <row r="98" spans="1:10" x14ac:dyDescent="0.2">
      <c r="A98" s="28">
        <v>7</v>
      </c>
      <c r="C98" s="83">
        <v>0.5</v>
      </c>
      <c r="D98" s="83">
        <v>0.3</v>
      </c>
      <c r="E98" s="83">
        <v>0.01</v>
      </c>
      <c r="F98" s="62">
        <f>47.8+34+197.6</f>
        <v>279.39999999999998</v>
      </c>
      <c r="G98" s="30">
        <f>F98/StdsSummary!$B$7</f>
        <v>19.591551225830173</v>
      </c>
      <c r="H98" s="30">
        <f t="shared" si="17"/>
        <v>587.74653677490517</v>
      </c>
      <c r="I98" s="30">
        <f t="shared" si="15"/>
        <v>1175.4930735498103</v>
      </c>
      <c r="J98" s="30">
        <f t="shared" si="16"/>
        <v>1175.4930735498103</v>
      </c>
    </row>
    <row r="99" spans="1:10" x14ac:dyDescent="0.2">
      <c r="A99" s="28">
        <v>8</v>
      </c>
      <c r="C99" s="83">
        <v>0.5</v>
      </c>
      <c r="D99" s="83">
        <v>0.3</v>
      </c>
      <c r="E99" s="83">
        <v>0.01</v>
      </c>
      <c r="F99" s="62">
        <f>70.9+54.7+311</f>
        <v>436.6</v>
      </c>
      <c r="G99" s="30">
        <f>F99/StdsSummary!$B$7</f>
        <v>30.614428293476934</v>
      </c>
      <c r="H99" s="30">
        <f t="shared" si="17"/>
        <v>918.43284880430804</v>
      </c>
      <c r="I99" s="30">
        <f t="shared" si="15"/>
        <v>1836.8656976086161</v>
      </c>
      <c r="J99" s="30">
        <f t="shared" si="16"/>
        <v>1836.8656976086161</v>
      </c>
    </row>
    <row r="100" spans="1:10" x14ac:dyDescent="0.2">
      <c r="A100" s="28">
        <v>9</v>
      </c>
      <c r="C100" s="83">
        <v>0.5</v>
      </c>
      <c r="D100" s="83">
        <v>0.3</v>
      </c>
      <c r="E100" s="83">
        <v>0.01</v>
      </c>
      <c r="F100" s="62">
        <f>49+28.6+214.5</f>
        <v>292.10000000000002</v>
      </c>
      <c r="G100" s="30">
        <f>F100/StdsSummary!$B$7</f>
        <v>20.48207628154973</v>
      </c>
      <c r="H100" s="30">
        <f t="shared" si="17"/>
        <v>614.46228844649193</v>
      </c>
      <c r="I100" s="30">
        <f t="shared" si="15"/>
        <v>1228.9245768929839</v>
      </c>
      <c r="J100" s="30">
        <f t="shared" si="16"/>
        <v>1228.9245768929839</v>
      </c>
    </row>
    <row r="101" spans="1:10" x14ac:dyDescent="0.2">
      <c r="A101" s="28">
        <v>10</v>
      </c>
      <c r="C101" s="83">
        <v>0.5</v>
      </c>
      <c r="D101" s="83">
        <v>0.3</v>
      </c>
      <c r="E101" s="83">
        <v>0.01</v>
      </c>
      <c r="F101" s="62">
        <f>60.5+38.8+227.1</f>
        <v>326.39999999999998</v>
      </c>
      <c r="G101" s="30">
        <f>F101/StdsSummary!$B$7</f>
        <v>22.887195132823798</v>
      </c>
      <c r="H101" s="30">
        <f t="shared" si="17"/>
        <v>686.61585398471391</v>
      </c>
      <c r="I101" s="30">
        <f t="shared" si="15"/>
        <v>1373.2317079694278</v>
      </c>
      <c r="J101" s="30">
        <f t="shared" si="16"/>
        <v>1373.2317079694278</v>
      </c>
    </row>
    <row r="103" spans="1:10" x14ac:dyDescent="0.2">
      <c r="E103" s="11" t="s">
        <v>65</v>
      </c>
      <c r="F103" s="11">
        <f>MIN(F92:F101)</f>
        <v>214.39999999999998</v>
      </c>
    </row>
    <row r="104" spans="1:10" x14ac:dyDescent="0.2">
      <c r="E104" s="11" t="s">
        <v>66</v>
      </c>
      <c r="F104" s="11">
        <f>MAX(F92:F101)</f>
        <v>485.2</v>
      </c>
    </row>
  </sheetData>
  <mergeCells count="6">
    <mergeCell ref="A90:J90"/>
    <mergeCell ref="A22:J22"/>
    <mergeCell ref="A39:J39"/>
    <mergeCell ref="A56:J56"/>
    <mergeCell ref="A73:J73"/>
    <mergeCell ref="A5:J5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StdCurves</vt:lpstr>
      <vt:lpstr>StdsSummary</vt:lpstr>
      <vt:lpstr>Quant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Cooperstone</dc:creator>
  <cp:keywords/>
  <dc:description/>
  <cp:lastModifiedBy>Cooperstone, Jessica</cp:lastModifiedBy>
  <cp:revision/>
  <dcterms:created xsi:type="dcterms:W3CDTF">2015-10-16T14:28:31Z</dcterms:created>
  <dcterms:modified xsi:type="dcterms:W3CDTF">2022-01-27T21:57:32Z</dcterms:modified>
  <cp:category/>
  <cp:contentStatus/>
</cp:coreProperties>
</file>