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1840" windowHeight="12840" activeTab="1"/>
  </bookViews>
  <sheets>
    <sheet name="Legenda" sheetId="23" r:id="rId1"/>
    <sheet name="Ipotesi di base" sheetId="2" r:id="rId2"/>
    <sheet name="Ricavi" sheetId="3" r:id="rId3"/>
    <sheet name="Altri Ricavi" sheetId="16" r:id="rId4"/>
    <sheet name="Costi" sheetId="4" r:id="rId5"/>
    <sheet name="Costo del lavoro" sheetId="11" r:id="rId6"/>
    <sheet name="Investimenti" sheetId="5" r:id="rId7"/>
    <sheet name="Capitale sociale" sheetId="6" r:id="rId8"/>
    <sheet name="Finanziamenti" sheetId="17" r:id="rId9"/>
    <sheet name="Saldo iva" sheetId="12" state="hidden" r:id="rId10"/>
    <sheet name="CE" sheetId="7" r:id="rId11"/>
    <sheet name="SP" sheetId="8" r:id="rId12"/>
    <sheet name="Rendiconto" sheetId="9" r:id="rId13"/>
    <sheet name="Indici" sheetId="18" r:id="rId14"/>
    <sheet name="Sezione grafica" sheetId="20" r:id="rId15"/>
  </sheets>
  <externalReferences>
    <externalReference r:id="rId16"/>
    <externalReference r:id="rId17"/>
  </externalReferences>
  <definedNames>
    <definedName name="Anni_prestito" localSheetId="5">#REF!</definedName>
    <definedName name="Anni_prestito">#REF!</definedName>
    <definedName name="Cap" localSheetId="5">#REF!</definedName>
    <definedName name="Cap">#REF!</definedName>
    <definedName name="Data_pagam" localSheetId="5">#REF!</definedName>
    <definedName name="Data_pagam">#REF!</definedName>
    <definedName name="Data_pagamento" localSheetId="5">DATE(YEAR('Costo del lavoro'!Inizio_prestito),MONTH('Costo del lavoro'!Inizio_prestito)+Payment_Number,DAY('Costo del lavoro'!Inizio_prestito))</definedName>
    <definedName name="Data_pagamento">DATE(YEAR([0]!Inizio_prestito),MONTH([0]!Inizio_prestito)+Payment_Number,DAY([0]!Inizio_prestito))</definedName>
    <definedName name="_xlnm.Database">'[1]Piano dei Conti e Stat.Patrim.'!$D$11:$K$304</definedName>
    <definedName name="Dati" localSheetId="5">#REF!</definedName>
    <definedName name="Dati">#REF!</definedName>
    <definedName name="elenco_anni_durata">'[2]Calcolo Rata'!$P$2:$P$17</definedName>
    <definedName name="Importo_prestito" localSheetId="5">#REF!</definedName>
    <definedName name="Importo_prestito">#REF!</definedName>
    <definedName name="Inizio_prestito" localSheetId="5">#REF!</definedName>
    <definedName name="Inizio_prestito">#REF!</definedName>
    <definedName name="Input" localSheetId="5">#REF!,#REF!</definedName>
    <definedName name="Input">#REF!,#REF!</definedName>
    <definedName name="Int" localSheetId="5">#REF!</definedName>
    <definedName name="Int">#REF!</definedName>
    <definedName name="Int_cum" localSheetId="5">#REF!</definedName>
    <definedName name="Int_cum">#REF!</definedName>
    <definedName name="Num_pag_anno" localSheetId="5">#REF!</definedName>
    <definedName name="Num_pag_anno">#REF!</definedName>
    <definedName name="Num_pagam" localSheetId="5">#REF!</definedName>
    <definedName name="Num_pagam">#REF!</definedName>
    <definedName name="Numero_di_pagamenti" localSheetId="5">MATCH(0.01,'Costo del lavoro'!Sal_fin,-1)+1</definedName>
    <definedName name="Numero_di_pagamenti">MATCH(0.01,Sal_fin,-1)+1</definedName>
    <definedName name="Pag_extra" localSheetId="5">#REF!</definedName>
    <definedName name="Pag_extra">#REF!</definedName>
    <definedName name="Pagam_extra_pianif" localSheetId="5">#REF!</definedName>
    <definedName name="Pagam_extra_pianif">#REF!</definedName>
    <definedName name="Pagam_mensile_pianif" localSheetId="5">#REF!</definedName>
    <definedName name="Pagam_mensile_pianif">#REF!</definedName>
    <definedName name="Pagam_pianif" localSheetId="5">#REF!</definedName>
    <definedName name="Pagam_pianif">#REF!</definedName>
    <definedName name="Reimp_area_stampa" localSheetId="5">OFFSET('Costo del lavoro'!Stampa_compl,0,0,'Costo del lavoro'!Ultima_riga)</definedName>
    <definedName name="Reimp_area_stampa">OFFSET([0]!Stampa_compl,0,0,[0]!Ultima_riga)</definedName>
    <definedName name="Riga_intestazione" localSheetId="5">ROW(#REF!)</definedName>
    <definedName name="Riga_intestazione">ROW(#REF!)</definedName>
    <definedName name="Sal_fin" localSheetId="5">#REF!</definedName>
    <definedName name="Sal_fin">#REF!</definedName>
    <definedName name="Sal_iniz" localSheetId="5">#REF!</definedName>
    <definedName name="Sal_iniz">#REF!</definedName>
    <definedName name="Stampa_compl" localSheetId="5">#REF!</definedName>
    <definedName name="Stampa_compl">#REF!</definedName>
    <definedName name="Stat.Patr.">'[1]Piano dei Conti e Stat.Patrim.'!$O$10:$Z$74</definedName>
    <definedName name="Tasso_interesse" localSheetId="5">#REF!</definedName>
    <definedName name="Tasso_interesse">#REF!</definedName>
    <definedName name="Tasso_interesse_pianif" localSheetId="5">#REF!</definedName>
    <definedName name="Tasso_interesse_pianif">#REF!</definedName>
    <definedName name="Total_pagam" localSheetId="5">#REF!</definedName>
    <definedName name="Total_pagam">#REF!</definedName>
    <definedName name="Totale_interessi" localSheetId="5">#REF!</definedName>
    <definedName name="Totale_interessi">#REF!</definedName>
    <definedName name="Ultima_riga" localSheetId="5">IF('Costo del lavoro'!Valori_immessi,'Costo del lavoro'!Riga_intestazione+'Costo del lavoro'!Numero_di_pagamenti,'Costo del lavoro'!Riga_intestazione)</definedName>
    <definedName name="Ultima_riga">IF(Valori_immessi,Riga_intestazione+Numero_di_pagamenti,Riga_intestazione)</definedName>
    <definedName name="uno">'[1]Piano dei Conti e Stat.Patrim.'!$P$11</definedName>
    <definedName name="Valori_immessi" localSheetId="5">IF('Costo del lavoro'!Importo_prestito*'Costo del lavoro'!Tasso_interesse*'Costo del lavoro'!Anni_prestito*'Costo del lavoro'!Inizio_prestito&gt;0,1,0)</definedName>
    <definedName name="Valori_immessi">IF(Importo_prestito*Tasso_interesse*Anni_prestito*Inizio_prestito&gt;0,1,0)</definedName>
  </definedNames>
  <calcPr calcId="125725" iterate="1"/>
</workbook>
</file>

<file path=xl/calcChain.xml><?xml version="1.0" encoding="utf-8"?>
<calcChain xmlns="http://schemas.openxmlformats.org/spreadsheetml/2006/main">
  <c r="D67" i="5"/>
  <c r="D70"/>
  <c r="E12" i="9" l="1"/>
  <c r="E13" i="11"/>
  <c r="D22" i="2" l="1"/>
  <c r="E6" i="11"/>
  <c r="D6"/>
  <c r="C6"/>
  <c r="H24" i="5"/>
  <c r="G24"/>
  <c r="C7" i="11"/>
  <c r="C13" s="1"/>
  <c r="E20" i="4"/>
  <c r="D20"/>
  <c r="C20"/>
  <c r="C12" i="9" l="1"/>
  <c r="C24" i="8"/>
  <c r="G34" i="12"/>
  <c r="F34"/>
  <c r="G20" i="8"/>
  <c r="C11" i="5"/>
  <c r="G12"/>
  <c r="E29" i="12"/>
  <c r="E28"/>
  <c r="G28"/>
  <c r="F28"/>
  <c r="E33" i="17"/>
  <c r="E23"/>
  <c r="E12"/>
  <c r="K33"/>
  <c r="K23"/>
  <c r="K20" s="1"/>
  <c r="K13"/>
  <c r="K11" s="1"/>
  <c r="C62" i="5" l="1"/>
  <c r="K30" i="17"/>
  <c r="K31"/>
  <c r="L33"/>
  <c r="M33" s="1"/>
  <c r="M31" s="1"/>
  <c r="L23"/>
  <c r="M23" s="1"/>
  <c r="N23" s="1"/>
  <c r="N21" s="1"/>
  <c r="K21"/>
  <c r="K19" s="1"/>
  <c r="L13"/>
  <c r="L11" s="1"/>
  <c r="K10"/>
  <c r="K9" s="1"/>
  <c r="M21" l="1"/>
  <c r="L21"/>
  <c r="K29"/>
  <c r="M13"/>
  <c r="M11" s="1"/>
  <c r="K22"/>
  <c r="L20" s="1"/>
  <c r="L19" s="1"/>
  <c r="L22" s="1"/>
  <c r="M20" s="1"/>
  <c r="M19" s="1"/>
  <c r="M22" s="1"/>
  <c r="N20" s="1"/>
  <c r="L31"/>
  <c r="N33"/>
  <c r="N31" s="1"/>
  <c r="O23"/>
  <c r="O21" s="1"/>
  <c r="K12"/>
  <c r="K32" l="1"/>
  <c r="L30" s="1"/>
  <c r="L29" s="1"/>
  <c r="N13"/>
  <c r="O13" s="1"/>
  <c r="P13" s="1"/>
  <c r="O33"/>
  <c r="O31" s="1"/>
  <c r="L10"/>
  <c r="N19"/>
  <c r="P23"/>
  <c r="P21" s="1"/>
  <c r="O11" l="1"/>
  <c r="N11"/>
  <c r="P33"/>
  <c r="P31" s="1"/>
  <c r="L9"/>
  <c r="N22"/>
  <c r="O20" s="1"/>
  <c r="O19" s="1"/>
  <c r="O22" s="1"/>
  <c r="P20" s="1"/>
  <c r="L32"/>
  <c r="M30" s="1"/>
  <c r="Q23"/>
  <c r="Q21" s="1"/>
  <c r="Q13"/>
  <c r="P11"/>
  <c r="Q33" l="1"/>
  <c r="Q31" s="1"/>
  <c r="L12"/>
  <c r="M10" s="1"/>
  <c r="M29"/>
  <c r="R23"/>
  <c r="R21" s="1"/>
  <c r="P19"/>
  <c r="P22" s="1"/>
  <c r="Q20" s="1"/>
  <c r="R13"/>
  <c r="Q11"/>
  <c r="R33" l="1"/>
  <c r="R31" s="1"/>
  <c r="M9"/>
  <c r="M32"/>
  <c r="N30" s="1"/>
  <c r="S23"/>
  <c r="S21" s="1"/>
  <c r="Q19"/>
  <c r="Q22" s="1"/>
  <c r="R20" s="1"/>
  <c r="S13"/>
  <c r="R11"/>
  <c r="S33" l="1"/>
  <c r="S31" s="1"/>
  <c r="M12"/>
  <c r="N10" s="1"/>
  <c r="N29"/>
  <c r="R19"/>
  <c r="R22" s="1"/>
  <c r="S20" s="1"/>
  <c r="T23"/>
  <c r="T21" s="1"/>
  <c r="T13"/>
  <c r="S11"/>
  <c r="T33" l="1"/>
  <c r="T31" s="1"/>
  <c r="N9"/>
  <c r="N32"/>
  <c r="O30" s="1"/>
  <c r="U23"/>
  <c r="U21" s="1"/>
  <c r="S19"/>
  <c r="S22" s="1"/>
  <c r="T20" s="1"/>
  <c r="U13"/>
  <c r="T11"/>
  <c r="U33" l="1"/>
  <c r="U31" s="1"/>
  <c r="N12"/>
  <c r="O29"/>
  <c r="V23"/>
  <c r="V21" s="1"/>
  <c r="T19"/>
  <c r="T22" s="1"/>
  <c r="U20" s="1"/>
  <c r="V13"/>
  <c r="U11"/>
  <c r="V33" l="1"/>
  <c r="V31" s="1"/>
  <c r="O10"/>
  <c r="O9" s="1"/>
  <c r="O12" s="1"/>
  <c r="P10" s="1"/>
  <c r="P9" s="1"/>
  <c r="P12" s="1"/>
  <c r="Q10" s="1"/>
  <c r="Q9" s="1"/>
  <c r="Q12" s="1"/>
  <c r="R10" s="1"/>
  <c r="R9" s="1"/>
  <c r="R12" s="1"/>
  <c r="S10" s="1"/>
  <c r="S9" s="1"/>
  <c r="S12" s="1"/>
  <c r="T10" s="1"/>
  <c r="T9" s="1"/>
  <c r="T12" s="1"/>
  <c r="U10" s="1"/>
  <c r="U9" s="1"/>
  <c r="U12" s="1"/>
  <c r="V10" s="1"/>
  <c r="L39" s="1"/>
  <c r="O32"/>
  <c r="P30" s="1"/>
  <c r="W23"/>
  <c r="W21" s="1"/>
  <c r="U19"/>
  <c r="U22" s="1"/>
  <c r="V20" s="1"/>
  <c r="W13"/>
  <c r="V11"/>
  <c r="P29" l="1"/>
  <c r="P32" s="1"/>
  <c r="Q30" s="1"/>
  <c r="Q29" s="1"/>
  <c r="Q32" s="1"/>
  <c r="R30" s="1"/>
  <c r="R29" s="1"/>
  <c r="R32" s="1"/>
  <c r="S30" s="1"/>
  <c r="S29" s="1"/>
  <c r="S32" s="1"/>
  <c r="T30" s="1"/>
  <c r="T29" s="1"/>
  <c r="T32" s="1"/>
  <c r="U30" s="1"/>
  <c r="U29" s="1"/>
  <c r="U32" s="1"/>
  <c r="V30" s="1"/>
  <c r="V19"/>
  <c r="X23"/>
  <c r="X21" s="1"/>
  <c r="X13"/>
  <c r="W11"/>
  <c r="V9"/>
  <c r="K39" s="1"/>
  <c r="V12" l="1"/>
  <c r="M39" s="1"/>
  <c r="E35" i="12"/>
  <c r="V22" i="17"/>
  <c r="V29"/>
  <c r="Y23"/>
  <c r="Y21" s="1"/>
  <c r="Y13"/>
  <c r="X11"/>
  <c r="W10" l="1"/>
  <c r="C26" i="8"/>
  <c r="W20" i="17"/>
  <c r="W19" s="1"/>
  <c r="W22" s="1"/>
  <c r="X20" s="1"/>
  <c r="X19" s="1"/>
  <c r="X22" s="1"/>
  <c r="Y20" s="1"/>
  <c r="V32"/>
  <c r="Z23"/>
  <c r="Z21" s="1"/>
  <c r="Z13"/>
  <c r="Y11"/>
  <c r="W9" l="1"/>
  <c r="Y19"/>
  <c r="AA23"/>
  <c r="AA21" s="1"/>
  <c r="AA13"/>
  <c r="Z11"/>
  <c r="W12" l="1"/>
  <c r="X10" s="1"/>
  <c r="Y22"/>
  <c r="Z20" s="1"/>
  <c r="Z19" s="1"/>
  <c r="AB23"/>
  <c r="AB21" s="1"/>
  <c r="AB13"/>
  <c r="AA11"/>
  <c r="Z22" l="1"/>
  <c r="AA20" s="1"/>
  <c r="AA19" s="1"/>
  <c r="X9"/>
  <c r="AC23"/>
  <c r="AC21" s="1"/>
  <c r="AC13"/>
  <c r="AB11"/>
  <c r="X12" l="1"/>
  <c r="Y10" s="1"/>
  <c r="AA22"/>
  <c r="AB20" s="1"/>
  <c r="AB19" s="1"/>
  <c r="AB22" s="1"/>
  <c r="AC20" s="1"/>
  <c r="AD23"/>
  <c r="AD21" s="1"/>
  <c r="AD13"/>
  <c r="AC11"/>
  <c r="Y9" l="1"/>
  <c r="AC19"/>
  <c r="AC22" s="1"/>
  <c r="AD20" s="1"/>
  <c r="AE23"/>
  <c r="AE21" s="1"/>
  <c r="AE13"/>
  <c r="AD11"/>
  <c r="Y12" l="1"/>
  <c r="Z10" s="1"/>
  <c r="AD19"/>
  <c r="AF23"/>
  <c r="AF21" s="1"/>
  <c r="AF13"/>
  <c r="AE11"/>
  <c r="Z9" l="1"/>
  <c r="AD22"/>
  <c r="AE20" s="1"/>
  <c r="AE19" s="1"/>
  <c r="AE22" s="1"/>
  <c r="AF20" s="1"/>
  <c r="AG23"/>
  <c r="AG21" s="1"/>
  <c r="AG13"/>
  <c r="AF11"/>
  <c r="Z12" l="1"/>
  <c r="AA10" s="1"/>
  <c r="AA9" s="1"/>
  <c r="AA12" s="1"/>
  <c r="AB10" s="1"/>
  <c r="AB9" s="1"/>
  <c r="AB12" s="1"/>
  <c r="AC10" s="1"/>
  <c r="AC9" s="1"/>
  <c r="AC12" s="1"/>
  <c r="AD10" s="1"/>
  <c r="AD9" s="1"/>
  <c r="AD12" s="1"/>
  <c r="AE10" s="1"/>
  <c r="AE9" s="1"/>
  <c r="AE12" s="1"/>
  <c r="AF10" s="1"/>
  <c r="AF9" s="1"/>
  <c r="AF12" s="1"/>
  <c r="AG10" s="1"/>
  <c r="AH23"/>
  <c r="AH21" s="1"/>
  <c r="AF19"/>
  <c r="AH13"/>
  <c r="AG11"/>
  <c r="AF22" l="1"/>
  <c r="AG20" s="1"/>
  <c r="AG19" s="1"/>
  <c r="AG22" s="1"/>
  <c r="AH20" s="1"/>
  <c r="AI13"/>
  <c r="AH11"/>
  <c r="AG9"/>
  <c r="AG12" s="1"/>
  <c r="AH10" s="1"/>
  <c r="L40" s="1"/>
  <c r="AH19" l="1"/>
  <c r="AJ13"/>
  <c r="AI11"/>
  <c r="AH9"/>
  <c r="AH12" l="1"/>
  <c r="M40" s="1"/>
  <c r="K40"/>
  <c r="F35" i="12" s="1"/>
  <c r="AH22" i="17"/>
  <c r="AK13"/>
  <c r="AJ11"/>
  <c r="AI10" l="1"/>
  <c r="E26" i="8"/>
  <c r="AL13" i="17"/>
  <c r="AK11"/>
  <c r="AI9" l="1"/>
  <c r="AM13"/>
  <c r="AL11"/>
  <c r="AI12" l="1"/>
  <c r="AJ10" s="1"/>
  <c r="AN13"/>
  <c r="AM11"/>
  <c r="AJ9" l="1"/>
  <c r="AO13"/>
  <c r="AN11"/>
  <c r="AJ12" l="1"/>
  <c r="AK10" s="1"/>
  <c r="AP13"/>
  <c r="AO11"/>
  <c r="AK9" l="1"/>
  <c r="AQ13"/>
  <c r="AP11"/>
  <c r="AK12" l="1"/>
  <c r="AL10" s="1"/>
  <c r="AR13"/>
  <c r="AQ11"/>
  <c r="AL9" l="1"/>
  <c r="AS13"/>
  <c r="AR11"/>
  <c r="AL12" l="1"/>
  <c r="AM10" s="1"/>
  <c r="AM9" s="1"/>
  <c r="AM12" s="1"/>
  <c r="AN10" s="1"/>
  <c r="AN9" s="1"/>
  <c r="AN12" s="1"/>
  <c r="AO10" s="1"/>
  <c r="AO9" s="1"/>
  <c r="AO12" s="1"/>
  <c r="AP10" s="1"/>
  <c r="AP9" s="1"/>
  <c r="AP12" s="1"/>
  <c r="AT13"/>
  <c r="AS11"/>
  <c r="AQ10" l="1"/>
  <c r="AQ9" s="1"/>
  <c r="AQ12" s="1"/>
  <c r="AR10" s="1"/>
  <c r="AR9" s="1"/>
  <c r="AR12" s="1"/>
  <c r="AS10" s="1"/>
  <c r="AS9" s="1"/>
  <c r="AS12" s="1"/>
  <c r="AT10" s="1"/>
  <c r="L41" s="1"/>
  <c r="AT11"/>
  <c r="AT9" l="1"/>
  <c r="AT12" s="1"/>
  <c r="M41" s="1"/>
  <c r="G26" i="8" s="1"/>
  <c r="K41" i="17" l="1"/>
  <c r="G35" i="12" s="1"/>
  <c r="E11" i="6"/>
  <c r="G22" i="7" s="1"/>
  <c r="D11" i="6"/>
  <c r="E22" i="7" s="1"/>
  <c r="C11" i="6"/>
  <c r="C22" i="7" s="1"/>
  <c r="C24" i="9" s="1"/>
  <c r="E7" i="11"/>
  <c r="E11" s="1"/>
  <c r="D7"/>
  <c r="D13" s="1"/>
  <c r="D12" i="9" l="1"/>
  <c r="E24" i="8"/>
  <c r="G24" s="1"/>
  <c r="D18" i="2"/>
  <c r="E18" s="1"/>
  <c r="D14"/>
  <c r="E14" s="1"/>
  <c r="F14" s="1"/>
  <c r="D11"/>
  <c r="E11" s="1"/>
  <c r="F11" s="1"/>
  <c r="F18" l="1"/>
  <c r="C12" i="7"/>
  <c r="F22" i="2"/>
  <c r="E22"/>
  <c r="F11" i="16"/>
  <c r="E11"/>
  <c r="D11"/>
  <c r="C9" i="7" s="1"/>
  <c r="D6" i="16"/>
  <c r="E6" s="1"/>
  <c r="F6" s="1"/>
  <c r="C25" i="9"/>
  <c r="E27"/>
  <c r="D27"/>
  <c r="C27"/>
  <c r="E25"/>
  <c r="D25"/>
  <c r="G14" i="7"/>
  <c r="E14"/>
  <c r="C14"/>
  <c r="G31" i="12"/>
  <c r="D11" i="11"/>
  <c r="F31" i="12" s="1"/>
  <c r="C11" i="11"/>
  <c r="E31" i="12" s="1"/>
  <c r="G28" i="8"/>
  <c r="E28"/>
  <c r="C28"/>
  <c r="E20"/>
  <c r="C20"/>
  <c r="H51" i="5"/>
  <c r="G51"/>
  <c r="H50"/>
  <c r="H47" s="1"/>
  <c r="E67" s="1"/>
  <c r="G50"/>
  <c r="H49"/>
  <c r="G49"/>
  <c r="H48"/>
  <c r="G48"/>
  <c r="H46"/>
  <c r="G46"/>
  <c r="H45"/>
  <c r="G45"/>
  <c r="H44"/>
  <c r="G44"/>
  <c r="H43"/>
  <c r="G43"/>
  <c r="H42"/>
  <c r="G42"/>
  <c r="H33"/>
  <c r="G33"/>
  <c r="H32"/>
  <c r="G32"/>
  <c r="H31"/>
  <c r="G31"/>
  <c r="G29" s="1"/>
  <c r="H30"/>
  <c r="H29" s="1"/>
  <c r="G30"/>
  <c r="H28"/>
  <c r="G28"/>
  <c r="H27"/>
  <c r="G27"/>
  <c r="H26"/>
  <c r="G26"/>
  <c r="H25"/>
  <c r="G25"/>
  <c r="H15"/>
  <c r="H14"/>
  <c r="H13"/>
  <c r="H12"/>
  <c r="G15"/>
  <c r="G14"/>
  <c r="G13"/>
  <c r="H7"/>
  <c r="H8"/>
  <c r="H9"/>
  <c r="H10"/>
  <c r="G10"/>
  <c r="G7"/>
  <c r="G8"/>
  <c r="G9"/>
  <c r="H6"/>
  <c r="G6"/>
  <c r="C23"/>
  <c r="C52"/>
  <c r="I63" s="1"/>
  <c r="C47"/>
  <c r="C41"/>
  <c r="C34"/>
  <c r="H63" s="1"/>
  <c r="C29"/>
  <c r="C16"/>
  <c r="C5"/>
  <c r="L18" i="4"/>
  <c r="T18" s="1"/>
  <c r="L17"/>
  <c r="T17" s="1"/>
  <c r="L16"/>
  <c r="T16" s="1"/>
  <c r="L15"/>
  <c r="T15" s="1"/>
  <c r="L14"/>
  <c r="T14" s="1"/>
  <c r="L13"/>
  <c r="T13" s="1"/>
  <c r="L12"/>
  <c r="T12" s="1"/>
  <c r="L11"/>
  <c r="T11" s="1"/>
  <c r="L10"/>
  <c r="T10" s="1"/>
  <c r="L9"/>
  <c r="T9" s="1"/>
  <c r="L8"/>
  <c r="T8" s="1"/>
  <c r="L7"/>
  <c r="T7" s="1"/>
  <c r="L6"/>
  <c r="T6" s="1"/>
  <c r="K18"/>
  <c r="S18" s="1"/>
  <c r="K17"/>
  <c r="S17" s="1"/>
  <c r="K16"/>
  <c r="S16" s="1"/>
  <c r="K15"/>
  <c r="S15" s="1"/>
  <c r="K14"/>
  <c r="S14" s="1"/>
  <c r="K13"/>
  <c r="S13" s="1"/>
  <c r="K12"/>
  <c r="S12" s="1"/>
  <c r="K11"/>
  <c r="S11" s="1"/>
  <c r="K10"/>
  <c r="S10" s="1"/>
  <c r="K9"/>
  <c r="S9" s="1"/>
  <c r="K8"/>
  <c r="S8" s="1"/>
  <c r="K7"/>
  <c r="S7" s="1"/>
  <c r="K6"/>
  <c r="S6" s="1"/>
  <c r="L5"/>
  <c r="T5" s="1"/>
  <c r="K5"/>
  <c r="S5" s="1"/>
  <c r="J7"/>
  <c r="R7" s="1"/>
  <c r="J6"/>
  <c r="R6" s="1"/>
  <c r="J18"/>
  <c r="R18" s="1"/>
  <c r="J17"/>
  <c r="R17" s="1"/>
  <c r="J16"/>
  <c r="R16" s="1"/>
  <c r="J15"/>
  <c r="R15" s="1"/>
  <c r="J14"/>
  <c r="R14" s="1"/>
  <c r="J13"/>
  <c r="R13" s="1"/>
  <c r="J12"/>
  <c r="R12" s="1"/>
  <c r="J11"/>
  <c r="R11" s="1"/>
  <c r="J10"/>
  <c r="R10" s="1"/>
  <c r="J9"/>
  <c r="R9" s="1"/>
  <c r="J8"/>
  <c r="R8" s="1"/>
  <c r="J5"/>
  <c r="G47" i="5" l="1"/>
  <c r="I62" s="1"/>
  <c r="H62"/>
  <c r="G11"/>
  <c r="G62" s="1"/>
  <c r="H41"/>
  <c r="E62"/>
  <c r="C63"/>
  <c r="G63"/>
  <c r="G41"/>
  <c r="I61" s="1"/>
  <c r="E63"/>
  <c r="E22" i="9" s="1"/>
  <c r="E61" i="5"/>
  <c r="D61"/>
  <c r="R5" i="4"/>
  <c r="R20" s="1"/>
  <c r="J20"/>
  <c r="D63" i="5"/>
  <c r="D22" i="9" s="1"/>
  <c r="D62" i="5"/>
  <c r="D21" i="9" s="1"/>
  <c r="C61" i="5"/>
  <c r="G9" i="7"/>
  <c r="C71" i="5"/>
  <c r="C11" i="8" s="1"/>
  <c r="E71" i="5"/>
  <c r="G11" i="8" s="1"/>
  <c r="C21" i="9"/>
  <c r="E9" i="7"/>
  <c r="C22" i="9"/>
  <c r="H5" i="5"/>
  <c r="H11"/>
  <c r="C67" s="1"/>
  <c r="C70" s="1"/>
  <c r="C10" i="8" s="1"/>
  <c r="G5" i="5"/>
  <c r="G61" s="1"/>
  <c r="G23"/>
  <c r="H23"/>
  <c r="L20" i="4"/>
  <c r="G12" i="12" s="1"/>
  <c r="T20" i="4"/>
  <c r="K20"/>
  <c r="S20"/>
  <c r="E21" i="9" l="1"/>
  <c r="E70" i="5"/>
  <c r="G60"/>
  <c r="E33" i="12" s="1"/>
  <c r="I60" i="5"/>
  <c r="G33" i="12" s="1"/>
  <c r="E60" i="5"/>
  <c r="E20" i="9"/>
  <c r="D71" i="5"/>
  <c r="E11" i="8" s="1"/>
  <c r="H61" i="5"/>
  <c r="H60" s="1"/>
  <c r="F33" i="12" s="1"/>
  <c r="C66" i="5"/>
  <c r="D66" s="1"/>
  <c r="D69" s="1"/>
  <c r="E18" i="7"/>
  <c r="C73" i="5"/>
  <c r="D73"/>
  <c r="E73"/>
  <c r="C20" i="9"/>
  <c r="D20"/>
  <c r="D60" i="5"/>
  <c r="C60"/>
  <c r="E10" i="8"/>
  <c r="E12" i="12"/>
  <c r="G18" i="7"/>
  <c r="F12" i="12"/>
  <c r="C65" i="5"/>
  <c r="C18" i="7"/>
  <c r="D22" i="4"/>
  <c r="E29" i="8"/>
  <c r="C22" i="4"/>
  <c r="C29" i="8"/>
  <c r="E22" i="4"/>
  <c r="G29" i="8"/>
  <c r="C69" i="5" l="1"/>
  <c r="C9" i="8" s="1"/>
  <c r="C12" s="1"/>
  <c r="C38" s="1"/>
  <c r="E17" i="9"/>
  <c r="G10" i="8"/>
  <c r="D17" i="9"/>
  <c r="C17"/>
  <c r="E66" i="5"/>
  <c r="E65" s="1"/>
  <c r="E9" i="8"/>
  <c r="E12" s="1"/>
  <c r="E38" s="1"/>
  <c r="D24" i="9"/>
  <c r="D65" i="5"/>
  <c r="E69" l="1"/>
  <c r="G9" i="8" s="1"/>
  <c r="G12" s="1"/>
  <c r="G38" s="1"/>
  <c r="E24" i="9"/>
  <c r="G16" i="7" l="1"/>
  <c r="G13"/>
  <c r="E13"/>
  <c r="C13"/>
  <c r="G12"/>
  <c r="E12"/>
  <c r="G11"/>
  <c r="E11"/>
  <c r="C11"/>
  <c r="E10" i="9"/>
  <c r="D10"/>
  <c r="C10"/>
  <c r="C16" i="7"/>
  <c r="E16"/>
  <c r="E24" i="4"/>
  <c r="G30" i="12" s="1"/>
  <c r="D24" i="4" l="1"/>
  <c r="F30" i="12" s="1"/>
  <c r="C24" i="4"/>
  <c r="E30" i="12" s="1"/>
  <c r="D8" i="2"/>
  <c r="C4" i="6" s="1"/>
  <c r="C7" s="1"/>
  <c r="E44" i="3"/>
  <c r="D44"/>
  <c r="E35"/>
  <c r="D35"/>
  <c r="E25"/>
  <c r="D25"/>
  <c r="E16"/>
  <c r="D16"/>
  <c r="E7"/>
  <c r="D7"/>
  <c r="C44"/>
  <c r="C41"/>
  <c r="D41" s="1"/>
  <c r="E41" s="1"/>
  <c r="C32"/>
  <c r="D32" s="1"/>
  <c r="E32" s="1"/>
  <c r="C22"/>
  <c r="D22" s="1"/>
  <c r="E22" s="1"/>
  <c r="C13"/>
  <c r="D13" s="1"/>
  <c r="E13" s="1"/>
  <c r="C4"/>
  <c r="C35"/>
  <c r="C25"/>
  <c r="C16"/>
  <c r="C7"/>
  <c r="C51" l="1"/>
  <c r="D54"/>
  <c r="E13" i="8" s="1"/>
  <c r="E8" i="2"/>
  <c r="D4" i="6" s="1"/>
  <c r="D7" s="1"/>
  <c r="D7" i="17"/>
  <c r="E10" i="12"/>
  <c r="E54" i="3"/>
  <c r="E53"/>
  <c r="D53"/>
  <c r="E19" i="7" s="1"/>
  <c r="D11" i="9" s="1"/>
  <c r="C54" i="3"/>
  <c r="C53"/>
  <c r="C52"/>
  <c r="E11" i="12" s="1"/>
  <c r="E51" i="3"/>
  <c r="E52"/>
  <c r="G11" i="12" s="1"/>
  <c r="G13" s="1"/>
  <c r="G15" s="1"/>
  <c r="D52" i="3"/>
  <c r="F11" i="12" s="1"/>
  <c r="F13" s="1"/>
  <c r="F15" s="1"/>
  <c r="D51" i="3"/>
  <c r="C3" i="5"/>
  <c r="C59"/>
  <c r="D4" i="3"/>
  <c r="C4" i="11"/>
  <c r="E55" i="3" l="1"/>
  <c r="F10" i="12"/>
  <c r="F8" i="2"/>
  <c r="E4" i="6" s="1"/>
  <c r="E7" s="1"/>
  <c r="D18" i="17"/>
  <c r="Q17" s="1"/>
  <c r="E14" i="8"/>
  <c r="L17" i="17"/>
  <c r="AE7"/>
  <c r="Z7"/>
  <c r="C72" i="5"/>
  <c r="G59"/>
  <c r="O7" i="17"/>
  <c r="P7"/>
  <c r="R7"/>
  <c r="K7"/>
  <c r="I39" s="1"/>
  <c r="S7"/>
  <c r="T7"/>
  <c r="M7"/>
  <c r="L7"/>
  <c r="V7"/>
  <c r="N7"/>
  <c r="Q7"/>
  <c r="U7"/>
  <c r="D55" i="3"/>
  <c r="E8" i="7" s="1"/>
  <c r="C55" i="3"/>
  <c r="C8" i="7" s="1"/>
  <c r="G14" i="8"/>
  <c r="G19" i="7"/>
  <c r="E11" i="9" s="1"/>
  <c r="E57" i="3"/>
  <c r="G27" i="12" s="1"/>
  <c r="C13" i="8"/>
  <c r="D57" i="3"/>
  <c r="F27" i="12" s="1"/>
  <c r="C19" i="7"/>
  <c r="G13" i="8"/>
  <c r="E16" i="9" s="1"/>
  <c r="G8" i="7"/>
  <c r="E13" i="12"/>
  <c r="E15" s="1"/>
  <c r="E17" s="1"/>
  <c r="E18"/>
  <c r="E22" s="1"/>
  <c r="C15" i="8" s="1"/>
  <c r="C15" i="9" s="1"/>
  <c r="C7" i="7"/>
  <c r="C57" i="3"/>
  <c r="E27" i="12" s="1"/>
  <c r="C14" i="8"/>
  <c r="G7" i="7"/>
  <c r="E7"/>
  <c r="C21" i="5"/>
  <c r="D59"/>
  <c r="E4" i="3"/>
  <c r="D4" i="11"/>
  <c r="C4" i="4"/>
  <c r="J4" s="1"/>
  <c r="R4" s="1"/>
  <c r="R17" i="17" l="1"/>
  <c r="X7"/>
  <c r="AC7"/>
  <c r="K17"/>
  <c r="I40" s="1"/>
  <c r="AF7"/>
  <c r="N17"/>
  <c r="AB7"/>
  <c r="AG7"/>
  <c r="AH7"/>
  <c r="W7"/>
  <c r="P17"/>
  <c r="V17"/>
  <c r="S17"/>
  <c r="O17"/>
  <c r="T17"/>
  <c r="Y7"/>
  <c r="U17"/>
  <c r="AD7"/>
  <c r="D28"/>
  <c r="K27" s="1"/>
  <c r="I41" s="1"/>
  <c r="M17"/>
  <c r="AA7"/>
  <c r="G10" i="12"/>
  <c r="E14" i="9"/>
  <c r="D72" i="5"/>
  <c r="H59"/>
  <c r="X17" i="17"/>
  <c r="V27"/>
  <c r="AS7"/>
  <c r="S27"/>
  <c r="AB17"/>
  <c r="L27"/>
  <c r="Q27"/>
  <c r="AI7"/>
  <c r="C11" i="9"/>
  <c r="C10" i="7"/>
  <c r="G10" i="18"/>
  <c r="E10" i="7"/>
  <c r="F8" s="1"/>
  <c r="F10" i="18"/>
  <c r="C16" i="9"/>
  <c r="D16"/>
  <c r="C25" i="8"/>
  <c r="E19" i="12"/>
  <c r="E23" s="1"/>
  <c r="G10" i="7"/>
  <c r="H8" s="1"/>
  <c r="D14" i="9"/>
  <c r="C39" i="8"/>
  <c r="C14" i="9"/>
  <c r="F16" i="12"/>
  <c r="E4" i="11"/>
  <c r="E59" i="5"/>
  <c r="C39"/>
  <c r="E4" i="4"/>
  <c r="L4" s="1"/>
  <c r="T4" s="1"/>
  <c r="D4"/>
  <c r="K4" s="1"/>
  <c r="S4" s="1"/>
  <c r="C6" i="7"/>
  <c r="E8" i="18" s="1"/>
  <c r="O27" i="17" l="1"/>
  <c r="AJ7"/>
  <c r="Y17"/>
  <c r="R27"/>
  <c r="AL7"/>
  <c r="AA17"/>
  <c r="AM7"/>
  <c r="AD17"/>
  <c r="AQ7"/>
  <c r="W17"/>
  <c r="AO7"/>
  <c r="AE17"/>
  <c r="AK7"/>
  <c r="T27"/>
  <c r="N27"/>
  <c r="AC17"/>
  <c r="AT7"/>
  <c r="P27"/>
  <c r="AH17"/>
  <c r="AF17"/>
  <c r="Z17"/>
  <c r="AP7"/>
  <c r="M27"/>
  <c r="AN7"/>
  <c r="U27"/>
  <c r="AR7"/>
  <c r="AG17"/>
  <c r="E72" i="5"/>
  <c r="I59"/>
  <c r="G17" i="7"/>
  <c r="H17" s="1"/>
  <c r="H11"/>
  <c r="H16"/>
  <c r="H12"/>
  <c r="H22"/>
  <c r="H7"/>
  <c r="H13"/>
  <c r="H18"/>
  <c r="H14"/>
  <c r="H10"/>
  <c r="H19"/>
  <c r="H9"/>
  <c r="E15"/>
  <c r="F15" s="1"/>
  <c r="C17"/>
  <c r="D14"/>
  <c r="D10"/>
  <c r="D9"/>
  <c r="D11"/>
  <c r="D16"/>
  <c r="D12"/>
  <c r="D22"/>
  <c r="D13"/>
  <c r="D18"/>
  <c r="D7"/>
  <c r="D19"/>
  <c r="E25" i="8"/>
  <c r="E27" s="1"/>
  <c r="C27"/>
  <c r="E17" i="7"/>
  <c r="E20" s="1"/>
  <c r="F19"/>
  <c r="F12"/>
  <c r="F22"/>
  <c r="F13"/>
  <c r="F9"/>
  <c r="F18"/>
  <c r="F14"/>
  <c r="F10"/>
  <c r="F7"/>
  <c r="F11"/>
  <c r="F16"/>
  <c r="C15"/>
  <c r="D15" s="1"/>
  <c r="C42" i="8"/>
  <c r="D8" i="7"/>
  <c r="E24" i="12"/>
  <c r="G15" i="7"/>
  <c r="H15" s="1"/>
  <c r="F17" i="12"/>
  <c r="F18"/>
  <c r="C30" i="8"/>
  <c r="C44" s="1"/>
  <c r="E6" i="7"/>
  <c r="G6"/>
  <c r="C8" i="9"/>
  <c r="C8" i="8"/>
  <c r="G20" i="7" l="1"/>
  <c r="H20" s="1"/>
  <c r="E42" i="8"/>
  <c r="G12" i="18"/>
  <c r="E12"/>
  <c r="D17" i="7"/>
  <c r="C20"/>
  <c r="F12" i="18"/>
  <c r="F17" i="7"/>
  <c r="G24" i="18"/>
  <c r="F20" i="7"/>
  <c r="G25" i="8"/>
  <c r="D8" i="9"/>
  <c r="F8" i="18"/>
  <c r="E26" i="7"/>
  <c r="F26" s="1"/>
  <c r="E8" i="9"/>
  <c r="G8" i="18"/>
  <c r="D9" i="9"/>
  <c r="D13" s="1"/>
  <c r="F19" i="12"/>
  <c r="F24" s="1"/>
  <c r="C18" i="9"/>
  <c r="G16" i="12"/>
  <c r="G17" s="1"/>
  <c r="F22"/>
  <c r="E15" i="8" s="1"/>
  <c r="G8"/>
  <c r="E8"/>
  <c r="E9" i="9" l="1"/>
  <c r="E13" s="1"/>
  <c r="G26" i="7"/>
  <c r="H26" s="1"/>
  <c r="G42" i="8"/>
  <c r="G27"/>
  <c r="G43" s="1"/>
  <c r="C26" i="7"/>
  <c r="D26" s="1"/>
  <c r="D20"/>
  <c r="F24" i="18" s="1"/>
  <c r="E24"/>
  <c r="C9" i="9"/>
  <c r="C13" s="1"/>
  <c r="C19" s="1"/>
  <c r="E18" i="18" s="1"/>
  <c r="G19" i="12"/>
  <c r="G24" s="1"/>
  <c r="F23"/>
  <c r="D15" i="9"/>
  <c r="E39" i="8"/>
  <c r="G18" i="12"/>
  <c r="G22" s="1"/>
  <c r="G15" i="8" s="1"/>
  <c r="D23" i="9"/>
  <c r="E23"/>
  <c r="C43" i="8"/>
  <c r="C23" i="9"/>
  <c r="G23" i="12" l="1"/>
  <c r="G30" i="8" s="1"/>
  <c r="G44" s="1"/>
  <c r="E43"/>
  <c r="E30"/>
  <c r="E44" s="1"/>
  <c r="E15" i="9"/>
  <c r="G39" i="8"/>
  <c r="E18" i="9" l="1"/>
  <c r="E19" s="1"/>
  <c r="G18" i="18" s="1"/>
  <c r="D18" i="9"/>
  <c r="D19" s="1"/>
  <c r="F18" i="18" s="1"/>
  <c r="E14" l="1"/>
  <c r="F14"/>
  <c r="G14"/>
  <c r="C21" i="7" l="1"/>
  <c r="D21"/>
  <c r="E21"/>
  <c r="F21"/>
  <c r="G21"/>
  <c r="H21"/>
  <c r="C23"/>
  <c r="D23"/>
  <c r="E23"/>
  <c r="F23"/>
  <c r="G23"/>
  <c r="H23"/>
  <c r="C24"/>
  <c r="D24"/>
  <c r="E24"/>
  <c r="F24"/>
  <c r="G24"/>
  <c r="H24"/>
  <c r="C25"/>
  <c r="D25"/>
  <c r="E25"/>
  <c r="F25"/>
  <c r="G25"/>
  <c r="H25"/>
  <c r="C27"/>
  <c r="D27"/>
  <c r="E27"/>
  <c r="F27"/>
  <c r="G27"/>
  <c r="H27"/>
  <c r="C28"/>
  <c r="D28"/>
  <c r="E28"/>
  <c r="F28"/>
  <c r="G28"/>
  <c r="H28"/>
  <c r="E16" i="18"/>
  <c r="F16"/>
  <c r="G16"/>
  <c r="E20"/>
  <c r="F20"/>
  <c r="G20"/>
  <c r="E22"/>
  <c r="F22"/>
  <c r="G22"/>
  <c r="D26" i="9"/>
  <c r="E26"/>
  <c r="C28"/>
  <c r="D28"/>
  <c r="E28"/>
  <c r="C29"/>
  <c r="D29"/>
  <c r="E29"/>
  <c r="C30"/>
  <c r="D30"/>
  <c r="E30"/>
  <c r="C31"/>
  <c r="D31"/>
  <c r="E31"/>
  <c r="D32"/>
  <c r="E32"/>
  <c r="C34"/>
  <c r="D34"/>
  <c r="E34"/>
  <c r="E32" i="12"/>
  <c r="F32"/>
  <c r="G32"/>
  <c r="E36"/>
  <c r="F36"/>
  <c r="G36"/>
  <c r="E38"/>
  <c r="F38"/>
  <c r="G38"/>
  <c r="E39"/>
  <c r="F39"/>
  <c r="G39"/>
  <c r="E42"/>
  <c r="F42"/>
  <c r="G42"/>
  <c r="E43"/>
  <c r="F43"/>
  <c r="G43"/>
  <c r="D12" i="8"/>
  <c r="F12"/>
  <c r="H12"/>
  <c r="C16"/>
  <c r="E16"/>
  <c r="G16"/>
  <c r="C17"/>
  <c r="D17"/>
  <c r="E17"/>
  <c r="F17"/>
  <c r="G17"/>
  <c r="H17"/>
  <c r="C18"/>
  <c r="D18"/>
  <c r="E18"/>
  <c r="F18"/>
  <c r="G18"/>
  <c r="H18"/>
  <c r="E21"/>
  <c r="G21"/>
  <c r="C22"/>
  <c r="E22"/>
  <c r="G22"/>
  <c r="C23"/>
  <c r="D23"/>
  <c r="E23"/>
  <c r="F23"/>
  <c r="G23"/>
  <c r="H23"/>
  <c r="D24"/>
  <c r="F24"/>
  <c r="H24"/>
  <c r="D25"/>
  <c r="F25"/>
  <c r="H25"/>
  <c r="D27"/>
  <c r="F27"/>
  <c r="H27"/>
  <c r="C31"/>
  <c r="E31"/>
  <c r="G31"/>
  <c r="C32"/>
  <c r="D32"/>
  <c r="E32"/>
  <c r="F32"/>
  <c r="G32"/>
  <c r="H32"/>
  <c r="C33"/>
  <c r="D33"/>
  <c r="E33"/>
  <c r="F33"/>
  <c r="G33"/>
  <c r="H33"/>
  <c r="C35"/>
  <c r="E35"/>
  <c r="G35"/>
  <c r="C41"/>
  <c r="E41"/>
  <c r="G41"/>
  <c r="C46"/>
  <c r="E46"/>
  <c r="G46"/>
  <c r="C48"/>
  <c r="E48"/>
  <c r="G48"/>
</calcChain>
</file>

<file path=xl/sharedStrings.xml><?xml version="1.0" encoding="utf-8"?>
<sst xmlns="http://schemas.openxmlformats.org/spreadsheetml/2006/main" count="424" uniqueCount="241">
  <si>
    <t>Anno iniziale</t>
  </si>
  <si>
    <t>Aliquota IRAP</t>
  </si>
  <si>
    <t>Aliquota IRES</t>
  </si>
  <si>
    <t>Nuovi investimenti materiali</t>
  </si>
  <si>
    <t>Nuovi investimenti immateriali</t>
  </si>
  <si>
    <t>Nuovi investimenti finanziari</t>
  </si>
  <si>
    <t xml:space="preserve">Capitale sociale </t>
  </si>
  <si>
    <t>Costi amministrativi</t>
  </si>
  <si>
    <t>Aliquota IVA</t>
  </si>
  <si>
    <t>Ricavi di vendita</t>
  </si>
  <si>
    <t>Altri ricavi</t>
  </si>
  <si>
    <t>Variazione magazzino</t>
  </si>
  <si>
    <t>Costi per servizi</t>
  </si>
  <si>
    <t>Godimento beni di terzi</t>
  </si>
  <si>
    <t>VALORE AGGIUNTO</t>
  </si>
  <si>
    <t>Costo del lavoro</t>
  </si>
  <si>
    <t>MARGINE OPERATIVO LORDO</t>
  </si>
  <si>
    <t>Ammortamenti</t>
  </si>
  <si>
    <t>Accantonamenti</t>
  </si>
  <si>
    <t>REDDITO OPERATIVO</t>
  </si>
  <si>
    <t>Oneri finanziari</t>
  </si>
  <si>
    <t>RISULTATO ANTE IMPOSTE</t>
  </si>
  <si>
    <t>Imposte</t>
  </si>
  <si>
    <t>RISULTATO DI ESERCIZIO</t>
  </si>
  <si>
    <t>Immobilizzazioni materiali</t>
  </si>
  <si>
    <t>Immobilizzazioni immateriali</t>
  </si>
  <si>
    <t>Immobilizzazioni finanziarie</t>
  </si>
  <si>
    <t>TOTALE ATTIVO FISSO</t>
  </si>
  <si>
    <t>Crediti verso clienti</t>
  </si>
  <si>
    <t>Altri crediti</t>
  </si>
  <si>
    <t>Disponibilità liquide</t>
  </si>
  <si>
    <t>TOTALE ATTIVO CIRCOLANTE</t>
  </si>
  <si>
    <t>Capitale sociale</t>
  </si>
  <si>
    <t>Risultato di esercizio</t>
  </si>
  <si>
    <t>PATRIMONIO NETTO</t>
  </si>
  <si>
    <t>FONDO TFR</t>
  </si>
  <si>
    <t>ALTRI FONDI PER RISCHI E ONERI</t>
  </si>
  <si>
    <t>Finanziamenti a medio lungo termine</t>
  </si>
  <si>
    <t>PASSIVITA' CONSOLIDATE</t>
  </si>
  <si>
    <t>Debiti verso fornitori</t>
  </si>
  <si>
    <t>Altri debiti</t>
  </si>
  <si>
    <t>Debiti bancari a breve</t>
  </si>
  <si>
    <t>TOTALE PASSIVITA' CORRENTI</t>
  </si>
  <si>
    <t>TOTALE ATTIVITA'</t>
  </si>
  <si>
    <t>TOTALE PASSIVITA'</t>
  </si>
  <si>
    <t>TFR</t>
  </si>
  <si>
    <t>Importo 
(Iva esclusa)</t>
  </si>
  <si>
    <t>Aliquota ammortamento</t>
  </si>
  <si>
    <t>Aliquota IVA (%)</t>
  </si>
  <si>
    <t>Tassi interesse attivi c/c</t>
  </si>
  <si>
    <t>Tassi interesse passivi c/c</t>
  </si>
  <si>
    <t>Prezzo unitario</t>
  </si>
  <si>
    <t xml:space="preserve">RICAVI </t>
  </si>
  <si>
    <t>RIEPILOGO</t>
  </si>
  <si>
    <t>Ricavi complessivi</t>
  </si>
  <si>
    <t>Iva a debito</t>
  </si>
  <si>
    <t>Crediti commerciali</t>
  </si>
  <si>
    <t>Rimanenze di prodotti</t>
  </si>
  <si>
    <t>Variazione rimanenze</t>
  </si>
  <si>
    <t>Giorni di rotazione magazzino</t>
  </si>
  <si>
    <t>Quantità vendute</t>
  </si>
  <si>
    <t>Distribuzione utile esercizio</t>
  </si>
  <si>
    <t>ai fondi mutualistici</t>
  </si>
  <si>
    <t>a riserva legale</t>
  </si>
  <si>
    <t>a dividendi</t>
  </si>
  <si>
    <t>Energia elettrica, gas, acqua</t>
  </si>
  <si>
    <t>Trasporti</t>
  </si>
  <si>
    <t>Lavorazioni di terzi</t>
  </si>
  <si>
    <t>Manutenzioni</t>
  </si>
  <si>
    <t xml:space="preserve">Fabbricati </t>
  </si>
  <si>
    <t>Impianti e macchinari</t>
  </si>
  <si>
    <t>Attrezzature industriali e commerciali</t>
  </si>
  <si>
    <t>Altri beni</t>
  </si>
  <si>
    <t>Terreni</t>
  </si>
  <si>
    <t>Costi d'impianto e ampliamento</t>
  </si>
  <si>
    <t>Altre immobilizzazioni immateriali</t>
  </si>
  <si>
    <t>Depositi cauzionali</t>
  </si>
  <si>
    <t>Costi di ricerca e sviluppo</t>
  </si>
  <si>
    <t>Software, brevetti</t>
  </si>
  <si>
    <t>Immobilizzazioni Finanziarie</t>
  </si>
  <si>
    <t>Contributi previdenziali</t>
  </si>
  <si>
    <t>Accantonamento TFR</t>
  </si>
  <si>
    <t>Numero dipendenti</t>
  </si>
  <si>
    <t>TOTALE COSTO DEL LAVORO</t>
  </si>
  <si>
    <t>Prestiti da soci</t>
  </si>
  <si>
    <t>Acquisti e consumi di materie prime</t>
  </si>
  <si>
    <t>MODELLO DI BUSINESS PLAN</t>
  </si>
  <si>
    <t>Variazione crediti commerciali</t>
  </si>
  <si>
    <t>Variazione credito IVA</t>
  </si>
  <si>
    <t>Variazione fornitori</t>
  </si>
  <si>
    <t>FLUSSO MONETARIO GESTIONE TIPICA</t>
  </si>
  <si>
    <t>Aumenti capitale sociale</t>
  </si>
  <si>
    <t>Finanziamenti dei soci</t>
  </si>
  <si>
    <t xml:space="preserve">Imposte </t>
  </si>
  <si>
    <t>FLUSSO DI LIQUIDITA' TOTALE</t>
  </si>
  <si>
    <t>LIQUIDITA' NETTA INIZIALE</t>
  </si>
  <si>
    <t>LIQUIDITA' NETTA FINALE</t>
  </si>
  <si>
    <t>Provvigioni</t>
  </si>
  <si>
    <t>Spese postali</t>
  </si>
  <si>
    <t>Affitti e locazioni passive</t>
  </si>
  <si>
    <t>Altri costi amministrativi</t>
  </si>
  <si>
    <t>Premi assicurativi</t>
  </si>
  <si>
    <t>Spese di pubblicità e promozioni</t>
  </si>
  <si>
    <t>Consulenze e collaborazioni</t>
  </si>
  <si>
    <t>Retribuzione Lorda media per addetto</t>
  </si>
  <si>
    <t>ALTRI RICAVI</t>
  </si>
  <si>
    <t xml:space="preserve"> - CONTRIBUTI IN CONTO ESERCIZIO</t>
  </si>
  <si>
    <t xml:space="preserve"> - DONAZIONI</t>
  </si>
  <si>
    <t xml:space="preserve"> - ALTRI</t>
  </si>
  <si>
    <t>TOTALE COSTI</t>
  </si>
  <si>
    <t>Altri costi</t>
  </si>
  <si>
    <t>Reddito operativo</t>
  </si>
  <si>
    <t>Canoni di leasing</t>
  </si>
  <si>
    <t>CONTO ECONOMICO PREVISIONALE</t>
  </si>
  <si>
    <t>DEBITI VERSO FORNITORI</t>
  </si>
  <si>
    <t>totale iva a credito</t>
  </si>
  <si>
    <t>fornitori a sp</t>
  </si>
  <si>
    <t>TOTALE IVA</t>
  </si>
  <si>
    <t>TOTALE DEBITI VERSO FORNITORI</t>
  </si>
  <si>
    <t>Anno</t>
  </si>
  <si>
    <t>ammortamenti a CE</t>
  </si>
  <si>
    <t>totale IVA a credito</t>
  </si>
  <si>
    <t>RIEPILOGO INVESTIMENTI</t>
  </si>
  <si>
    <t>MATERIALI</t>
  </si>
  <si>
    <t>IMMATERIALI</t>
  </si>
  <si>
    <t>FINANZIARIE</t>
  </si>
  <si>
    <t>FONDO AMMORTAMENTO</t>
  </si>
  <si>
    <t>MATERIALI A SP</t>
  </si>
  <si>
    <t>IMMATERIALI A SP</t>
  </si>
  <si>
    <t>TOTALE INVESTIMENTI</t>
  </si>
  <si>
    <t>a medio lungo</t>
  </si>
  <si>
    <t>a breve</t>
  </si>
  <si>
    <t>Riserve e risultato a nuovo</t>
  </si>
  <si>
    <t>VALORE DELLA PRODUZIONE</t>
  </si>
  <si>
    <t>Materie prime e consumi</t>
  </si>
  <si>
    <t>Fonti di finanziamento</t>
  </si>
  <si>
    <t>irap</t>
  </si>
  <si>
    <t>ires</t>
  </si>
  <si>
    <t>Distribuzione utile</t>
  </si>
  <si>
    <t>a riserva indivisibile e a nuovo</t>
  </si>
  <si>
    <t>STATO PATRIMONIALE PREVISIONALE</t>
  </si>
  <si>
    <t>RENDICONTO FINANZIARIO PREVISIONALE</t>
  </si>
  <si>
    <t>iva a debito</t>
  </si>
  <si>
    <t xml:space="preserve">iva a credito </t>
  </si>
  <si>
    <t>saldo iva</t>
  </si>
  <si>
    <t>INCASSI ANNUI</t>
  </si>
  <si>
    <t>USCITE ANNUE COSTI</t>
  </si>
  <si>
    <t>USCITE ANNUE PERSONALE</t>
  </si>
  <si>
    <t>totale uscite</t>
  </si>
  <si>
    <t>uscite per imposte</t>
  </si>
  <si>
    <t>Svalutazione crediti (%)</t>
  </si>
  <si>
    <t>Utilizzo Iva a credito</t>
  </si>
  <si>
    <t>Liquidazione Iva</t>
  </si>
  <si>
    <t>Riporto Iva a Credito</t>
  </si>
  <si>
    <t>Pagamento Iva</t>
  </si>
  <si>
    <t>Variazione debito IVA</t>
  </si>
  <si>
    <t>Variazione debiti finanziari a medio lungo termine</t>
  </si>
  <si>
    <t>Oneri finanziari su finanziamenti a medio lungo termine</t>
  </si>
  <si>
    <t>Iva a Credito SP</t>
  </si>
  <si>
    <t>Iva a Debito SP</t>
  </si>
  <si>
    <t>Pagamento Iva -uscite</t>
  </si>
  <si>
    <t>TOTALE ALTRI RICAVI</t>
  </si>
  <si>
    <t>Costi gestionali</t>
  </si>
  <si>
    <t>check</t>
  </si>
  <si>
    <t>Magazzino</t>
  </si>
  <si>
    <t xml:space="preserve">Erario iva </t>
  </si>
  <si>
    <t>interessi su c/c</t>
  </si>
  <si>
    <t>FINANZIARIE A SP</t>
  </si>
  <si>
    <t>saldo gestione corrente</t>
  </si>
  <si>
    <t>verifica</t>
  </si>
  <si>
    <t>attivo fisso</t>
  </si>
  <si>
    <t>crediti+mag</t>
  </si>
  <si>
    <t>pn</t>
  </si>
  <si>
    <t>fondi</t>
  </si>
  <si>
    <t>consol</t>
  </si>
  <si>
    <t>correnti</t>
  </si>
  <si>
    <t>uscite annue costi</t>
  </si>
  <si>
    <t>uscite per investimenti</t>
  </si>
  <si>
    <t>rata</t>
  </si>
  <si>
    <t>rata annua</t>
  </si>
  <si>
    <t>Mezzi propri</t>
  </si>
  <si>
    <t>tasso di interesse su prestito</t>
  </si>
  <si>
    <t>oneri su prestito</t>
  </si>
  <si>
    <t>sviluppo del piano</t>
  </si>
  <si>
    <t>quota capitale</t>
  </si>
  <si>
    <t>quota interesse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</si>
  <si>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</si>
  <si>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</si>
  <si>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</si>
  <si>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</si>
  <si>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</si>
  <si>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</si>
  <si>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</si>
  <si>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</si>
  <si>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</si>
  <si>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</si>
  <si>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</si>
  <si>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</si>
  <si>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debito residuo</t>
  </si>
  <si>
    <t>uscite per rimborso rate</t>
  </si>
  <si>
    <t>RIEPILOGO PER PERIODO</t>
  </si>
  <si>
    <t>CAPITALE</t>
  </si>
  <si>
    <t>INTERESSI</t>
  </si>
  <si>
    <t>NUMERO RATE</t>
  </si>
  <si>
    <t>DEBITO RESIDUO</t>
  </si>
  <si>
    <t>di cui incassi di mutui</t>
  </si>
  <si>
    <t>di cui incassi da soci</t>
  </si>
  <si>
    <t>ONERI TEORICI</t>
  </si>
  <si>
    <t>BANCHE</t>
  </si>
  <si>
    <t>uscite per rimborsi soci</t>
  </si>
  <si>
    <t>FLUSSO REDDITUALE GESTIONE CARATTERISTICA</t>
  </si>
  <si>
    <t>Investimenti netti Immobilizzazioni materiali</t>
  </si>
  <si>
    <t>Investimenti Immobilizzazioni immateriali</t>
  </si>
  <si>
    <t>ammortamenti a ce</t>
  </si>
  <si>
    <t>PFN/MOL</t>
  </si>
  <si>
    <t>POSIZIONE FINANZIARIA NETTA</t>
  </si>
  <si>
    <t>FLUSSI DI CASSA/RATE DEI MUTUI</t>
  </si>
  <si>
    <t>TASSO CRESCITA DEI RICAVI</t>
  </si>
  <si>
    <t>REDDITO OPERATIVO/ONERI FINANZIARI</t>
  </si>
  <si>
    <t>MARGINE SECONDARIO DI STRUTTURA</t>
  </si>
  <si>
    <t>Accantonamenti a fondi rischi e oneri</t>
  </si>
  <si>
    <t>Proventi finanziari a breve</t>
  </si>
  <si>
    <t>Oneri finanziari a breve</t>
  </si>
  <si>
    <t>MOL/VENDITE</t>
  </si>
  <si>
    <t>ROI</t>
  </si>
  <si>
    <t>ROS</t>
  </si>
  <si>
    <t>LEGENDA INSERIMENTO DATI</t>
  </si>
  <si>
    <t>Inserire i dati nelle celle di colore verde</t>
  </si>
  <si>
    <t>inserire i valori in unità di €</t>
  </si>
  <si>
    <t>nel foglio ipotesi di base inserire l'anno iniziale nella cella in blu</t>
  </si>
  <si>
    <t>Importo mutuo</t>
  </si>
  <si>
    <t>Tasso annuale</t>
  </si>
  <si>
    <t>Durata prestito (anni)</t>
  </si>
  <si>
    <t>nel foglio ricavi inserire una breve descrizione dei prodotti/servizi offerti e non occorre indicare la rotazione del magazzino in caso di prestazioni di servizi</t>
  </si>
  <si>
    <t>ATTIVO</t>
  </si>
  <si>
    <t>PASSIVO</t>
  </si>
  <si>
    <t>INDICATORI SINTETICI</t>
  </si>
  <si>
    <t xml:space="preserve">nel foglio capitale sociale inserire l'importo del capitale e del prestito da soci previsto per ciascun anno </t>
  </si>
  <si>
    <t>Giorni di incasso medi</t>
  </si>
  <si>
    <t>Giorni di pagamento</t>
  </si>
  <si>
    <t>totale tfr</t>
  </si>
</sst>
</file>

<file path=xl/styles.xml><?xml version="1.0" encoding="utf-8"?>
<styleSheet xmlns="http://schemas.openxmlformats.org/spreadsheetml/2006/main">
  <numFmts count="11">
    <numFmt numFmtId="8" formatCode="&quot;€&quot;\ #,##0.00;[Red]\-&quot;€&quot;\ #,##0.00"/>
    <numFmt numFmtId="41" formatCode="_-* #,##0_-;\-* #,##0_-;_-* &quot;-&quot;_-;_-@_-"/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&quot;L.&quot;\ #,##0;[Red]\-&quot;L.&quot;\ #,##0"/>
    <numFmt numFmtId="165" formatCode="_-\€\ * #,##0.00_-;_-\€\ * #,##0.00\-;_-\€\ * &quot;-&quot;??_-;_-@_-"/>
    <numFmt numFmtId="166" formatCode="0.0"/>
    <numFmt numFmtId="167" formatCode="0.0%"/>
    <numFmt numFmtId="168" formatCode="#,##0_ ;[Red]\-#,##0\ "/>
    <numFmt numFmtId="169" formatCode="#,##0.0"/>
    <numFmt numFmtId="170" formatCode="#,##0.0_ ;[Red]\-#,##0.0\ "/>
  </numFmts>
  <fonts count="20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color indexed="23"/>
      <name val="Arial"/>
      <family val="2"/>
    </font>
    <font>
      <sz val="10"/>
      <name val="Calibri"/>
      <family val="1"/>
    </font>
    <font>
      <sz val="11"/>
      <color theme="1"/>
      <name val="Agency FB"/>
      <family val="2"/>
    </font>
    <font>
      <b/>
      <sz val="11"/>
      <color rgb="FFFA7D00"/>
      <name val="Agency FB"/>
      <family val="2"/>
    </font>
    <font>
      <sz val="10"/>
      <name val="Helv"/>
    </font>
    <font>
      <sz val="11"/>
      <color rgb="FF3F3F76"/>
      <name val="Agency FB"/>
      <family val="2"/>
    </font>
    <font>
      <sz val="8"/>
      <color indexed="8"/>
      <name val="Arial"/>
      <family val="2"/>
    </font>
    <font>
      <b/>
      <sz val="12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name val="Cambria"/>
      <family val="1"/>
      <scheme val="major"/>
    </font>
    <font>
      <i/>
      <sz val="12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2"/>
      <color rgb="FFFF0000"/>
      <name val="Cambria"/>
      <family val="1"/>
      <scheme val="major"/>
    </font>
    <font>
      <sz val="12"/>
      <color theme="0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6"/>
      <name val="Cambria"/>
      <family val="1"/>
      <scheme val="major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7">
    <xf numFmtId="0" fontId="0" fillId="0" borderId="0"/>
    <xf numFmtId="0" fontId="1" fillId="0" borderId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38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2" borderId="0" applyNumberFormat="0" applyFon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4" fillId="0" borderId="0"/>
    <xf numFmtId="165" fontId="1" fillId="0" borderId="0" applyFont="0" applyFill="0" applyBorder="0" applyAlignment="0" applyProtection="0"/>
    <xf numFmtId="0" fontId="5" fillId="6" borderId="0" applyNumberFormat="0" applyBorder="0" applyAlignment="0" applyProtection="0"/>
    <xf numFmtId="0" fontId="6" fillId="4" borderId="1" applyNumberFormat="0" applyAlignment="0" applyProtection="0"/>
    <xf numFmtId="0" fontId="1" fillId="0" borderId="0">
      <alignment vertical="center"/>
    </xf>
    <xf numFmtId="0" fontId="7" fillId="0" borderId="0"/>
    <xf numFmtId="0" fontId="8" fillId="3" borderId="1" applyNumberFormat="0" applyAlignment="0" applyProtection="0"/>
    <xf numFmtId="43" fontId="1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9">
    <xf numFmtId="0" fontId="0" fillId="0" borderId="0" xfId="0"/>
    <xf numFmtId="0" fontId="11" fillId="0" borderId="0" xfId="0" applyFont="1"/>
    <xf numFmtId="1" fontId="11" fillId="0" borderId="0" xfId="0" applyNumberFormat="1" applyFont="1"/>
    <xf numFmtId="1" fontId="12" fillId="0" borderId="0" xfId="0" applyNumberFormat="1" applyFont="1"/>
    <xf numFmtId="0" fontId="12" fillId="0" borderId="0" xfId="0" applyFont="1"/>
    <xf numFmtId="10" fontId="11" fillId="0" borderId="0" xfId="0" applyNumberFormat="1" applyFont="1" applyAlignment="1">
      <alignment horizontal="center"/>
    </xf>
    <xf numFmtId="1" fontId="11" fillId="5" borderId="0" xfId="0" applyNumberFormat="1" applyFont="1" applyFill="1"/>
    <xf numFmtId="10" fontId="11" fillId="7" borderId="0" xfId="0" applyNumberFormat="1" applyFont="1" applyFill="1"/>
    <xf numFmtId="9" fontId="11" fillId="0" borderId="0" xfId="0" applyNumberFormat="1" applyFont="1"/>
    <xf numFmtId="0" fontId="14" fillId="0" borderId="0" xfId="0" applyFont="1"/>
    <xf numFmtId="0" fontId="13" fillId="0" borderId="0" xfId="0" applyFont="1"/>
    <xf numFmtId="166" fontId="11" fillId="0" borderId="0" xfId="0" applyNumberFormat="1" applyFont="1"/>
    <xf numFmtId="9" fontId="11" fillId="7" borderId="0" xfId="0" applyNumberFormat="1" applyFont="1" applyFill="1"/>
    <xf numFmtId="0" fontId="11" fillId="7" borderId="0" xfId="0" applyFont="1" applyFill="1"/>
    <xf numFmtId="0" fontId="10" fillId="0" borderId="0" xfId="0" applyFont="1"/>
    <xf numFmtId="167" fontId="11" fillId="7" borderId="0" xfId="0" applyNumberFormat="1" applyFont="1" applyFill="1"/>
    <xf numFmtId="0" fontId="15" fillId="0" borderId="0" xfId="0" applyFont="1" applyFill="1"/>
    <xf numFmtId="0" fontId="0" fillId="0" borderId="0" xfId="0" applyFill="1"/>
    <xf numFmtId="0" fontId="15" fillId="0" borderId="0" xfId="0" applyFont="1"/>
    <xf numFmtId="8" fontId="11" fillId="0" borderId="0" xfId="0" applyNumberFormat="1" applyFont="1"/>
    <xf numFmtId="168" fontId="11" fillId="0" borderId="0" xfId="0" applyNumberFormat="1" applyFont="1"/>
    <xf numFmtId="169" fontId="11" fillId="0" borderId="0" xfId="0" applyNumberFormat="1" applyFont="1"/>
    <xf numFmtId="170" fontId="11" fillId="0" borderId="0" xfId="0" applyNumberFormat="1" applyFont="1"/>
    <xf numFmtId="3" fontId="11" fillId="0" borderId="0" xfId="0" applyNumberFormat="1" applyFont="1"/>
    <xf numFmtId="169" fontId="12" fillId="0" borderId="0" xfId="0" applyNumberFormat="1" applyFont="1"/>
    <xf numFmtId="3" fontId="11" fillId="7" borderId="0" xfId="0" applyNumberFormat="1" applyFont="1" applyFill="1"/>
    <xf numFmtId="0" fontId="12" fillId="0" borderId="0" xfId="0" applyFont="1" applyFill="1"/>
    <xf numFmtId="0" fontId="11" fillId="0" borderId="0" xfId="0" quotePrefix="1" applyFont="1" applyFill="1"/>
    <xf numFmtId="0" fontId="11" fillId="0" borderId="0" xfId="0" applyFont="1" applyFill="1"/>
    <xf numFmtId="0" fontId="12" fillId="0" borderId="0" xfId="0" quotePrefix="1" applyFont="1" applyFill="1"/>
    <xf numFmtId="2" fontId="10" fillId="5" borderId="2" xfId="0" applyNumberFormat="1" applyFont="1" applyFill="1" applyBorder="1" applyAlignment="1" applyProtection="1">
      <alignment horizontal="center" vertical="center" wrapText="1"/>
      <protection hidden="1"/>
    </xf>
    <xf numFmtId="0" fontId="12" fillId="5" borderId="0" xfId="0" applyFont="1" applyFill="1"/>
    <xf numFmtId="0" fontId="16" fillId="8" borderId="0" xfId="0" applyFont="1" applyFill="1"/>
    <xf numFmtId="3" fontId="16" fillId="8" borderId="0" xfId="0" applyNumberFormat="1" applyFont="1" applyFill="1"/>
    <xf numFmtId="0" fontId="11" fillId="0" borderId="6" xfId="0" applyFont="1" applyBorder="1"/>
    <xf numFmtId="0" fontId="11" fillId="0" borderId="7" xfId="0" applyFont="1" applyBorder="1"/>
    <xf numFmtId="1" fontId="12" fillId="0" borderId="7" xfId="0" applyNumberFormat="1" applyFont="1" applyBorder="1"/>
    <xf numFmtId="1" fontId="12" fillId="0" borderId="8" xfId="0" applyNumberFormat="1" applyFont="1" applyBorder="1"/>
    <xf numFmtId="0" fontId="11" fillId="0" borderId="9" xfId="0" applyFont="1" applyBorder="1"/>
    <xf numFmtId="0" fontId="11" fillId="0" borderId="0" xfId="0" applyFont="1" applyBorder="1"/>
    <xf numFmtId="10" fontId="11" fillId="0" borderId="0" xfId="0" applyNumberFormat="1" applyFont="1" applyBorder="1"/>
    <xf numFmtId="10" fontId="11" fillId="0" borderId="10" xfId="0" applyNumberFormat="1" applyFont="1" applyBorder="1"/>
    <xf numFmtId="10" fontId="11" fillId="0" borderId="0" xfId="0" applyNumberFormat="1" applyFont="1" applyBorder="1" applyAlignment="1">
      <alignment horizontal="center"/>
    </xf>
    <xf numFmtId="10" fontId="11" fillId="0" borderId="10" xfId="0" applyNumberFormat="1" applyFont="1" applyBorder="1" applyAlignment="1">
      <alignment horizontal="center"/>
    </xf>
    <xf numFmtId="166" fontId="11" fillId="0" borderId="0" xfId="0" applyNumberFormat="1" applyFont="1" applyBorder="1" applyAlignment="1">
      <alignment horizontal="center"/>
    </xf>
    <xf numFmtId="166" fontId="11" fillId="0" borderId="10" xfId="0" applyNumberFormat="1" applyFont="1" applyBorder="1" applyAlignment="1">
      <alignment horizontal="center"/>
    </xf>
    <xf numFmtId="166" fontId="11" fillId="0" borderId="0" xfId="0" applyNumberFormat="1" applyFont="1" applyFill="1" applyBorder="1" applyAlignment="1">
      <alignment horizontal="center"/>
    </xf>
    <xf numFmtId="166" fontId="11" fillId="0" borderId="10" xfId="0" applyNumberFormat="1" applyFont="1" applyFill="1" applyBorder="1" applyAlignment="1">
      <alignment horizontal="center"/>
    </xf>
    <xf numFmtId="166" fontId="16" fillId="0" borderId="0" xfId="0" applyNumberFormat="1" applyFont="1" applyFill="1" applyBorder="1" applyAlignment="1">
      <alignment horizontal="center"/>
    </xf>
    <xf numFmtId="166" fontId="16" fillId="0" borderId="10" xfId="0" applyNumberFormat="1" applyFont="1" applyFill="1" applyBorder="1" applyAlignment="1">
      <alignment horizontal="center"/>
    </xf>
    <xf numFmtId="168" fontId="11" fillId="0" borderId="0" xfId="0" applyNumberFormat="1" applyFont="1" applyBorder="1" applyAlignment="1">
      <alignment horizontal="center"/>
    </xf>
    <xf numFmtId="168" fontId="11" fillId="0" borderId="10" xfId="0" applyNumberFormat="1" applyFont="1" applyBorder="1" applyAlignment="1">
      <alignment horizontal="center"/>
    </xf>
    <xf numFmtId="0" fontId="11" fillId="0" borderId="10" xfId="0" applyFont="1" applyBorder="1"/>
    <xf numFmtId="167" fontId="11" fillId="0" borderId="0" xfId="0" applyNumberFormat="1" applyFont="1" applyBorder="1"/>
    <xf numFmtId="167" fontId="11" fillId="0" borderId="10" xfId="0" applyNumberFormat="1" applyFont="1" applyBorder="1"/>
    <xf numFmtId="0" fontId="11" fillId="0" borderId="11" xfId="0" applyFont="1" applyBorder="1"/>
    <xf numFmtId="0" fontId="11" fillId="0" borderId="12" xfId="0" applyFont="1" applyBorder="1"/>
    <xf numFmtId="167" fontId="11" fillId="0" borderId="12" xfId="0" applyNumberFormat="1" applyFont="1" applyBorder="1"/>
    <xf numFmtId="167" fontId="11" fillId="0" borderId="13" xfId="0" applyNumberFormat="1" applyFont="1" applyBorder="1"/>
    <xf numFmtId="1" fontId="12" fillId="0" borderId="0" xfId="0" applyNumberFormat="1" applyFont="1" applyBorder="1"/>
    <xf numFmtId="169" fontId="11" fillId="7" borderId="0" xfId="0" applyNumberFormat="1" applyFont="1" applyFill="1"/>
    <xf numFmtId="0" fontId="11" fillId="0" borderId="8" xfId="0" applyFont="1" applyBorder="1"/>
    <xf numFmtId="170" fontId="11" fillId="0" borderId="0" xfId="0" applyNumberFormat="1" applyFont="1" applyBorder="1"/>
    <xf numFmtId="0" fontId="12" fillId="0" borderId="9" xfId="0" applyFont="1" applyBorder="1"/>
    <xf numFmtId="170" fontId="12" fillId="0" borderId="0" xfId="0" applyNumberFormat="1" applyFont="1" applyBorder="1"/>
    <xf numFmtId="167" fontId="12" fillId="0" borderId="0" xfId="0" applyNumberFormat="1" applyFont="1" applyBorder="1"/>
    <xf numFmtId="167" fontId="12" fillId="0" borderId="10" xfId="0" applyNumberFormat="1" applyFont="1" applyBorder="1"/>
    <xf numFmtId="0" fontId="14" fillId="0" borderId="9" xfId="0" applyFont="1" applyBorder="1"/>
    <xf numFmtId="0" fontId="12" fillId="0" borderId="11" xfId="0" applyFont="1" applyBorder="1"/>
    <xf numFmtId="170" fontId="12" fillId="0" borderId="12" xfId="0" applyNumberFormat="1" applyFont="1" applyBorder="1"/>
    <xf numFmtId="167" fontId="12" fillId="0" borderId="12" xfId="0" applyNumberFormat="1" applyFont="1" applyBorder="1"/>
    <xf numFmtId="167" fontId="12" fillId="0" borderId="13" xfId="0" applyNumberFormat="1" applyFont="1" applyBorder="1"/>
    <xf numFmtId="1" fontId="12" fillId="0" borderId="0" xfId="0" applyNumberFormat="1" applyFont="1" applyAlignment="1"/>
    <xf numFmtId="0" fontId="11" fillId="0" borderId="15" xfId="0" applyFont="1" applyBorder="1"/>
    <xf numFmtId="0" fontId="11" fillId="0" borderId="16" xfId="0" applyFont="1" applyBorder="1"/>
    <xf numFmtId="0" fontId="11" fillId="0" borderId="17" xfId="0" applyFont="1" applyBorder="1"/>
    <xf numFmtId="0" fontId="11" fillId="0" borderId="18" xfId="0" applyFont="1" applyBorder="1"/>
    <xf numFmtId="167" fontId="12" fillId="0" borderId="18" xfId="0" applyNumberFormat="1" applyFont="1" applyBorder="1"/>
    <xf numFmtId="167" fontId="11" fillId="0" borderId="18" xfId="0" applyNumberFormat="1" applyFont="1" applyBorder="1"/>
    <xf numFmtId="0" fontId="12" fillId="0" borderId="17" xfId="0" applyFont="1" applyBorder="1"/>
    <xf numFmtId="0" fontId="12" fillId="0" borderId="19" xfId="0" applyFont="1" applyBorder="1"/>
    <xf numFmtId="170" fontId="12" fillId="0" borderId="20" xfId="0" applyNumberFormat="1" applyFont="1" applyBorder="1"/>
    <xf numFmtId="167" fontId="12" fillId="0" borderId="20" xfId="0" applyNumberFormat="1" applyFont="1" applyBorder="1"/>
    <xf numFmtId="167" fontId="12" fillId="0" borderId="21" xfId="0" applyNumberFormat="1" applyFont="1" applyBorder="1"/>
    <xf numFmtId="0" fontId="13" fillId="0" borderId="15" xfId="0" applyFont="1" applyBorder="1"/>
    <xf numFmtId="0" fontId="13" fillId="0" borderId="16" xfId="0" applyFont="1" applyBorder="1"/>
    <xf numFmtId="0" fontId="13" fillId="0" borderId="17" xfId="0" applyFont="1" applyBorder="1"/>
    <xf numFmtId="0" fontId="13" fillId="0" borderId="0" xfId="0" applyFont="1" applyBorder="1"/>
    <xf numFmtId="0" fontId="13" fillId="0" borderId="18" xfId="0" applyFont="1" applyBorder="1"/>
    <xf numFmtId="1" fontId="10" fillId="0" borderId="0" xfId="0" applyNumberFormat="1" applyFont="1" applyBorder="1"/>
    <xf numFmtId="1" fontId="10" fillId="0" borderId="18" xfId="0" applyNumberFormat="1" applyFont="1" applyBorder="1"/>
    <xf numFmtId="170" fontId="13" fillId="0" borderId="0" xfId="0" applyNumberFormat="1" applyFont="1" applyBorder="1"/>
    <xf numFmtId="170" fontId="13" fillId="0" borderId="18" xfId="0" applyNumberFormat="1" applyFont="1" applyBorder="1"/>
    <xf numFmtId="0" fontId="10" fillId="0" borderId="17" xfId="0" applyFont="1" applyBorder="1"/>
    <xf numFmtId="170" fontId="10" fillId="0" borderId="0" xfId="0" applyNumberFormat="1" applyFont="1" applyBorder="1"/>
    <xf numFmtId="170" fontId="10" fillId="0" borderId="18" xfId="0" applyNumberFormat="1" applyFont="1" applyBorder="1"/>
    <xf numFmtId="0" fontId="10" fillId="0" borderId="19" xfId="0" applyFont="1" applyBorder="1"/>
    <xf numFmtId="170" fontId="10" fillId="0" borderId="20" xfId="0" applyNumberFormat="1" applyFont="1" applyBorder="1"/>
    <xf numFmtId="170" fontId="10" fillId="0" borderId="21" xfId="0" applyNumberFormat="1" applyFont="1" applyBorder="1"/>
    <xf numFmtId="0" fontId="17" fillId="9" borderId="0" xfId="0" applyFont="1" applyFill="1"/>
    <xf numFmtId="1" fontId="17" fillId="9" borderId="0" xfId="0" applyNumberFormat="1" applyFont="1" applyFill="1"/>
    <xf numFmtId="0" fontId="18" fillId="0" borderId="17" xfId="0" applyFont="1" applyBorder="1"/>
    <xf numFmtId="0" fontId="18" fillId="0" borderId="14" xfId="0" applyFont="1" applyBorder="1"/>
    <xf numFmtId="0" fontId="19" fillId="0" borderId="14" xfId="0" applyFont="1" applyBorder="1"/>
    <xf numFmtId="0" fontId="18" fillId="0" borderId="0" xfId="0" applyFont="1"/>
    <xf numFmtId="0" fontId="18" fillId="0" borderId="6" xfId="0" applyFont="1" applyBorder="1"/>
    <xf numFmtId="10" fontId="11" fillId="7" borderId="0" xfId="0" applyNumberFormat="1" applyFont="1" applyFill="1" applyProtection="1"/>
    <xf numFmtId="0" fontId="11" fillId="7" borderId="0" xfId="0" applyFont="1" applyFill="1" applyProtection="1"/>
    <xf numFmtId="167" fontId="11" fillId="7" borderId="0" xfId="0" applyNumberFormat="1" applyFont="1" applyFill="1" applyProtection="1"/>
    <xf numFmtId="0" fontId="11" fillId="7" borderId="0" xfId="0" applyFont="1" applyFill="1" applyAlignment="1" applyProtection="1"/>
    <xf numFmtId="10" fontId="11" fillId="7" borderId="0" xfId="0" applyNumberFormat="1" applyFont="1" applyFill="1" applyAlignment="1" applyProtection="1"/>
    <xf numFmtId="3" fontId="11" fillId="7" borderId="0" xfId="0" applyNumberFormat="1" applyFont="1" applyFill="1" applyProtection="1"/>
    <xf numFmtId="9" fontId="11" fillId="7" borderId="0" xfId="0" applyNumberFormat="1" applyFont="1" applyFill="1" applyProtection="1"/>
    <xf numFmtId="169" fontId="11" fillId="7" borderId="0" xfId="0" applyNumberFormat="1" applyFont="1" applyFill="1" applyProtection="1"/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</cellXfs>
  <cellStyles count="27">
    <cellStyle name="20% - Colore 3 2" xfId="14"/>
    <cellStyle name="Calcolo 2" xfId="15"/>
    <cellStyle name="Comma [0]" xfId="2"/>
    <cellStyle name="Currency [0]" xfId="3"/>
    <cellStyle name="Euro" xfId="4"/>
    <cellStyle name="fo]_x000d__x000a_UserName=Murat Zelef_x000d__x000a_UserCompany=Bumerang_x000d__x000a__x000d__x000a_[File Paths]_x000d__x000a_WorkingDirectory=C:\EQUIS\DLWIN_x000d__x000a_DownLoader=C" xfId="16"/>
    <cellStyle name="Helv 10" xfId="17"/>
    <cellStyle name="Input 2" xfId="18"/>
    <cellStyle name="Migliaia (0)_Accantonamenti" xfId="6"/>
    <cellStyle name="Migliaia [0] 2" xfId="7"/>
    <cellStyle name="Migliaia 2" xfId="5"/>
    <cellStyle name="Migliaia 3" xfId="19"/>
    <cellStyle name="Normal_DDM Model v_2 Rp7%_05.08.07" xfId="20"/>
    <cellStyle name="Normale" xfId="0" builtinId="0"/>
    <cellStyle name="Normale 2" xfId="1"/>
    <cellStyle name="Normale 2 2" xfId="11"/>
    <cellStyle name="Normale 3" xfId="21"/>
    <cellStyle name="Normale 3 2" xfId="22"/>
    <cellStyle name="Normale 4" xfId="23"/>
    <cellStyle name="Normale 5" xfId="12"/>
    <cellStyle name="nuovo" xfId="8"/>
    <cellStyle name="Percentuale 2" xfId="9"/>
    <cellStyle name="Percentuale 2 2" xfId="24"/>
    <cellStyle name="Percentuale 3" xfId="25"/>
    <cellStyle name="Valuta (0)_Accantonamenti" xfId="10"/>
    <cellStyle name="Valuta 2" xfId="26"/>
    <cellStyle name="Valuta 3" xfId="13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style val="4"/>
  <c:protection/>
  <c:chart>
    <c:title>
      <c:tx>
        <c:rich>
          <a:bodyPr/>
          <a:lstStyle/>
          <a:p>
            <a:pPr>
              <a:defRPr/>
            </a:pPr>
            <a:r>
              <a:rPr lang="it-IT">
                <a:latin typeface="+mj-lt"/>
              </a:rPr>
              <a:t>Andamento Conto economico</a:t>
            </a:r>
          </a:p>
        </c:rich>
      </c:tx>
    </c:title>
    <c:plotArea>
      <c:layout/>
      <c:barChart>
        <c:barDir val="col"/>
        <c:grouping val="clustered"/>
        <c:ser>
          <c:idx val="1"/>
          <c:order val="0"/>
          <c:tx>
            <c:strRef>
              <c:f>CE!$B$10</c:f>
              <c:strCache>
                <c:ptCount val="1"/>
                <c:pt idx="0">
                  <c:v>VALORE DELLA PRODUZIONE</c:v>
                </c:pt>
              </c:strCache>
            </c:strRef>
          </c:tx>
          <c:val>
            <c:numRef>
              <c:f>(CE!$C$10,CE!$E$10,CE!$G$10)</c:f>
              <c:numCache>
                <c:formatCode>#,##0.0_ ;[Red]\-#,##0.0\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8"/>
          <c:order val="1"/>
          <c:tx>
            <c:strRef>
              <c:f>CE!$B$15</c:f>
              <c:strCache>
                <c:ptCount val="1"/>
                <c:pt idx="0">
                  <c:v>VALORE AGGIUNTO</c:v>
                </c:pt>
              </c:strCache>
            </c:strRef>
          </c:tx>
          <c:cat>
            <c:numRef>
              <c:f>(CE!$C$6,CE!$E$6,CE!$G$6)</c:f>
              <c:numCache>
                <c:formatCode>0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(CE!$C$15,CE!$E$15,CE!$G$15)</c:f>
              <c:numCache>
                <c:formatCode>#,##0.0_ ;[Red]\-#,##0.0\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0"/>
          <c:order val="2"/>
          <c:tx>
            <c:strRef>
              <c:f>CE!$B$17</c:f>
              <c:strCache>
                <c:ptCount val="1"/>
                <c:pt idx="0">
                  <c:v>MARGINE OPERATIVO LORDO</c:v>
                </c:pt>
              </c:strCache>
            </c:strRef>
          </c:tx>
          <c:cat>
            <c:numRef>
              <c:f>(CE!$C$6,CE!$E$6,CE!$G$6)</c:f>
              <c:numCache>
                <c:formatCode>0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(CE!$C$17,CE!$E$17,CE!$G$17)</c:f>
              <c:numCache>
                <c:formatCode>#,##0.0_ ;[Red]\-#,##0.0\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3"/>
          <c:order val="3"/>
          <c:tx>
            <c:strRef>
              <c:f>CE!$B$20</c:f>
              <c:strCache>
                <c:ptCount val="1"/>
                <c:pt idx="0">
                  <c:v>REDDITO OPERATIVO</c:v>
                </c:pt>
              </c:strCache>
            </c:strRef>
          </c:tx>
          <c:cat>
            <c:numRef>
              <c:f>(CE!$C$6,CE!$E$6,CE!$G$6)</c:f>
              <c:numCache>
                <c:formatCode>0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(CE!$C$20,CE!$E$20,CE!$G$20)</c:f>
              <c:numCache>
                <c:formatCode>#,##0.0_ ;[Red]\-#,##0.0\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1"/>
          <c:order val="4"/>
          <c:tx>
            <c:strRef>
              <c:f>CE!$B$28</c:f>
              <c:strCache>
                <c:ptCount val="1"/>
                <c:pt idx="0">
                  <c:v>RISULTATO DI ESERCIZIO</c:v>
                </c:pt>
              </c:strCache>
            </c:strRef>
          </c:tx>
          <c:cat>
            <c:numRef>
              <c:f>(CE!$C$6,CE!$E$6,CE!$G$6)</c:f>
              <c:numCache>
                <c:formatCode>0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(CE!$C$28,CE!$E$28,CE!$G$28)</c:f>
              <c:numCache>
                <c:formatCode>#,##0.0_ ;[Red]\-#,##0.0\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axId val="82161664"/>
        <c:axId val="82163200"/>
      </c:barChart>
      <c:catAx>
        <c:axId val="82161664"/>
        <c:scaling>
          <c:orientation val="minMax"/>
        </c:scaling>
        <c:axPos val="b"/>
        <c:numFmt formatCode="0" sourceLinked="1"/>
        <c:majorTickMark val="none"/>
        <c:tickLblPos val="nextTo"/>
        <c:txPr>
          <a:bodyPr/>
          <a:lstStyle/>
          <a:p>
            <a:pPr>
              <a:defRPr sz="1200">
                <a:latin typeface="+mj-lt"/>
              </a:defRPr>
            </a:pPr>
            <a:endParaRPr lang="it-IT"/>
          </a:p>
        </c:txPr>
        <c:crossAx val="82163200"/>
        <c:crosses val="autoZero"/>
        <c:auto val="1"/>
        <c:lblAlgn val="ctr"/>
        <c:lblOffset val="100"/>
      </c:catAx>
      <c:valAx>
        <c:axId val="82163200"/>
        <c:scaling>
          <c:orientation val="minMax"/>
        </c:scaling>
        <c:axPos val="l"/>
        <c:majorGridlines/>
        <c:numFmt formatCode="#,##0.0_ ;[Red]\-#,##0.0\ " sourceLinked="1"/>
        <c:majorTickMark val="none"/>
        <c:tickLblPos val="nextTo"/>
        <c:txPr>
          <a:bodyPr/>
          <a:lstStyle/>
          <a:p>
            <a:pPr>
              <a:defRPr sz="1200">
                <a:latin typeface="+mj-lt"/>
              </a:defRPr>
            </a:pPr>
            <a:endParaRPr lang="it-IT"/>
          </a:p>
        </c:txPr>
        <c:crossAx val="82161664"/>
        <c:crosses val="autoZero"/>
        <c:crossBetween val="between"/>
      </c:valAx>
    </c:plotArea>
    <c:legend>
      <c:legendPos val="r"/>
      <c:txPr>
        <a:bodyPr/>
        <a:lstStyle/>
        <a:p>
          <a:pPr>
            <a:defRPr>
              <a:latin typeface="+mj-lt"/>
            </a:defRPr>
          </a:pPr>
          <a:endParaRPr lang="it-IT"/>
        </a:p>
      </c:txPr>
    </c:legend>
    <c:plotVisOnly val="1"/>
    <c:dispBlanksAs val="gap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sheetProtection content="1" objects="1"/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IBS%202001\ANALISI%20BILANCIO\PRO%20FORMA%20ANALISI%20DI%20BILANCIO\analisi%20di%20bilancio%20albert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42.253\dox\dox\Users\HP\AppData\Local\Temp\Rar$DI00.388\calcolo-rata-prestito-ver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rafici"/>
      <sheetName val="Indici"/>
      <sheetName val="Conto-Econom."/>
      <sheetName val="Cruscotto"/>
      <sheetName val="Piano dei Conti e Stat.Patrim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alcolo R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B10"/>
  <sheetViews>
    <sheetView workbookViewId="0">
      <selection activeCell="B11" sqref="B11"/>
    </sheetView>
  </sheetViews>
  <sheetFormatPr defaultRowHeight="15.75"/>
  <cols>
    <col min="1" max="1" width="9.140625" style="1"/>
    <col min="2" max="2" width="151.7109375" style="1" bestFit="1" customWidth="1"/>
    <col min="3" max="16384" width="9.140625" style="1"/>
  </cols>
  <sheetData>
    <row r="4" spans="2:2">
      <c r="B4" s="4" t="s">
        <v>226</v>
      </c>
    </row>
    <row r="6" spans="2:2">
      <c r="B6" s="4" t="s">
        <v>227</v>
      </c>
    </row>
    <row r="7" spans="2:2">
      <c r="B7" s="4" t="s">
        <v>228</v>
      </c>
    </row>
    <row r="8" spans="2:2">
      <c r="B8" s="4" t="s">
        <v>229</v>
      </c>
    </row>
    <row r="9" spans="2:2">
      <c r="B9" s="4" t="s">
        <v>233</v>
      </c>
    </row>
    <row r="10" spans="2:2">
      <c r="B10" s="4" t="s">
        <v>237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C10:I43"/>
  <sheetViews>
    <sheetView topLeftCell="A16" workbookViewId="0">
      <selection activeCell="F43" sqref="F43"/>
    </sheetView>
  </sheetViews>
  <sheetFormatPr defaultRowHeight="15.75"/>
  <cols>
    <col min="1" max="2" width="9.140625" style="1"/>
    <col min="3" max="3" width="29.5703125" style="1" bestFit="1" customWidth="1"/>
    <col min="4" max="4" width="9.140625" style="1"/>
    <col min="5" max="7" width="14.7109375" style="1" customWidth="1"/>
    <col min="8" max="16384" width="9.140625" style="1"/>
  </cols>
  <sheetData>
    <row r="10" spans="3:7">
      <c r="E10" s="3">
        <f>+'Ipotesi di base'!D8</f>
        <v>2018</v>
      </c>
      <c r="F10" s="3">
        <f>+'Ipotesi di base'!E8</f>
        <v>2019</v>
      </c>
      <c r="G10" s="3">
        <f>+'Ipotesi di base'!F8</f>
        <v>2020</v>
      </c>
    </row>
    <row r="11" spans="3:7">
      <c r="C11" s="1" t="s">
        <v>142</v>
      </c>
      <c r="E11" s="23">
        <f>+Ricavi!C52</f>
        <v>0</v>
      </c>
      <c r="F11" s="23">
        <f>+Ricavi!D52</f>
        <v>0</v>
      </c>
      <c r="G11" s="23">
        <f>+Ricavi!E52</f>
        <v>0</v>
      </c>
    </row>
    <row r="12" spans="3:7">
      <c r="C12" s="1" t="s">
        <v>143</v>
      </c>
      <c r="E12" s="23">
        <f>+Costi!J20+Investimenti!G5</f>
        <v>0</v>
      </c>
      <c r="F12" s="23">
        <f>+Costi!K20+Investimenti!G23</f>
        <v>0</v>
      </c>
      <c r="G12" s="23">
        <f>+Costi!L20+Investimenti!G41</f>
        <v>0</v>
      </c>
    </row>
    <row r="13" spans="3:7">
      <c r="C13" s="1" t="s">
        <v>144</v>
      </c>
      <c r="E13" s="23">
        <f>+E12-E11</f>
        <v>0</v>
      </c>
      <c r="F13" s="23">
        <f>+F12-F11</f>
        <v>0</v>
      </c>
      <c r="G13" s="23">
        <f>+G12-G11</f>
        <v>0</v>
      </c>
    </row>
    <row r="14" spans="3:7">
      <c r="C14" s="16"/>
      <c r="E14" s="23"/>
      <c r="F14" s="23"/>
      <c r="G14" s="23"/>
    </row>
    <row r="15" spans="3:7">
      <c r="C15" s="1" t="s">
        <v>165</v>
      </c>
      <c r="E15" s="23">
        <f>+E13</f>
        <v>0</v>
      </c>
      <c r="F15" s="23">
        <f>+F13</f>
        <v>0</v>
      </c>
      <c r="G15" s="23">
        <f>+G13</f>
        <v>0</v>
      </c>
    </row>
    <row r="16" spans="3:7">
      <c r="C16" s="1" t="s">
        <v>151</v>
      </c>
      <c r="E16" s="23">
        <v>0</v>
      </c>
      <c r="F16" s="23">
        <f>+IF(F15&gt;0,0,IF(E18&gt;-F15,-F15,E18))</f>
        <v>0</v>
      </c>
      <c r="G16" s="23">
        <f>+IF(G15&gt;0,0,IF(F18&gt;-G15,-G15,F18))</f>
        <v>0</v>
      </c>
    </row>
    <row r="17" spans="3:9">
      <c r="C17" s="1" t="s">
        <v>152</v>
      </c>
      <c r="E17" s="23">
        <f>+IF((E15+E16)&gt;0,0,(E15+E16))</f>
        <v>0</v>
      </c>
      <c r="F17" s="23">
        <f>+IF((F15+F16)&gt;0,0,(F15+F16))</f>
        <v>0</v>
      </c>
      <c r="G17" s="23">
        <f>+IF((G15+G16)&gt;0,0,(G15+G16))</f>
        <v>0</v>
      </c>
      <c r="I17" s="2"/>
    </row>
    <row r="18" spans="3:9">
      <c r="C18" s="1" t="s">
        <v>153</v>
      </c>
      <c r="E18" s="23">
        <f>+IF(E12&gt;E11,E12-E11,0)</f>
        <v>0</v>
      </c>
      <c r="F18" s="23">
        <f>+IF(F15&gt;0,E18+F15,E18-F16)</f>
        <v>0</v>
      </c>
      <c r="G18" s="23">
        <f>+IF(G15&gt;0,F18+G15,F18-G16)</f>
        <v>0</v>
      </c>
    </row>
    <row r="19" spans="3:9">
      <c r="C19" s="1" t="s">
        <v>154</v>
      </c>
      <c r="E19" s="23">
        <f>+E17*(11/12)</f>
        <v>0</v>
      </c>
      <c r="F19" s="23">
        <f>+(F17*(11/12))+(E17-E19)</f>
        <v>0</v>
      </c>
      <c r="G19" s="23">
        <f>+G17*(0.916666666666667)+(F17-F19)+(E17-E19)</f>
        <v>0</v>
      </c>
    </row>
    <row r="20" spans="3:9">
      <c r="C20" s="17"/>
      <c r="E20" s="23"/>
      <c r="F20" s="23"/>
      <c r="G20" s="23"/>
    </row>
    <row r="21" spans="3:9">
      <c r="C21" s="16"/>
      <c r="E21" s="23"/>
      <c r="F21" s="23"/>
      <c r="G21" s="23"/>
    </row>
    <row r="22" spans="3:9">
      <c r="C22" s="1" t="s">
        <v>158</v>
      </c>
      <c r="E22" s="23">
        <f>+E18</f>
        <v>0</v>
      </c>
      <c r="F22" s="23">
        <f>+F18</f>
        <v>0</v>
      </c>
      <c r="G22" s="23">
        <f>+G18</f>
        <v>0</v>
      </c>
    </row>
    <row r="23" spans="3:9">
      <c r="C23" s="1" t="s">
        <v>159</v>
      </c>
      <c r="E23" s="23">
        <f>-(E17-E19)</f>
        <v>0</v>
      </c>
      <c r="F23" s="23">
        <f>-(F17-F19)+E23</f>
        <v>0</v>
      </c>
      <c r="G23" s="23">
        <f>-(G17-G19)+F23</f>
        <v>0</v>
      </c>
    </row>
    <row r="24" spans="3:9">
      <c r="C24" s="1" t="s">
        <v>160</v>
      </c>
      <c r="E24" s="23">
        <f>-E19</f>
        <v>0</v>
      </c>
      <c r="F24" s="23">
        <f>-F19</f>
        <v>0</v>
      </c>
      <c r="G24" s="23">
        <f>-G19</f>
        <v>0</v>
      </c>
    </row>
    <row r="25" spans="3:9">
      <c r="E25" s="2"/>
      <c r="F25" s="2"/>
      <c r="G25" s="2"/>
    </row>
    <row r="26" spans="3:9">
      <c r="E26" s="2"/>
      <c r="F26" s="2"/>
      <c r="G26" s="2"/>
    </row>
    <row r="27" spans="3:9">
      <c r="C27" s="1" t="s">
        <v>145</v>
      </c>
      <c r="E27" s="21">
        <f>+Ricavi!C57+'Altri Ricavi'!D11+E28+E29</f>
        <v>0</v>
      </c>
      <c r="F27" s="21">
        <f>+Ricavi!D57+'Altri Ricavi'!E11+F28+F29</f>
        <v>0</v>
      </c>
      <c r="G27" s="21">
        <f>+Ricavi!E57+'Altri Ricavi'!F11+G28+G29</f>
        <v>0</v>
      </c>
    </row>
    <row r="28" spans="3:9">
      <c r="C28" s="1" t="s">
        <v>205</v>
      </c>
      <c r="E28" s="21">
        <f>+Finanziamenti!E8</f>
        <v>0</v>
      </c>
      <c r="F28" s="21">
        <f>+Finanziamenti!E19</f>
        <v>0</v>
      </c>
      <c r="G28" s="21">
        <f>+Finanziamenti!E29</f>
        <v>0</v>
      </c>
    </row>
    <row r="29" spans="3:9">
      <c r="C29" s="1" t="s">
        <v>206</v>
      </c>
      <c r="E29" s="21">
        <f>+'Capitale sociale'!C5+'Capitale sociale'!C8</f>
        <v>0</v>
      </c>
      <c r="F29" s="21"/>
      <c r="G29" s="21"/>
    </row>
    <row r="30" spans="3:9">
      <c r="C30" s="1" t="s">
        <v>146</v>
      </c>
      <c r="E30" s="21">
        <f>+Costi!C24</f>
        <v>0</v>
      </c>
      <c r="F30" s="21">
        <f>+Costi!D24</f>
        <v>0</v>
      </c>
      <c r="G30" s="21">
        <f>+Costi!E24</f>
        <v>0</v>
      </c>
    </row>
    <row r="31" spans="3:9">
      <c r="C31" s="1" t="s">
        <v>147</v>
      </c>
      <c r="E31" s="21">
        <f>+'Costo del lavoro'!C11-'Costo del lavoro'!C7</f>
        <v>0</v>
      </c>
      <c r="F31" s="21">
        <f>+'Costo del lavoro'!D11-'Costo del lavoro'!D7</f>
        <v>0</v>
      </c>
      <c r="G31" s="21">
        <f>+'Costo del lavoro'!E11-'Costo del lavoro'!E7</f>
        <v>0</v>
      </c>
    </row>
    <row r="32" spans="3:9">
      <c r="C32" s="1" t="s">
        <v>149</v>
      </c>
      <c r="E32" s="21">
        <f ca="1">+CE!C27+CE!C26+E24</f>
        <v>0</v>
      </c>
      <c r="F32" s="21">
        <f ca="1">+CE!E27+CE!E26+F24</f>
        <v>0</v>
      </c>
      <c r="G32" s="21">
        <f ca="1">+CE!G27+CE!G26+G24</f>
        <v>0</v>
      </c>
    </row>
    <row r="33" spans="3:7">
      <c r="C33" s="1" t="s">
        <v>177</v>
      </c>
      <c r="E33" s="21">
        <f>+Investimenti!G60</f>
        <v>0</v>
      </c>
      <c r="F33" s="21">
        <f>+Investimenti!H60</f>
        <v>0</v>
      </c>
      <c r="G33" s="21">
        <f>+Investimenti!I60</f>
        <v>0</v>
      </c>
    </row>
    <row r="34" spans="3:7">
      <c r="C34" s="1" t="s">
        <v>209</v>
      </c>
      <c r="E34" s="21"/>
      <c r="F34" s="21">
        <f>-(+'Capitale sociale'!D5-'Capitale sociale'!C5+'Capitale sociale'!D8-'Capitale sociale'!C8)</f>
        <v>0</v>
      </c>
      <c r="G34" s="21">
        <f>-(+'Capitale sociale'!E5-'Capitale sociale'!D5+'Capitale sociale'!E8-'Capitale sociale'!D8)</f>
        <v>0</v>
      </c>
    </row>
    <row r="35" spans="3:7">
      <c r="C35" s="1" t="s">
        <v>199</v>
      </c>
      <c r="E35" s="21">
        <f>+Finanziamenti!K39+Finanziamenti!L39</f>
        <v>0</v>
      </c>
      <c r="F35" s="21">
        <f>+Finanziamenti!K40+Finanziamenti!L40</f>
        <v>0</v>
      </c>
      <c r="G35" s="21">
        <f>+Finanziamenti!K41+Finanziamenti!L41</f>
        <v>0</v>
      </c>
    </row>
    <row r="36" spans="3:7">
      <c r="C36" s="1" t="s">
        <v>148</v>
      </c>
      <c r="E36" s="21">
        <f ca="1">+SUM(E30:E35)</f>
        <v>0</v>
      </c>
      <c r="F36" s="21">
        <f ca="1">+SUM(F30:F35)</f>
        <v>0</v>
      </c>
      <c r="G36" s="21">
        <f ca="1">+SUM(G30:G35)</f>
        <v>0</v>
      </c>
    </row>
    <row r="37" spans="3:7">
      <c r="E37" s="21"/>
      <c r="F37" s="21"/>
      <c r="G37" s="21"/>
    </row>
    <row r="38" spans="3:7">
      <c r="C38" s="1" t="s">
        <v>168</v>
      </c>
      <c r="E38" s="21">
        <f ca="1">+E27-E36</f>
        <v>0</v>
      </c>
      <c r="F38" s="21">
        <f ca="1">+F27-F36</f>
        <v>0</v>
      </c>
      <c r="G38" s="21">
        <f ca="1">+G27-G36</f>
        <v>0</v>
      </c>
    </row>
    <row r="39" spans="3:7">
      <c r="C39" s="1" t="s">
        <v>166</v>
      </c>
      <c r="E39" s="21">
        <f ca="1">+IF(E38&gt;0,E38*'Ipotesi di base'!D12,'Saldo iva'!E38*'Ipotesi di base'!D13)</f>
        <v>0</v>
      </c>
      <c r="F39" s="21">
        <f ca="1">+IF(F38&gt;0,F38*'Ipotesi di base'!E12,'Saldo iva'!F38*'Ipotesi di base'!E13)</f>
        <v>0</v>
      </c>
      <c r="G39" s="21">
        <f ca="1">+IF(G38&gt;0,G38*'Ipotesi di base'!F12,'Saldo iva'!G38*'Ipotesi di base'!F13)</f>
        <v>0</v>
      </c>
    </row>
    <row r="40" spans="3:7">
      <c r="E40" s="21"/>
      <c r="F40" s="21"/>
      <c r="G40" s="21"/>
    </row>
    <row r="41" spans="3:7">
      <c r="E41" s="21"/>
      <c r="F41" s="21"/>
      <c r="G41" s="21"/>
    </row>
    <row r="42" spans="3:7">
      <c r="C42" s="1" t="s">
        <v>96</v>
      </c>
      <c r="E42" s="21">
        <f ca="1">+Rendiconto!C34</f>
        <v>0</v>
      </c>
      <c r="F42" s="21">
        <f ca="1">+Rendiconto!D34</f>
        <v>0</v>
      </c>
      <c r="G42" s="21">
        <f ca="1">+Rendiconto!E34</f>
        <v>0</v>
      </c>
    </row>
    <row r="43" spans="3:7">
      <c r="C43" s="1" t="s">
        <v>207</v>
      </c>
      <c r="E43" s="21">
        <f ca="1">+IF(E42&gt;0,E42*'Ipotesi di base'!D12,'Saldo iva'!E42*'Ipotesi di base'!D13)</f>
        <v>0</v>
      </c>
      <c r="F43" s="21">
        <f ca="1">+IF(F42&gt;0,F42*'Ipotesi di base'!E12,'Saldo iva'!F42*'Ipotesi di base'!E13)</f>
        <v>0</v>
      </c>
      <c r="G43" s="21">
        <f ca="1">+IF(G42&gt;0,G42*'Ipotesi di base'!F12,'Saldo iva'!G42*'Ipotesi di base'!F13)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B4:H30"/>
  <sheetViews>
    <sheetView showGridLines="0" workbookViewId="0">
      <selection activeCell="C24" sqref="C24"/>
    </sheetView>
  </sheetViews>
  <sheetFormatPr defaultRowHeight="15.75"/>
  <cols>
    <col min="1" max="1" width="9.140625" style="1"/>
    <col min="2" max="2" width="43.85546875" style="1" customWidth="1"/>
    <col min="3" max="3" width="19.7109375" style="1" customWidth="1"/>
    <col min="4" max="4" width="12.5703125" style="1" bestFit="1" customWidth="1"/>
    <col min="5" max="5" width="19.7109375" style="1" customWidth="1"/>
    <col min="6" max="6" width="12.5703125" style="1" bestFit="1" customWidth="1"/>
    <col min="7" max="7" width="19.7109375" style="1" customWidth="1"/>
    <col min="8" max="8" width="14" style="1" bestFit="1" customWidth="1"/>
    <col min="9" max="16384" width="9.140625" style="1"/>
  </cols>
  <sheetData>
    <row r="4" spans="2:8" ht="20.25">
      <c r="B4" s="104" t="s">
        <v>113</v>
      </c>
    </row>
    <row r="5" spans="2:8" ht="16.5" thickBot="1"/>
    <row r="6" spans="2:8" ht="15.75" customHeight="1">
      <c r="B6" s="34"/>
      <c r="C6" s="36">
        <f>+Ricavi!C4</f>
        <v>2018</v>
      </c>
      <c r="D6" s="36"/>
      <c r="E6" s="36">
        <f>+Ricavi!D4</f>
        <v>2019</v>
      </c>
      <c r="F6" s="36"/>
      <c r="G6" s="36">
        <f>+Ricavi!E4</f>
        <v>2020</v>
      </c>
      <c r="H6" s="61"/>
    </row>
    <row r="7" spans="2:8">
      <c r="B7" s="38" t="s">
        <v>9</v>
      </c>
      <c r="C7" s="62">
        <f>+Ricavi!C51</f>
        <v>0</v>
      </c>
      <c r="D7" s="53" t="e">
        <f>+C7/C$10</f>
        <v>#DIV/0!</v>
      </c>
      <c r="E7" s="62">
        <f>+Ricavi!D51</f>
        <v>0</v>
      </c>
      <c r="F7" s="53" t="e">
        <f>+E7/E$10</f>
        <v>#DIV/0!</v>
      </c>
      <c r="G7" s="62">
        <f>+Ricavi!E51</f>
        <v>0</v>
      </c>
      <c r="H7" s="54" t="e">
        <f t="shared" ref="H7:H15" si="0">+G7/G$10</f>
        <v>#DIV/0!</v>
      </c>
    </row>
    <row r="8" spans="2:8">
      <c r="B8" s="38" t="s">
        <v>11</v>
      </c>
      <c r="C8" s="62">
        <f>+Ricavi!C55</f>
        <v>0</v>
      </c>
      <c r="D8" s="53" t="e">
        <f>+C8/C$10</f>
        <v>#DIV/0!</v>
      </c>
      <c r="E8" s="62">
        <f>+Ricavi!D55</f>
        <v>0</v>
      </c>
      <c r="F8" s="53" t="e">
        <f>+E8/E$10</f>
        <v>#DIV/0!</v>
      </c>
      <c r="G8" s="62">
        <f>+Ricavi!E55</f>
        <v>0</v>
      </c>
      <c r="H8" s="54" t="e">
        <f t="shared" si="0"/>
        <v>#DIV/0!</v>
      </c>
    </row>
    <row r="9" spans="2:8">
      <c r="B9" s="38" t="s">
        <v>10</v>
      </c>
      <c r="C9" s="62">
        <f>+'Altri Ricavi'!D11</f>
        <v>0</v>
      </c>
      <c r="D9" s="53" t="e">
        <f>+C9/C$10</f>
        <v>#DIV/0!</v>
      </c>
      <c r="E9" s="62">
        <f>+'Altri Ricavi'!E11</f>
        <v>0</v>
      </c>
      <c r="F9" s="53" t="e">
        <f>+E9/E$10</f>
        <v>#DIV/0!</v>
      </c>
      <c r="G9" s="62">
        <f>+'Altri Ricavi'!F11</f>
        <v>0</v>
      </c>
      <c r="H9" s="54" t="e">
        <f t="shared" si="0"/>
        <v>#DIV/0!</v>
      </c>
    </row>
    <row r="10" spans="2:8">
      <c r="B10" s="63" t="s">
        <v>133</v>
      </c>
      <c r="C10" s="64">
        <f>+SUM(C7:C9)</f>
        <v>0</v>
      </c>
      <c r="D10" s="65" t="e">
        <f>+C10/C$10</f>
        <v>#DIV/0!</v>
      </c>
      <c r="E10" s="64">
        <f>+SUM(E7:E9)</f>
        <v>0</v>
      </c>
      <c r="F10" s="65" t="e">
        <f>+E10/E$10</f>
        <v>#DIV/0!</v>
      </c>
      <c r="G10" s="64">
        <f>+SUM(G7:G9)</f>
        <v>0</v>
      </c>
      <c r="H10" s="66" t="e">
        <f t="shared" si="0"/>
        <v>#DIV/0!</v>
      </c>
    </row>
    <row r="11" spans="2:8">
      <c r="B11" s="38" t="s">
        <v>134</v>
      </c>
      <c r="C11" s="62">
        <f>+Costi!C5</f>
        <v>0</v>
      </c>
      <c r="D11" s="53" t="e">
        <f t="shared" ref="D11:F28" si="1">+C11/C$10</f>
        <v>#DIV/0!</v>
      </c>
      <c r="E11" s="62">
        <f>+Costi!D5</f>
        <v>0</v>
      </c>
      <c r="F11" s="53" t="e">
        <f t="shared" si="1"/>
        <v>#DIV/0!</v>
      </c>
      <c r="G11" s="62">
        <f>+Costi!E5</f>
        <v>0</v>
      </c>
      <c r="H11" s="54" t="e">
        <f t="shared" si="0"/>
        <v>#DIV/0!</v>
      </c>
    </row>
    <row r="12" spans="2:8">
      <c r="B12" s="38" t="s">
        <v>12</v>
      </c>
      <c r="C12" s="62">
        <f>+SUM(Costi!C6:C13)</f>
        <v>0</v>
      </c>
      <c r="D12" s="53" t="e">
        <f t="shared" si="1"/>
        <v>#DIV/0!</v>
      </c>
      <c r="E12" s="62">
        <f>+SUM(Costi!D6:D13)</f>
        <v>0</v>
      </c>
      <c r="F12" s="53" t="e">
        <f t="shared" si="1"/>
        <v>#DIV/0!</v>
      </c>
      <c r="G12" s="62">
        <f>+SUM(Costi!E6:E13)</f>
        <v>0</v>
      </c>
      <c r="H12" s="54" t="e">
        <f t="shared" si="0"/>
        <v>#DIV/0!</v>
      </c>
    </row>
    <row r="13" spans="2:8">
      <c r="B13" s="38" t="s">
        <v>13</v>
      </c>
      <c r="C13" s="62">
        <f>+Costi!C14+Costi!C15</f>
        <v>0</v>
      </c>
      <c r="D13" s="53" t="e">
        <f t="shared" si="1"/>
        <v>#DIV/0!</v>
      </c>
      <c r="E13" s="62">
        <f>+Costi!D14+Costi!D15</f>
        <v>0</v>
      </c>
      <c r="F13" s="53" t="e">
        <f t="shared" si="1"/>
        <v>#DIV/0!</v>
      </c>
      <c r="G13" s="62">
        <f>+Costi!E14+Costi!E15</f>
        <v>0</v>
      </c>
      <c r="H13" s="54" t="e">
        <f t="shared" si="0"/>
        <v>#DIV/0!</v>
      </c>
    </row>
    <row r="14" spans="2:8">
      <c r="B14" s="38" t="s">
        <v>7</v>
      </c>
      <c r="C14" s="62">
        <f>+SUM(Costi!C16:C18)</f>
        <v>0</v>
      </c>
      <c r="D14" s="53" t="e">
        <f t="shared" si="1"/>
        <v>#DIV/0!</v>
      </c>
      <c r="E14" s="62">
        <f>+SUM(Costi!D16:D18)</f>
        <v>0</v>
      </c>
      <c r="F14" s="53" t="e">
        <f t="shared" si="1"/>
        <v>#DIV/0!</v>
      </c>
      <c r="G14" s="62">
        <f>+SUM(Costi!E16:E18)</f>
        <v>0</v>
      </c>
      <c r="H14" s="54" t="e">
        <f t="shared" si="0"/>
        <v>#DIV/0!</v>
      </c>
    </row>
    <row r="15" spans="2:8">
      <c r="B15" s="63" t="s">
        <v>14</v>
      </c>
      <c r="C15" s="64">
        <f>+C10-SUM(C11:C14)</f>
        <v>0</v>
      </c>
      <c r="D15" s="65" t="e">
        <f t="shared" si="1"/>
        <v>#DIV/0!</v>
      </c>
      <c r="E15" s="64">
        <f>+E10-SUM(E11:E14)</f>
        <v>0</v>
      </c>
      <c r="F15" s="65" t="e">
        <f t="shared" si="1"/>
        <v>#DIV/0!</v>
      </c>
      <c r="G15" s="64">
        <f>+G10-SUM(G11:G14)</f>
        <v>0</v>
      </c>
      <c r="H15" s="66" t="e">
        <f t="shared" si="0"/>
        <v>#DIV/0!</v>
      </c>
    </row>
    <row r="16" spans="2:8">
      <c r="B16" s="38" t="s">
        <v>15</v>
      </c>
      <c r="C16" s="62">
        <f>+'Costo del lavoro'!C11</f>
        <v>0</v>
      </c>
      <c r="D16" s="53" t="e">
        <f t="shared" si="1"/>
        <v>#DIV/0!</v>
      </c>
      <c r="E16" s="62">
        <f>+'Costo del lavoro'!D11</f>
        <v>0</v>
      </c>
      <c r="F16" s="53" t="e">
        <f t="shared" si="1"/>
        <v>#DIV/0!</v>
      </c>
      <c r="G16" s="62">
        <f>+'Costo del lavoro'!E11</f>
        <v>0</v>
      </c>
      <c r="H16" s="54" t="e">
        <f t="shared" ref="H16" si="2">+G16/G$10</f>
        <v>#DIV/0!</v>
      </c>
    </row>
    <row r="17" spans="2:8">
      <c r="B17" s="63" t="s">
        <v>16</v>
      </c>
      <c r="C17" s="64">
        <f>+C10-C11-C12-C13-C14-C16</f>
        <v>0</v>
      </c>
      <c r="D17" s="65" t="e">
        <f t="shared" si="1"/>
        <v>#DIV/0!</v>
      </c>
      <c r="E17" s="64">
        <f>+E10-E11-E12-E13-E14-E16</f>
        <v>0</v>
      </c>
      <c r="F17" s="65" t="e">
        <f t="shared" si="1"/>
        <v>#DIV/0!</v>
      </c>
      <c r="G17" s="64">
        <f>+G10-G11-G12-G13-G14-G16</f>
        <v>0</v>
      </c>
      <c r="H17" s="66" t="e">
        <f t="shared" ref="H17" si="3">+G17/G$10</f>
        <v>#DIV/0!</v>
      </c>
    </row>
    <row r="18" spans="2:8">
      <c r="B18" s="38" t="s">
        <v>17</v>
      </c>
      <c r="C18" s="62">
        <f>+Investimenti!H5+Investimenti!H11</f>
        <v>0</v>
      </c>
      <c r="D18" s="53" t="e">
        <f t="shared" si="1"/>
        <v>#DIV/0!</v>
      </c>
      <c r="E18" s="62">
        <f>+Investimenti!H5+Investimenti!H11+Investimenti!H23+Investimenti!H29</f>
        <v>0</v>
      </c>
      <c r="F18" s="53" t="e">
        <f t="shared" si="1"/>
        <v>#DIV/0!</v>
      </c>
      <c r="G18" s="62">
        <f>+Investimenti!H5+Investimenti!H11+Investimenti!H23+Investimenti!H29+Investimenti!H41+Investimenti!H47</f>
        <v>0</v>
      </c>
      <c r="H18" s="54" t="e">
        <f t="shared" ref="H18" si="4">+G18/G$10</f>
        <v>#DIV/0!</v>
      </c>
    </row>
    <row r="19" spans="2:8">
      <c r="B19" s="38" t="s">
        <v>18</v>
      </c>
      <c r="C19" s="62">
        <f>+'Ipotesi di base'!D15+('Ipotesi di base'!D16*Ricavi!C53)</f>
        <v>0</v>
      </c>
      <c r="D19" s="53" t="e">
        <f t="shared" si="1"/>
        <v>#DIV/0!</v>
      </c>
      <c r="E19" s="62">
        <f>+'Ipotesi di base'!E15+('Ipotesi di base'!E16*Ricavi!D53)</f>
        <v>0</v>
      </c>
      <c r="F19" s="53" t="e">
        <f t="shared" si="1"/>
        <v>#DIV/0!</v>
      </c>
      <c r="G19" s="62">
        <f>+'Ipotesi di base'!F15+('Ipotesi di base'!F16*Ricavi!E53)</f>
        <v>0</v>
      </c>
      <c r="H19" s="54" t="e">
        <f t="shared" ref="H19" si="5">+G19/G$10</f>
        <v>#DIV/0!</v>
      </c>
    </row>
    <row r="20" spans="2:8">
      <c r="B20" s="63" t="s">
        <v>19</v>
      </c>
      <c r="C20" s="64">
        <f>+C17-C18-C19</f>
        <v>0</v>
      </c>
      <c r="D20" s="65" t="e">
        <f t="shared" si="1"/>
        <v>#DIV/0!</v>
      </c>
      <c r="E20" s="64">
        <f>+E17-E18-E19</f>
        <v>0</v>
      </c>
      <c r="F20" s="65" t="e">
        <f t="shared" si="1"/>
        <v>#DIV/0!</v>
      </c>
      <c r="G20" s="64">
        <f>+G17-G18-G19</f>
        <v>0</v>
      </c>
      <c r="H20" s="66" t="e">
        <f t="shared" ref="H20" si="6">+G20/G$10</f>
        <v>#DIV/0!</v>
      </c>
    </row>
    <row r="21" spans="2:8">
      <c r="B21" s="38" t="s">
        <v>20</v>
      </c>
      <c r="C21" s="62">
        <f ca="1">+C22+C23</f>
        <v>0</v>
      </c>
      <c r="D21" s="53" t="e">
        <f t="shared" ca="1" si="1"/>
        <v>#DIV/0!</v>
      </c>
      <c r="E21" s="62">
        <f ca="1">+E22+E23</f>
        <v>0</v>
      </c>
      <c r="F21" s="53" t="e">
        <f t="shared" ca="1" si="1"/>
        <v>#DIV/0!</v>
      </c>
      <c r="G21" s="62">
        <f ca="1">+G22+G23</f>
        <v>0</v>
      </c>
      <c r="H21" s="54" t="e">
        <f t="shared" ref="H21" ca="1" si="7">+G21/G$10</f>
        <v>#DIV/0!</v>
      </c>
    </row>
    <row r="22" spans="2:8">
      <c r="B22" s="67" t="s">
        <v>130</v>
      </c>
      <c r="C22" s="62">
        <f>-Finanziamenti!L39-'Capitale sociale'!C11</f>
        <v>0</v>
      </c>
      <c r="D22" s="53" t="e">
        <f t="shared" si="1"/>
        <v>#DIV/0!</v>
      </c>
      <c r="E22" s="62">
        <f>-Finanziamenti!L40-'Capitale sociale'!D11</f>
        <v>0</v>
      </c>
      <c r="F22" s="53" t="e">
        <f t="shared" si="1"/>
        <v>#DIV/0!</v>
      </c>
      <c r="G22" s="62">
        <f>-Finanziamenti!L41-'Capitale sociale'!E11</f>
        <v>0</v>
      </c>
      <c r="H22" s="54" t="e">
        <f t="shared" ref="H22" si="8">+G22/G$10</f>
        <v>#DIV/0!</v>
      </c>
    </row>
    <row r="23" spans="2:8">
      <c r="B23" s="67" t="s">
        <v>131</v>
      </c>
      <c r="C23" s="62">
        <f ca="1">+'Saldo iva'!E43</f>
        <v>0</v>
      </c>
      <c r="D23" s="53" t="e">
        <f t="shared" ca="1" si="1"/>
        <v>#DIV/0!</v>
      </c>
      <c r="E23" s="62">
        <f ca="1">+'Saldo iva'!F43</f>
        <v>0</v>
      </c>
      <c r="F23" s="53" t="e">
        <f t="shared" ca="1" si="1"/>
        <v>#DIV/0!</v>
      </c>
      <c r="G23" s="62">
        <f ca="1">+'Saldo iva'!G43</f>
        <v>0</v>
      </c>
      <c r="H23" s="54" t="e">
        <f t="shared" ref="H23" ca="1" si="9">+G23/G$10</f>
        <v>#DIV/0!</v>
      </c>
    </row>
    <row r="24" spans="2:8">
      <c r="B24" s="63" t="s">
        <v>21</v>
      </c>
      <c r="C24" s="64">
        <f ca="1">+C20+C21</f>
        <v>0</v>
      </c>
      <c r="D24" s="65" t="e">
        <f t="shared" ca="1" si="1"/>
        <v>#DIV/0!</v>
      </c>
      <c r="E24" s="64">
        <f ca="1">+E20+E21</f>
        <v>0</v>
      </c>
      <c r="F24" s="65" t="e">
        <f t="shared" ca="1" si="1"/>
        <v>#DIV/0!</v>
      </c>
      <c r="G24" s="64">
        <f ca="1">+G20+G21</f>
        <v>0</v>
      </c>
      <c r="H24" s="66" t="e">
        <f t="shared" ref="H24" ca="1" si="10">+G24/G$10</f>
        <v>#DIV/0!</v>
      </c>
    </row>
    <row r="25" spans="2:8">
      <c r="B25" s="38" t="s">
        <v>22</v>
      </c>
      <c r="C25" s="62">
        <f ca="1">+C26+C27</f>
        <v>0</v>
      </c>
      <c r="D25" s="53" t="e">
        <f t="shared" ca="1" si="1"/>
        <v>#DIV/0!</v>
      </c>
      <c r="E25" s="62">
        <f ca="1">+E26+E27</f>
        <v>0</v>
      </c>
      <c r="F25" s="53" t="e">
        <f t="shared" ca="1" si="1"/>
        <v>#DIV/0!</v>
      </c>
      <c r="G25" s="62">
        <f ca="1">+G26+G27</f>
        <v>0</v>
      </c>
      <c r="H25" s="54" t="e">
        <f t="shared" ref="H25" ca="1" si="11">+G25/G$10</f>
        <v>#DIV/0!</v>
      </c>
    </row>
    <row r="26" spans="2:8" hidden="1">
      <c r="B26" s="67" t="s">
        <v>136</v>
      </c>
      <c r="C26" s="62">
        <f>+IF((C20+C16)&gt;0,(C20+C16)*'Ipotesi di base'!D9,0)</f>
        <v>0</v>
      </c>
      <c r="D26" s="53" t="e">
        <f t="shared" si="1"/>
        <v>#DIV/0!</v>
      </c>
      <c r="E26" s="62">
        <f>+IF((E20+E16)&gt;0,(E20+E16)*'Ipotesi di base'!E9,0)</f>
        <v>0</v>
      </c>
      <c r="F26" s="53" t="e">
        <f t="shared" si="1"/>
        <v>#DIV/0!</v>
      </c>
      <c r="G26" s="62">
        <f>+IF((G20+G16)&gt;0,(G20+G16)*'Ipotesi di base'!F9,0)</f>
        <v>0</v>
      </c>
      <c r="H26" s="54" t="e">
        <f t="shared" ref="H26" si="12">+G26/G$10</f>
        <v>#DIV/0!</v>
      </c>
    </row>
    <row r="27" spans="2:8" hidden="1">
      <c r="B27" s="67" t="s">
        <v>137</v>
      </c>
      <c r="C27" s="62">
        <f ca="1">+IF((C24-C26)&gt;0,(C24-C26)*'Ipotesi di base'!D10,0)</f>
        <v>0</v>
      </c>
      <c r="D27" s="53" t="e">
        <f t="shared" ca="1" si="1"/>
        <v>#DIV/0!</v>
      </c>
      <c r="E27" s="62">
        <f ca="1">+IF((E24-E26)&gt;0,(E24-E26)*'Ipotesi di base'!E10,0)</f>
        <v>0</v>
      </c>
      <c r="F27" s="53" t="e">
        <f t="shared" ca="1" si="1"/>
        <v>#DIV/0!</v>
      </c>
      <c r="G27" s="62">
        <f ca="1">+IF((G24-G26)&gt;0,(G24-G26)*'Ipotesi di base'!F10,0)</f>
        <v>0</v>
      </c>
      <c r="H27" s="54" t="e">
        <f t="shared" ref="H27" ca="1" si="13">+G27/G$10</f>
        <v>#DIV/0!</v>
      </c>
    </row>
    <row r="28" spans="2:8" ht="16.5" thickBot="1">
      <c r="B28" s="68" t="s">
        <v>23</v>
      </c>
      <c r="C28" s="69">
        <f ca="1">+C24-C25</f>
        <v>0</v>
      </c>
      <c r="D28" s="70" t="e">
        <f t="shared" ca="1" si="1"/>
        <v>#DIV/0!</v>
      </c>
      <c r="E28" s="69">
        <f ca="1">+E24-E25</f>
        <v>0</v>
      </c>
      <c r="F28" s="70" t="e">
        <f t="shared" ca="1" si="1"/>
        <v>#DIV/0!</v>
      </c>
      <c r="G28" s="69">
        <f ca="1">+G24-G25</f>
        <v>0</v>
      </c>
      <c r="H28" s="71" t="e">
        <f t="shared" ref="H28" ca="1" si="14">+G28/G$10</f>
        <v>#DIV/0!</v>
      </c>
    </row>
    <row r="29" spans="2:8">
      <c r="C29" s="2"/>
      <c r="D29" s="2"/>
      <c r="E29" s="2"/>
      <c r="F29" s="2"/>
      <c r="G29" s="2"/>
    </row>
    <row r="30" spans="2:8">
      <c r="C30" s="2"/>
      <c r="D30" s="2"/>
      <c r="E30" s="2"/>
      <c r="F30" s="2"/>
      <c r="G30" s="2"/>
    </row>
  </sheetData>
  <pageMargins left="0.70866141732283472" right="0.70866141732283472" top="0.74803149606299213" bottom="0.74803149606299213" header="0.31496062992125984" footer="0.31496062992125984"/>
  <pageSetup paperSize="9" scale="86" orientation="landscape" r:id="rId1"/>
  <ignoredErrors>
    <ignoredError sqref="E7:E9 D10 E27 E11 E16 E18:E19 G7:G9 G11:G14 G16 G18:G19 G22 G26:G27 F10 F15 F17 F20:F21 F24:F25 F28 D15 D17 D20:D21 D24:D25 D28" formula="1"/>
    <ignoredError sqref="C12 C14" formulaRange="1"/>
    <ignoredError sqref="E12:E14" formula="1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B5:J49"/>
  <sheetViews>
    <sheetView showGridLines="0" workbookViewId="0">
      <selection activeCell="G9" sqref="G9"/>
    </sheetView>
  </sheetViews>
  <sheetFormatPr defaultRowHeight="15.75"/>
  <cols>
    <col min="1" max="1" width="9.140625" style="1"/>
    <col min="2" max="2" width="48.85546875" style="1" customWidth="1"/>
    <col min="3" max="3" width="19.7109375" style="1" customWidth="1"/>
    <col min="4" max="4" width="9.28515625" style="1" bestFit="1" customWidth="1"/>
    <col min="5" max="5" width="19.7109375" style="1" customWidth="1"/>
    <col min="6" max="6" width="9.7109375" style="1" customWidth="1"/>
    <col min="7" max="7" width="19.7109375" style="1" customWidth="1"/>
    <col min="8" max="8" width="9.7109375" style="1" customWidth="1"/>
    <col min="9" max="9" width="9.85546875" style="1" bestFit="1" customWidth="1"/>
    <col min="10" max="10" width="11.7109375" style="1" bestFit="1" customWidth="1"/>
    <col min="11" max="16384" width="9.140625" style="1"/>
  </cols>
  <sheetData>
    <row r="5" spans="2:9" ht="16.5" thickBot="1"/>
    <row r="6" spans="2:9" ht="21" thickTop="1">
      <c r="B6" s="102" t="s">
        <v>140</v>
      </c>
      <c r="C6" s="73"/>
      <c r="D6" s="73"/>
      <c r="E6" s="73"/>
      <c r="F6" s="73"/>
      <c r="G6" s="73"/>
      <c r="H6" s="74"/>
    </row>
    <row r="7" spans="2:9">
      <c r="B7" s="75"/>
      <c r="C7" s="39"/>
      <c r="D7" s="39"/>
      <c r="E7" s="39"/>
      <c r="F7" s="39"/>
      <c r="G7" s="39"/>
      <c r="H7" s="76"/>
    </row>
    <row r="8" spans="2:9" ht="20.25">
      <c r="B8" s="101" t="s">
        <v>234</v>
      </c>
      <c r="C8" s="59">
        <f>+CE!C6</f>
        <v>2018</v>
      </c>
      <c r="D8" s="65"/>
      <c r="E8" s="59">
        <f>+CE!E6</f>
        <v>2019</v>
      </c>
      <c r="F8" s="65"/>
      <c r="G8" s="59">
        <f>+CE!G6</f>
        <v>2020</v>
      </c>
      <c r="H8" s="77"/>
    </row>
    <row r="9" spans="2:9">
      <c r="B9" s="75" t="s">
        <v>24</v>
      </c>
      <c r="C9" s="62">
        <f>+Investimenti!C69</f>
        <v>0</v>
      </c>
      <c r="D9" s="53"/>
      <c r="E9" s="62">
        <f>+Investimenti!D69</f>
        <v>0</v>
      </c>
      <c r="F9" s="53"/>
      <c r="G9" s="62">
        <f>+Investimenti!E69</f>
        <v>0</v>
      </c>
      <c r="H9" s="78"/>
      <c r="I9" s="2"/>
    </row>
    <row r="10" spans="2:9">
      <c r="B10" s="75" t="s">
        <v>25</v>
      </c>
      <c r="C10" s="62">
        <f>+Investimenti!C70</f>
        <v>0</v>
      </c>
      <c r="D10" s="53"/>
      <c r="E10" s="62">
        <f>+Investimenti!D70</f>
        <v>0</v>
      </c>
      <c r="F10" s="53"/>
      <c r="G10" s="62">
        <f>+Investimenti!E70</f>
        <v>0</v>
      </c>
      <c r="H10" s="78"/>
      <c r="I10" s="2"/>
    </row>
    <row r="11" spans="2:9">
      <c r="B11" s="75" t="s">
        <v>26</v>
      </c>
      <c r="C11" s="62">
        <f>+Investimenti!C71</f>
        <v>0</v>
      </c>
      <c r="D11" s="53"/>
      <c r="E11" s="62">
        <f>+Investimenti!D71</f>
        <v>0</v>
      </c>
      <c r="F11" s="53"/>
      <c r="G11" s="62">
        <f>+Investimenti!E71</f>
        <v>0</v>
      </c>
      <c r="H11" s="78"/>
      <c r="I11" s="2"/>
    </row>
    <row r="12" spans="2:9">
      <c r="B12" s="79" t="s">
        <v>27</v>
      </c>
      <c r="C12" s="64">
        <f>+C9+C10+C11</f>
        <v>0</v>
      </c>
      <c r="D12" s="65" t="e">
        <f ca="1">+C12/C18</f>
        <v>#DIV/0!</v>
      </c>
      <c r="E12" s="64">
        <f>+E9+E10+E11</f>
        <v>0</v>
      </c>
      <c r="F12" s="65" t="e">
        <f ca="1">+E12/E18</f>
        <v>#DIV/0!</v>
      </c>
      <c r="G12" s="64">
        <f>+G9+G10+G11</f>
        <v>0</v>
      </c>
      <c r="H12" s="77" t="e">
        <f ca="1">+G12/G18</f>
        <v>#DIV/0!</v>
      </c>
      <c r="I12" s="2"/>
    </row>
    <row r="13" spans="2:9">
      <c r="B13" s="75" t="s">
        <v>164</v>
      </c>
      <c r="C13" s="62">
        <f>+Ricavi!C54</f>
        <v>0</v>
      </c>
      <c r="D13" s="53"/>
      <c r="E13" s="62">
        <f>+Ricavi!D54</f>
        <v>0</v>
      </c>
      <c r="F13" s="53"/>
      <c r="G13" s="62">
        <f>+Ricavi!E54</f>
        <v>0</v>
      </c>
      <c r="H13" s="78"/>
      <c r="I13" s="2"/>
    </row>
    <row r="14" spans="2:9">
      <c r="B14" s="75" t="s">
        <v>28</v>
      </c>
      <c r="C14" s="62">
        <f>+Ricavi!C53</f>
        <v>0</v>
      </c>
      <c r="D14" s="53"/>
      <c r="E14" s="62">
        <f>+Ricavi!D53</f>
        <v>0</v>
      </c>
      <c r="F14" s="53"/>
      <c r="G14" s="62">
        <f>+Ricavi!E53</f>
        <v>0</v>
      </c>
      <c r="H14" s="78"/>
      <c r="I14" s="2"/>
    </row>
    <row r="15" spans="2:9">
      <c r="B15" s="75" t="s">
        <v>29</v>
      </c>
      <c r="C15" s="62">
        <f>+'Saldo iva'!E22</f>
        <v>0</v>
      </c>
      <c r="D15" s="53"/>
      <c r="E15" s="62">
        <f>+'Saldo iva'!F22</f>
        <v>0</v>
      </c>
      <c r="F15" s="53"/>
      <c r="G15" s="62">
        <f>+'Saldo iva'!G22</f>
        <v>0</v>
      </c>
      <c r="H15" s="78"/>
      <c r="I15" s="2"/>
    </row>
    <row r="16" spans="2:9">
      <c r="B16" s="75" t="s">
        <v>30</v>
      </c>
      <c r="C16" s="62">
        <f ca="1">+IF(Rendiconto!C34&gt;0,Rendiconto!C34,0)</f>
        <v>0</v>
      </c>
      <c r="D16" s="53"/>
      <c r="E16" s="62">
        <f ca="1">+IF(Rendiconto!D34&gt;0,Rendiconto!D34,0)</f>
        <v>0</v>
      </c>
      <c r="F16" s="53"/>
      <c r="G16" s="62">
        <f ca="1">+IF(Rendiconto!E34&gt;0,Rendiconto!E34,0)</f>
        <v>0</v>
      </c>
      <c r="H16" s="78"/>
      <c r="I16" s="2"/>
    </row>
    <row r="17" spans="2:10">
      <c r="B17" s="79" t="s">
        <v>31</v>
      </c>
      <c r="C17" s="64">
        <f ca="1">+SUM(C13:C16)</f>
        <v>0</v>
      </c>
      <c r="D17" s="65" t="e">
        <f ca="1">+C17/C18</f>
        <v>#DIV/0!</v>
      </c>
      <c r="E17" s="64">
        <f ca="1">+SUM(E13:E16)</f>
        <v>0</v>
      </c>
      <c r="F17" s="65" t="e">
        <f ca="1">+E17/E18</f>
        <v>#DIV/0!</v>
      </c>
      <c r="G17" s="64">
        <f ca="1">+SUM(G13:G16)</f>
        <v>0</v>
      </c>
      <c r="H17" s="77" t="e">
        <f ca="1">+G17/G18</f>
        <v>#DIV/0!</v>
      </c>
      <c r="I17" s="2"/>
    </row>
    <row r="18" spans="2:10">
      <c r="B18" s="79" t="s">
        <v>43</v>
      </c>
      <c r="C18" s="64">
        <f ca="1">+C17+C12</f>
        <v>0</v>
      </c>
      <c r="D18" s="65" t="e">
        <f ca="1">+C18/C18</f>
        <v>#DIV/0!</v>
      </c>
      <c r="E18" s="64">
        <f ca="1">+E17+E12</f>
        <v>0</v>
      </c>
      <c r="F18" s="65" t="e">
        <f ca="1">+E18/E18</f>
        <v>#DIV/0!</v>
      </c>
      <c r="G18" s="64">
        <f ca="1">+G17+G12</f>
        <v>0</v>
      </c>
      <c r="H18" s="77" t="e">
        <f ca="1">+G18/G18</f>
        <v>#DIV/0!</v>
      </c>
      <c r="I18" s="2"/>
    </row>
    <row r="19" spans="2:10" ht="20.25">
      <c r="B19" s="101" t="s">
        <v>235</v>
      </c>
      <c r="C19" s="62"/>
      <c r="D19" s="53"/>
      <c r="E19" s="62"/>
      <c r="F19" s="53"/>
      <c r="G19" s="62"/>
      <c r="H19" s="78"/>
    </row>
    <row r="20" spans="2:10">
      <c r="B20" s="75" t="s">
        <v>32</v>
      </c>
      <c r="C20" s="62">
        <f>+'Capitale sociale'!C5</f>
        <v>0</v>
      </c>
      <c r="D20" s="53"/>
      <c r="E20" s="62">
        <f>+'Capitale sociale'!D5</f>
        <v>0</v>
      </c>
      <c r="F20" s="53"/>
      <c r="G20" s="62">
        <f>+'Capitale sociale'!E5</f>
        <v>0</v>
      </c>
      <c r="H20" s="78"/>
      <c r="I20" s="2"/>
    </row>
    <row r="21" spans="2:10">
      <c r="B21" s="75" t="s">
        <v>132</v>
      </c>
      <c r="C21" s="62"/>
      <c r="D21" s="53"/>
      <c r="E21" s="62">
        <f ca="1">+IF(CE!C28&gt;0,(CE!C28*'Ipotesi di base'!D19)+(CE!C28*'Ipotesi di base'!D22))+IF(CE!C28&lt;0,CE!C28)</f>
        <v>0</v>
      </c>
      <c r="F21" s="53"/>
      <c r="G21" s="62">
        <f ca="1">+IF(CE!E28&gt;0,(CE!E28*'Ipotesi di base'!E19)+(CE!E28*'Ipotesi di base'!E22))+IF(CE!E28&lt;0,CE!E28)+E21</f>
        <v>0</v>
      </c>
      <c r="H21" s="78"/>
      <c r="I21" s="2"/>
      <c r="J21" s="2"/>
    </row>
    <row r="22" spans="2:10">
      <c r="B22" s="75" t="s">
        <v>33</v>
      </c>
      <c r="C22" s="62">
        <f ca="1">+CE!C28</f>
        <v>0</v>
      </c>
      <c r="D22" s="53"/>
      <c r="E22" s="62">
        <f ca="1">+CE!E28</f>
        <v>0</v>
      </c>
      <c r="F22" s="53"/>
      <c r="G22" s="62">
        <f ca="1">+CE!G28</f>
        <v>0</v>
      </c>
      <c r="H22" s="78"/>
      <c r="I22" s="2"/>
    </row>
    <row r="23" spans="2:10">
      <c r="B23" s="79" t="s">
        <v>34</v>
      </c>
      <c r="C23" s="64">
        <f ca="1">+C20+C21+C22</f>
        <v>0</v>
      </c>
      <c r="D23" s="65" t="e">
        <f ca="1">+C23/C33</f>
        <v>#DIV/0!</v>
      </c>
      <c r="E23" s="64">
        <f ca="1">+E20+E21+E22</f>
        <v>0</v>
      </c>
      <c r="F23" s="65" t="e">
        <f ca="1">+E23/E33</f>
        <v>#DIV/0!</v>
      </c>
      <c r="G23" s="64">
        <f ca="1">+G20+G21+G22</f>
        <v>0</v>
      </c>
      <c r="H23" s="77" t="e">
        <f ca="1">+G23/G33</f>
        <v>#DIV/0!</v>
      </c>
      <c r="I23" s="2"/>
    </row>
    <row r="24" spans="2:10">
      <c r="B24" s="79" t="s">
        <v>35</v>
      </c>
      <c r="C24" s="64">
        <f>+'Costo del lavoro'!C13</f>
        <v>0</v>
      </c>
      <c r="D24" s="65" t="e">
        <f ca="1">+C24/C33</f>
        <v>#DIV/0!</v>
      </c>
      <c r="E24" s="64">
        <f>+C24+'Costo del lavoro'!D13</f>
        <v>0</v>
      </c>
      <c r="F24" s="65" t="e">
        <f ca="1">+E24/E33</f>
        <v>#DIV/0!</v>
      </c>
      <c r="G24" s="64">
        <f>+E24+'Costo del lavoro'!E13</f>
        <v>0</v>
      </c>
      <c r="H24" s="77" t="e">
        <f ca="1">+G24/G33</f>
        <v>#DIV/0!</v>
      </c>
      <c r="I24" s="2"/>
    </row>
    <row r="25" spans="2:10">
      <c r="B25" s="79" t="s">
        <v>36</v>
      </c>
      <c r="C25" s="64">
        <f>+CE!C19</f>
        <v>0</v>
      </c>
      <c r="D25" s="65" t="e">
        <f ca="1">+C25/C33</f>
        <v>#DIV/0!</v>
      </c>
      <c r="E25" s="64">
        <f>+C25+CE!E19</f>
        <v>0</v>
      </c>
      <c r="F25" s="65" t="e">
        <f ca="1">+E25/E33</f>
        <v>#DIV/0!</v>
      </c>
      <c r="G25" s="64">
        <f>+E25+CE!G19</f>
        <v>0</v>
      </c>
      <c r="H25" s="77" t="e">
        <f ca="1">+G25/G33</f>
        <v>#DIV/0!</v>
      </c>
      <c r="I25" s="2"/>
    </row>
    <row r="26" spans="2:10">
      <c r="B26" s="75" t="s">
        <v>37</v>
      </c>
      <c r="C26" s="62">
        <f>+Finanziamenti!M39</f>
        <v>0</v>
      </c>
      <c r="D26" s="53"/>
      <c r="E26" s="62">
        <f>+Finanziamenti!M40</f>
        <v>0</v>
      </c>
      <c r="F26" s="53"/>
      <c r="G26" s="62">
        <f>+Finanziamenti!M41</f>
        <v>0</v>
      </c>
      <c r="H26" s="78"/>
      <c r="I26" s="2"/>
    </row>
    <row r="27" spans="2:10">
      <c r="B27" s="79" t="s">
        <v>38</v>
      </c>
      <c r="C27" s="64">
        <f>+C26+C25+C24</f>
        <v>0</v>
      </c>
      <c r="D27" s="65" t="e">
        <f ca="1">+C27/C33</f>
        <v>#DIV/0!</v>
      </c>
      <c r="E27" s="64">
        <f>+E26+E25+E24</f>
        <v>0</v>
      </c>
      <c r="F27" s="65" t="e">
        <f ca="1">+E27/E33</f>
        <v>#DIV/0!</v>
      </c>
      <c r="G27" s="64">
        <f>+G26+G25+G24</f>
        <v>0</v>
      </c>
      <c r="H27" s="77" t="e">
        <f ca="1">+G27/G33</f>
        <v>#DIV/0!</v>
      </c>
      <c r="I27" s="2"/>
    </row>
    <row r="28" spans="2:10">
      <c r="B28" s="75" t="s">
        <v>84</v>
      </c>
      <c r="C28" s="62">
        <f>+'Capitale sociale'!C8</f>
        <v>0</v>
      </c>
      <c r="D28" s="53"/>
      <c r="E28" s="62">
        <f>+'Capitale sociale'!D8</f>
        <v>0</v>
      </c>
      <c r="F28" s="53"/>
      <c r="G28" s="62">
        <f>+'Capitale sociale'!E8</f>
        <v>0</v>
      </c>
      <c r="H28" s="78"/>
      <c r="I28" s="2"/>
    </row>
    <row r="29" spans="2:10">
      <c r="B29" s="75" t="s">
        <v>39</v>
      </c>
      <c r="C29" s="62">
        <f>+Costi!R20</f>
        <v>0</v>
      </c>
      <c r="D29" s="53"/>
      <c r="E29" s="62">
        <f>+Costi!S20</f>
        <v>0</v>
      </c>
      <c r="F29" s="53"/>
      <c r="G29" s="62">
        <f>+Costi!T20</f>
        <v>0</v>
      </c>
      <c r="H29" s="78"/>
      <c r="I29" s="2"/>
    </row>
    <row r="30" spans="2:10">
      <c r="B30" s="75" t="s">
        <v>40</v>
      </c>
      <c r="C30" s="62">
        <f>+'Saldo iva'!E23</f>
        <v>0</v>
      </c>
      <c r="D30" s="53"/>
      <c r="E30" s="62">
        <f>+'Saldo iva'!F23</f>
        <v>0</v>
      </c>
      <c r="F30" s="53"/>
      <c r="G30" s="62">
        <f>+'Saldo iva'!G23</f>
        <v>0</v>
      </c>
      <c r="H30" s="78"/>
      <c r="I30" s="2"/>
    </row>
    <row r="31" spans="2:10">
      <c r="B31" s="75" t="s">
        <v>41</v>
      </c>
      <c r="C31" s="62">
        <f ca="1">+IF(Rendiconto!C34&lt;0,-Rendiconto!C34,0)</f>
        <v>0</v>
      </c>
      <c r="D31" s="53"/>
      <c r="E31" s="62">
        <f ca="1">+IF(Rendiconto!D34&lt;0,-Rendiconto!D34,0)</f>
        <v>0</v>
      </c>
      <c r="F31" s="53"/>
      <c r="G31" s="62">
        <f ca="1">+IF(Rendiconto!E34&lt;0,-Rendiconto!E34,0)</f>
        <v>0</v>
      </c>
      <c r="H31" s="78"/>
      <c r="I31" s="2"/>
    </row>
    <row r="32" spans="2:10">
      <c r="B32" s="79" t="s">
        <v>42</v>
      </c>
      <c r="C32" s="64">
        <f ca="1">+SUM(C28:C31)</f>
        <v>0</v>
      </c>
      <c r="D32" s="65" t="e">
        <f ca="1">+C32/C33</f>
        <v>#DIV/0!</v>
      </c>
      <c r="E32" s="64">
        <f ca="1">+SUM(E28:E31)</f>
        <v>0</v>
      </c>
      <c r="F32" s="65" t="e">
        <f ca="1">+E32/E33</f>
        <v>#DIV/0!</v>
      </c>
      <c r="G32" s="64">
        <f ca="1">+SUM(G28:G31)</f>
        <v>0</v>
      </c>
      <c r="H32" s="77" t="e">
        <f ca="1">+G32/G33</f>
        <v>#DIV/0!</v>
      </c>
      <c r="I32" s="2"/>
    </row>
    <row r="33" spans="2:9" ht="16.5" thickBot="1">
      <c r="B33" s="80" t="s">
        <v>44</v>
      </c>
      <c r="C33" s="81">
        <f ca="1">+C32+C27+C23</f>
        <v>0</v>
      </c>
      <c r="D33" s="82" t="e">
        <f ca="1">+C33/C33</f>
        <v>#DIV/0!</v>
      </c>
      <c r="E33" s="81">
        <f ca="1">+E32+E27+E23</f>
        <v>0</v>
      </c>
      <c r="F33" s="82" t="e">
        <f ca="1">+E33/E33</f>
        <v>#DIV/0!</v>
      </c>
      <c r="G33" s="81">
        <f ca="1">+G32+G27+G23</f>
        <v>0</v>
      </c>
      <c r="H33" s="83" t="e">
        <f ca="1">+G33/G33</f>
        <v>#DIV/0!</v>
      </c>
      <c r="I33" s="2"/>
    </row>
    <row r="34" spans="2:9" ht="16.5" thickTop="1"/>
    <row r="35" spans="2:9">
      <c r="B35" s="99" t="s">
        <v>163</v>
      </c>
      <c r="C35" s="100">
        <f ca="1">+C18-C33</f>
        <v>0</v>
      </c>
      <c r="D35" s="100"/>
      <c r="E35" s="100">
        <f ca="1">+E18-E33</f>
        <v>0</v>
      </c>
      <c r="F35" s="100"/>
      <c r="G35" s="100">
        <f ca="1">+G18-G33</f>
        <v>0</v>
      </c>
      <c r="H35" s="99"/>
      <c r="I35" s="2"/>
    </row>
    <row r="37" spans="2:9" hidden="1">
      <c r="B37" s="1" t="s">
        <v>169</v>
      </c>
    </row>
    <row r="38" spans="2:9" hidden="1">
      <c r="B38" s="1" t="s">
        <v>170</v>
      </c>
      <c r="C38" s="2">
        <f>+C12</f>
        <v>0</v>
      </c>
      <c r="D38" s="2"/>
      <c r="E38" s="2">
        <f>+E12</f>
        <v>0</v>
      </c>
      <c r="F38" s="2"/>
      <c r="G38" s="2">
        <f>+G12</f>
        <v>0</v>
      </c>
    </row>
    <row r="39" spans="2:9" hidden="1">
      <c r="B39" s="1" t="s">
        <v>171</v>
      </c>
      <c r="C39" s="2">
        <f>+C13+C14+C15</f>
        <v>0</v>
      </c>
      <c r="D39" s="2"/>
      <c r="E39" s="2">
        <f>+E13+E14+E15</f>
        <v>0</v>
      </c>
      <c r="F39" s="2"/>
      <c r="G39" s="2">
        <f>+G13+G14+G15</f>
        <v>0</v>
      </c>
    </row>
    <row r="40" spans="2:9" hidden="1"/>
    <row r="41" spans="2:9" hidden="1">
      <c r="B41" s="1" t="s">
        <v>172</v>
      </c>
      <c r="C41" s="2">
        <f ca="1">+C23</f>
        <v>0</v>
      </c>
      <c r="D41" s="2"/>
      <c r="E41" s="2">
        <f ca="1">+E23</f>
        <v>0</v>
      </c>
      <c r="F41" s="2"/>
      <c r="G41" s="2">
        <f ca="1">+G23</f>
        <v>0</v>
      </c>
    </row>
    <row r="42" spans="2:9" hidden="1">
      <c r="B42" s="1" t="s">
        <v>173</v>
      </c>
      <c r="C42" s="2">
        <f>+C24+C25</f>
        <v>0</v>
      </c>
      <c r="D42" s="2"/>
      <c r="E42" s="2">
        <f>+E24+E25</f>
        <v>0</v>
      </c>
      <c r="F42" s="2"/>
      <c r="G42" s="2">
        <f>+G24+G25</f>
        <v>0</v>
      </c>
    </row>
    <row r="43" spans="2:9" hidden="1">
      <c r="B43" s="1" t="s">
        <v>174</v>
      </c>
      <c r="C43" s="2">
        <f>+C27</f>
        <v>0</v>
      </c>
      <c r="D43" s="2"/>
      <c r="E43" s="2">
        <f>+E27</f>
        <v>0</v>
      </c>
      <c r="F43" s="2"/>
      <c r="G43" s="2">
        <f>+G27</f>
        <v>0</v>
      </c>
    </row>
    <row r="44" spans="2:9" hidden="1">
      <c r="B44" s="1" t="s">
        <v>175</v>
      </c>
      <c r="C44" s="2">
        <f>+C28+C29+C30</f>
        <v>0</v>
      </c>
      <c r="D44" s="2"/>
      <c r="E44" s="2">
        <f>+E28+E29+E30</f>
        <v>0</v>
      </c>
      <c r="F44" s="2"/>
      <c r="G44" s="2">
        <f>+G28+G29+G30</f>
        <v>0</v>
      </c>
    </row>
    <row r="45" spans="2:9" hidden="1"/>
    <row r="46" spans="2:9" hidden="1">
      <c r="B46" s="1" t="s">
        <v>208</v>
      </c>
      <c r="C46" s="2">
        <f ca="1">+SUM(C41:C44)-C38-C39</f>
        <v>0</v>
      </c>
      <c r="D46" s="2"/>
      <c r="E46" s="2">
        <f ca="1">+SUM(E41:E44)-E38-E39</f>
        <v>0</v>
      </c>
      <c r="F46" s="2"/>
      <c r="G46" s="2">
        <f ca="1">+SUM(G41:G44)-G38-G39</f>
        <v>0</v>
      </c>
    </row>
    <row r="47" spans="2:9" hidden="1">
      <c r="C47" s="2"/>
      <c r="D47" s="2"/>
      <c r="E47" s="2"/>
      <c r="F47" s="2"/>
      <c r="G47" s="2"/>
    </row>
    <row r="48" spans="2:9" hidden="1">
      <c r="B48" s="1" t="s">
        <v>215</v>
      </c>
      <c r="C48" s="22">
        <f ca="1">+C31+C28+C26-C16</f>
        <v>0</v>
      </c>
      <c r="D48" s="22"/>
      <c r="E48" s="22">
        <f ca="1">+E31+E28+E26-E16</f>
        <v>0</v>
      </c>
      <c r="F48" s="22"/>
      <c r="G48" s="22">
        <f ca="1">+G31+G28+G26-G16</f>
        <v>0</v>
      </c>
    </row>
    <row r="49" hidden="1"/>
  </sheetData>
  <pageMargins left="0.70866141732283472" right="0.70866141732283472" top="0.74803149606299213" bottom="0.74803149606299213" header="0.31496062992125984" footer="0.31496062992125984"/>
  <pageSetup paperSize="9" scale="8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B5:F35"/>
  <sheetViews>
    <sheetView showGridLines="0" workbookViewId="0">
      <selection activeCell="E30" sqref="E30"/>
    </sheetView>
  </sheetViews>
  <sheetFormatPr defaultRowHeight="15.75"/>
  <cols>
    <col min="1" max="1" width="9.140625" style="10"/>
    <col min="2" max="2" width="64" style="10" bestFit="1" customWidth="1"/>
    <col min="3" max="5" width="20.28515625" style="10" customWidth="1"/>
    <col min="6" max="16384" width="9.140625" style="10"/>
  </cols>
  <sheetData>
    <row r="5" spans="2:5" ht="16.5" thickBot="1"/>
    <row r="6" spans="2:5" ht="21" thickTop="1">
      <c r="B6" s="103" t="s">
        <v>141</v>
      </c>
      <c r="C6" s="84"/>
      <c r="D6" s="84"/>
      <c r="E6" s="85"/>
    </row>
    <row r="7" spans="2:5">
      <c r="B7" s="86"/>
      <c r="C7" s="87"/>
      <c r="D7" s="87"/>
      <c r="E7" s="88"/>
    </row>
    <row r="8" spans="2:5">
      <c r="B8" s="86"/>
      <c r="C8" s="89">
        <f>+CE!C6</f>
        <v>2018</v>
      </c>
      <c r="D8" s="89">
        <f>+CE!E6</f>
        <v>2019</v>
      </c>
      <c r="E8" s="90">
        <f>+CE!G6</f>
        <v>2020</v>
      </c>
    </row>
    <row r="9" spans="2:5">
      <c r="B9" s="86" t="s">
        <v>111</v>
      </c>
      <c r="C9" s="91">
        <f>+CE!C20</f>
        <v>0</v>
      </c>
      <c r="D9" s="91">
        <f>+CE!E20</f>
        <v>0</v>
      </c>
      <c r="E9" s="92">
        <f>+CE!G20</f>
        <v>0</v>
      </c>
    </row>
    <row r="10" spans="2:5">
      <c r="B10" s="86" t="s">
        <v>17</v>
      </c>
      <c r="C10" s="91">
        <f>+CE!C18</f>
        <v>0</v>
      </c>
      <c r="D10" s="91">
        <f>+CE!E18</f>
        <v>0</v>
      </c>
      <c r="E10" s="92">
        <f>+CE!G18</f>
        <v>0</v>
      </c>
    </row>
    <row r="11" spans="2:5">
      <c r="B11" s="86" t="s">
        <v>18</v>
      </c>
      <c r="C11" s="91">
        <f>+CE!C19</f>
        <v>0</v>
      </c>
      <c r="D11" s="91">
        <f>+CE!E19</f>
        <v>0</v>
      </c>
      <c r="E11" s="92">
        <f>+CE!G19</f>
        <v>0</v>
      </c>
    </row>
    <row r="12" spans="2:5">
      <c r="B12" s="86" t="s">
        <v>45</v>
      </c>
      <c r="C12" s="91">
        <f>+'Costo del lavoro'!C13</f>
        <v>0</v>
      </c>
      <c r="D12" s="91">
        <f>+'Costo del lavoro'!D13</f>
        <v>0</v>
      </c>
      <c r="E12" s="92">
        <f>+'Costo del lavoro'!E13</f>
        <v>0</v>
      </c>
    </row>
    <row r="13" spans="2:5">
      <c r="B13" s="93" t="s">
        <v>210</v>
      </c>
      <c r="C13" s="94">
        <f>+C9+C10+C11+C12</f>
        <v>0</v>
      </c>
      <c r="D13" s="94">
        <f>+D9+D10+D11+D12</f>
        <v>0</v>
      </c>
      <c r="E13" s="95">
        <f>+E9+E10+E11+E12</f>
        <v>0</v>
      </c>
    </row>
    <row r="14" spans="2:5">
      <c r="B14" s="86" t="s">
        <v>87</v>
      </c>
      <c r="C14" s="91">
        <f>-SP!C14</f>
        <v>0</v>
      </c>
      <c r="D14" s="91">
        <f>-(+SP!E14-SP!C14)</f>
        <v>0</v>
      </c>
      <c r="E14" s="92">
        <f>-(+SP!G14-SP!E14)</f>
        <v>0</v>
      </c>
    </row>
    <row r="15" spans="2:5">
      <c r="B15" s="86" t="s">
        <v>88</v>
      </c>
      <c r="C15" s="91">
        <f>-SP!C15</f>
        <v>0</v>
      </c>
      <c r="D15" s="91">
        <f>-(+SP!E15-SP!C15)</f>
        <v>0</v>
      </c>
      <c r="E15" s="92">
        <f>-(+SP!G15-SP!E15)</f>
        <v>0</v>
      </c>
    </row>
    <row r="16" spans="2:5">
      <c r="B16" s="86" t="s">
        <v>58</v>
      </c>
      <c r="C16" s="91">
        <f>-SP!C13</f>
        <v>0</v>
      </c>
      <c r="D16" s="91">
        <f>-(+SP!E13-SP!C13)</f>
        <v>0</v>
      </c>
      <c r="E16" s="92">
        <f>-(+SP!G13-SP!E13)</f>
        <v>0</v>
      </c>
    </row>
    <row r="17" spans="2:6">
      <c r="B17" s="86" t="s">
        <v>89</v>
      </c>
      <c r="C17" s="91">
        <f>+SP!C29</f>
        <v>0</v>
      </c>
      <c r="D17" s="91">
        <f>+SP!E29-SP!C29</f>
        <v>0</v>
      </c>
      <c r="E17" s="92">
        <f>+SP!G29-SP!E29</f>
        <v>0</v>
      </c>
    </row>
    <row r="18" spans="2:6">
      <c r="B18" s="86" t="s">
        <v>155</v>
      </c>
      <c r="C18" s="91">
        <f>+SP!C30</f>
        <v>0</v>
      </c>
      <c r="D18" s="91">
        <f>+SP!E30-SP!C30</f>
        <v>0</v>
      </c>
      <c r="E18" s="92">
        <f>+SP!G30-SP!E30</f>
        <v>0</v>
      </c>
    </row>
    <row r="19" spans="2:6">
      <c r="B19" s="93" t="s">
        <v>90</v>
      </c>
      <c r="C19" s="94">
        <f>+C13+SUM(C14:C18)</f>
        <v>0</v>
      </c>
      <c r="D19" s="94">
        <f>+D13+SUM(D14:D18)</f>
        <v>0</v>
      </c>
      <c r="E19" s="95">
        <f>+E13+SUM(E14:E18)</f>
        <v>0</v>
      </c>
      <c r="F19" s="14"/>
    </row>
    <row r="20" spans="2:6">
      <c r="B20" s="86" t="s">
        <v>211</v>
      </c>
      <c r="C20" s="91">
        <f>-Investimenti!C61</f>
        <v>0</v>
      </c>
      <c r="D20" s="91">
        <f>-Investimenti!D61</f>
        <v>0</v>
      </c>
      <c r="E20" s="92">
        <f>-Investimenti!E61</f>
        <v>0</v>
      </c>
    </row>
    <row r="21" spans="2:6">
      <c r="B21" s="86" t="s">
        <v>212</v>
      </c>
      <c r="C21" s="91">
        <f>-Investimenti!C62</f>
        <v>0</v>
      </c>
      <c r="D21" s="91">
        <f>-Investimenti!D62</f>
        <v>0</v>
      </c>
      <c r="E21" s="92">
        <f>-Investimenti!E62</f>
        <v>0</v>
      </c>
    </row>
    <row r="22" spans="2:6">
      <c r="B22" s="86" t="s">
        <v>26</v>
      </c>
      <c r="C22" s="91">
        <f>-Investimenti!C63</f>
        <v>0</v>
      </c>
      <c r="D22" s="91">
        <f>-Investimenti!D63</f>
        <v>0</v>
      </c>
      <c r="E22" s="92">
        <f>-Investimenti!E63</f>
        <v>0</v>
      </c>
    </row>
    <row r="23" spans="2:6">
      <c r="B23" s="86" t="s">
        <v>156</v>
      </c>
      <c r="C23" s="91">
        <f>+SP!C26</f>
        <v>0</v>
      </c>
      <c r="D23" s="91">
        <f>+SP!E26-SP!C26</f>
        <v>0</v>
      </c>
      <c r="E23" s="92">
        <f>+SP!G26-SP!E26</f>
        <v>0</v>
      </c>
    </row>
    <row r="24" spans="2:6">
      <c r="B24" s="86" t="s">
        <v>157</v>
      </c>
      <c r="C24" s="91">
        <f>CE!C22</f>
        <v>0</v>
      </c>
      <c r="D24" s="91">
        <f>CE!E22</f>
        <v>0</v>
      </c>
      <c r="E24" s="92">
        <f>CE!G22</f>
        <v>0</v>
      </c>
    </row>
    <row r="25" spans="2:6">
      <c r="B25" s="86" t="s">
        <v>91</v>
      </c>
      <c r="C25" s="91">
        <f>+'Capitale sociale'!C5</f>
        <v>0</v>
      </c>
      <c r="D25" s="91">
        <f>+'Capitale sociale'!D5-'Capitale sociale'!C5</f>
        <v>0</v>
      </c>
      <c r="E25" s="92">
        <f>+'Capitale sociale'!E5-'Capitale sociale'!D5</f>
        <v>0</v>
      </c>
    </row>
    <row r="26" spans="2:6">
      <c r="B26" s="86" t="s">
        <v>138</v>
      </c>
      <c r="C26" s="91"/>
      <c r="D26" s="91">
        <f ca="1">-(+IF(SP!C22&gt;0,(SP!C22*'Ipotesi di base'!E20)+SP!C22*'Ipotesi di base'!E21,0))</f>
        <v>0</v>
      </c>
      <c r="E26" s="92">
        <f ca="1">-(+IF(SP!E22&gt;0,(SP!E22*'Ipotesi di base'!F20)+SP!E22*'Ipotesi di base'!F21,0))</f>
        <v>0</v>
      </c>
    </row>
    <row r="27" spans="2:6">
      <c r="B27" s="86" t="s">
        <v>92</v>
      </c>
      <c r="C27" s="91">
        <f>+'Capitale sociale'!C8</f>
        <v>0</v>
      </c>
      <c r="D27" s="91">
        <f>+'Capitale sociale'!D8-'Capitale sociale'!C8</f>
        <v>0</v>
      </c>
      <c r="E27" s="92">
        <f>+'Capitale sociale'!E8-'Capitale sociale'!D8</f>
        <v>0</v>
      </c>
    </row>
    <row r="28" spans="2:6">
      <c r="B28" s="86" t="s">
        <v>93</v>
      </c>
      <c r="C28" s="91">
        <f ca="1">-CE!C25</f>
        <v>0</v>
      </c>
      <c r="D28" s="91">
        <f ca="1">-CE!E25</f>
        <v>0</v>
      </c>
      <c r="E28" s="92">
        <f ca="1">-CE!G25</f>
        <v>0</v>
      </c>
    </row>
    <row r="29" spans="2:6">
      <c r="B29" s="86" t="s">
        <v>221</v>
      </c>
      <c r="C29" s="91">
        <f ca="1">+IF('Saldo iva'!E43&gt;0,'Saldo iva'!E43,0)</f>
        <v>0</v>
      </c>
      <c r="D29" s="91">
        <f ca="1">+IF('Saldo iva'!F43&gt;0,'Saldo iva'!F43,0)</f>
        <v>0</v>
      </c>
      <c r="E29" s="92">
        <f ca="1">+IF('Saldo iva'!G43&gt;0,'Saldo iva'!G43,0)</f>
        <v>0</v>
      </c>
    </row>
    <row r="30" spans="2:6">
      <c r="B30" s="86" t="s">
        <v>222</v>
      </c>
      <c r="C30" s="91">
        <f ca="1">+IF('Saldo iva'!E43&lt;0,'Saldo iva'!E43,0)</f>
        <v>0</v>
      </c>
      <c r="D30" s="91">
        <f ca="1">+IF('Saldo iva'!F43&lt;0,'Saldo iva'!F43,0)</f>
        <v>0</v>
      </c>
      <c r="E30" s="92">
        <f ca="1">+IF('Saldo iva'!G43&lt;0,'Saldo iva'!G43,0)</f>
        <v>0</v>
      </c>
    </row>
    <row r="31" spans="2:6">
      <c r="B31" s="93" t="s">
        <v>94</v>
      </c>
      <c r="C31" s="94">
        <f ca="1">+C19+SUM(C20:C30)</f>
        <v>0</v>
      </c>
      <c r="D31" s="94">
        <f ca="1">+D19+SUM(D20:D30)</f>
        <v>0</v>
      </c>
      <c r="E31" s="95">
        <f ca="1">+E19+SUM(E20:E30)</f>
        <v>0</v>
      </c>
      <c r="F31" s="14"/>
    </row>
    <row r="32" spans="2:6">
      <c r="B32" s="93" t="s">
        <v>95</v>
      </c>
      <c r="C32" s="91">
        <v>0</v>
      </c>
      <c r="D32" s="91">
        <f ca="1">+C34</f>
        <v>0</v>
      </c>
      <c r="E32" s="92">
        <f ca="1">+D34</f>
        <v>0</v>
      </c>
    </row>
    <row r="33" spans="2:5">
      <c r="B33" s="86"/>
      <c r="C33" s="91"/>
      <c r="D33" s="91"/>
      <c r="E33" s="92"/>
    </row>
    <row r="34" spans="2:5" ht="16.5" thickBot="1">
      <c r="B34" s="96" t="s">
        <v>96</v>
      </c>
      <c r="C34" s="97">
        <f ca="1">+C31+C32</f>
        <v>0</v>
      </c>
      <c r="D34" s="97">
        <f ca="1">+D31+D32</f>
        <v>0</v>
      </c>
      <c r="E34" s="98">
        <f ca="1">+E31+E32</f>
        <v>0</v>
      </c>
    </row>
    <row r="35" spans="2:5" ht="16.5" thickTop="1"/>
  </sheetData>
  <sheetProtection algorithmName="SHA-512" hashValue="f+7YMoiSPzzCxvDOYlGldrYPM1Y7s2QiTvBA2D+fqRII5VK8iXsj4yulyVBh/1VrwWzum1eZTFw9GEZcgOblIg==" saltValue="jrfAdRVa8R8q1ckgDm5fIQ==" spinCount="100000" sheet="1" objects="1" scenarios="1"/>
  <pageMargins left="0.70866141732283472" right="0.70866141732283472" top="0.74803149606299213" bottom="0.74803149606299213" header="0.31496062992125984" footer="0.31496062992125984"/>
  <pageSetup paperSize="9" scale="92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C7:G24"/>
  <sheetViews>
    <sheetView showGridLines="0" workbookViewId="0">
      <selection activeCell="C3" sqref="C3"/>
    </sheetView>
  </sheetViews>
  <sheetFormatPr defaultRowHeight="15.75"/>
  <cols>
    <col min="1" max="2" width="9.140625" style="1"/>
    <col min="3" max="3" width="43.42578125" style="1" customWidth="1"/>
    <col min="4" max="4" width="3.42578125" style="1" customWidth="1"/>
    <col min="5" max="5" width="20" style="1" customWidth="1"/>
    <col min="6" max="6" width="25.42578125" style="1" customWidth="1"/>
    <col min="7" max="7" width="22.85546875" style="1" customWidth="1"/>
    <col min="8" max="16384" width="9.140625" style="1"/>
  </cols>
  <sheetData>
    <row r="7" spans="3:7" ht="16.5" thickBot="1"/>
    <row r="8" spans="3:7" ht="20.25">
      <c r="C8" s="105" t="s">
        <v>236</v>
      </c>
      <c r="D8" s="35"/>
      <c r="E8" s="36">
        <f>+CE!C6</f>
        <v>2018</v>
      </c>
      <c r="F8" s="36">
        <f>+CE!E6</f>
        <v>2019</v>
      </c>
      <c r="G8" s="37">
        <f>+CE!G6</f>
        <v>2020</v>
      </c>
    </row>
    <row r="9" spans="3:7">
      <c r="C9" s="38"/>
      <c r="D9" s="39"/>
      <c r="E9" s="40"/>
      <c r="F9" s="40"/>
      <c r="G9" s="41"/>
    </row>
    <row r="10" spans="3:7">
      <c r="C10" s="38" t="s">
        <v>217</v>
      </c>
      <c r="D10" s="39"/>
      <c r="E10" s="42"/>
      <c r="F10" s="42" t="e">
        <f>+(CE!E7-CE!C7)/CE!C7</f>
        <v>#DIV/0!</v>
      </c>
      <c r="G10" s="43" t="e">
        <f>+(CE!G7-CE!E7)/CE!E7</f>
        <v>#DIV/0!</v>
      </c>
    </row>
    <row r="11" spans="3:7">
      <c r="C11" s="38"/>
      <c r="D11" s="39"/>
      <c r="E11" s="42"/>
      <c r="F11" s="42"/>
      <c r="G11" s="43"/>
    </row>
    <row r="12" spans="3:7">
      <c r="C12" s="38" t="s">
        <v>223</v>
      </c>
      <c r="D12" s="39"/>
      <c r="E12" s="42" t="e">
        <f>+CE!C17/CE!C7</f>
        <v>#DIV/0!</v>
      </c>
      <c r="F12" s="42" t="e">
        <f>+CE!E17/CE!E7</f>
        <v>#DIV/0!</v>
      </c>
      <c r="G12" s="43" t="e">
        <f>+CE!G17/CE!G7</f>
        <v>#DIV/0!</v>
      </c>
    </row>
    <row r="13" spans="3:7">
      <c r="C13" s="38"/>
      <c r="D13" s="39"/>
      <c r="E13" s="42"/>
      <c r="F13" s="42"/>
      <c r="G13" s="43"/>
    </row>
    <row r="14" spans="3:7">
      <c r="C14" s="38" t="s">
        <v>218</v>
      </c>
      <c r="D14" s="39"/>
      <c r="E14" s="44" t="str">
        <f>+IF(CE!C20&gt;0,CE!C20/-CE!C21," RO &lt; 0 ")</f>
        <v xml:space="preserve"> RO &lt; 0 </v>
      </c>
      <c r="F14" s="44" t="str">
        <f>+IF(CE!E20&gt;0,CE!E20/-CE!E21," RO&lt;0 ")</f>
        <v xml:space="preserve"> RO&lt;0 </v>
      </c>
      <c r="G14" s="45" t="str">
        <f>+IF(CE!G20&gt;0,CE!G20/-CE!G21," RO &lt;0 ")</f>
        <v xml:space="preserve"> RO &lt;0 </v>
      </c>
    </row>
    <row r="15" spans="3:7">
      <c r="C15" s="38"/>
      <c r="D15" s="39"/>
      <c r="E15" s="46"/>
      <c r="F15" s="46"/>
      <c r="G15" s="47"/>
    </row>
    <row r="16" spans="3:7">
      <c r="C16" s="38" t="s">
        <v>214</v>
      </c>
      <c r="D16" s="39"/>
      <c r="E16" s="44" t="e">
        <f ca="1">+IF(SP!C48&lt;0,"PFN &gt;0 ",IF(CE!C17&lt;0,"MOL &lt;0 ",SP!C48/CE!C17))</f>
        <v>#DIV/0!</v>
      </c>
      <c r="F16" s="44" t="e">
        <f ca="1">+IF(SP!E48&lt;0," PFN &gt;0 ",IF(CE!E17&lt;0," MOL &lt;0 ",SP!E48/CE!E17))</f>
        <v>#DIV/0!</v>
      </c>
      <c r="G16" s="45" t="e">
        <f ca="1">+IF(SP!G48&lt;0,"PFN &gt; 0 ",IF(CE!G17&lt;0," MOL &lt;0 ",SP!G48/CE!G17))</f>
        <v>#DIV/0!</v>
      </c>
    </row>
    <row r="17" spans="3:7">
      <c r="C17" s="38"/>
      <c r="D17" s="39"/>
      <c r="E17" s="48"/>
      <c r="F17" s="48"/>
      <c r="G17" s="49"/>
    </row>
    <row r="18" spans="3:7">
      <c r="C18" s="38" t="s">
        <v>216</v>
      </c>
      <c r="D18" s="39"/>
      <c r="E18" s="44" t="str">
        <f>IF(Rendiconto!C19&gt;0,+Rendiconto!C19/'Saldo iva'!E35,"FLUSSI NEGATIVI")</f>
        <v>FLUSSI NEGATIVI</v>
      </c>
      <c r="F18" s="44" t="str">
        <f>IF(Rendiconto!D19&gt;0,+Rendiconto!D19/'Saldo iva'!F35,"FLUSSI NEGATIVI")</f>
        <v>FLUSSI NEGATIVI</v>
      </c>
      <c r="G18" s="45" t="str">
        <f>IF(Rendiconto!E19&gt;0,+Rendiconto!E19/'Saldo iva'!G35,"FLUSSI NEGATIVI")</f>
        <v>FLUSSI NEGATIVI</v>
      </c>
    </row>
    <row r="19" spans="3:7">
      <c r="C19" s="38"/>
      <c r="D19" s="39"/>
      <c r="E19" s="44"/>
      <c r="F19" s="44"/>
      <c r="G19" s="45"/>
    </row>
    <row r="20" spans="3:7">
      <c r="C20" s="38" t="s">
        <v>219</v>
      </c>
      <c r="D20" s="39"/>
      <c r="E20" s="50">
        <f ca="1">+SP!C23+SP!C24+SP!C25+SP!C27-SP!C12</f>
        <v>0</v>
      </c>
      <c r="F20" s="50">
        <f ca="1">+SP!E23+SP!E24+SP!E25+SP!E27-SP!E12</f>
        <v>0</v>
      </c>
      <c r="G20" s="51">
        <f ca="1">+SP!G23+SP!G24+SP!G25+SP!G27-SP!G12</f>
        <v>0</v>
      </c>
    </row>
    <row r="21" spans="3:7">
      <c r="C21" s="38"/>
      <c r="D21" s="39"/>
      <c r="E21" s="39"/>
      <c r="F21" s="39"/>
      <c r="G21" s="52"/>
    </row>
    <row r="22" spans="3:7">
      <c r="C22" s="38" t="s">
        <v>224</v>
      </c>
      <c r="D22" s="39"/>
      <c r="E22" s="53" t="e">
        <f ca="1">+CE!C20/SP!C18</f>
        <v>#DIV/0!</v>
      </c>
      <c r="F22" s="53" t="e">
        <f ca="1">+CE!E20/SP!E18</f>
        <v>#DIV/0!</v>
      </c>
      <c r="G22" s="54" t="e">
        <f ca="1">+CE!G20/SP!G18</f>
        <v>#DIV/0!</v>
      </c>
    </row>
    <row r="23" spans="3:7">
      <c r="C23" s="38"/>
      <c r="D23" s="39"/>
      <c r="E23" s="39"/>
      <c r="F23" s="39"/>
      <c r="G23" s="52"/>
    </row>
    <row r="24" spans="3:7" ht="16.5" thickBot="1">
      <c r="C24" s="55" t="s">
        <v>225</v>
      </c>
      <c r="D24" s="56"/>
      <c r="E24" s="57" t="e">
        <f>+CE!C20/CE!C7</f>
        <v>#DIV/0!</v>
      </c>
      <c r="F24" s="57" t="e">
        <f>+CE!D20/CE!D7</f>
        <v>#DIV/0!</v>
      </c>
      <c r="G24" s="58" t="e">
        <f>+CE!E20/CE!E7</f>
        <v>#DIV/0!</v>
      </c>
    </row>
  </sheetData>
  <sheetProtection password="9A07" sheet="1" objects="1" scenarios="1"/>
  <conditionalFormatting sqref="E14:G14">
    <cfRule type="cellIs" dxfId="7" priority="7" operator="lessThan">
      <formula>3</formula>
    </cfRule>
    <cfRule type="cellIs" dxfId="6" priority="8" operator="greaterThan">
      <formula>3</formula>
    </cfRule>
    <cfRule type="containsText" dxfId="5" priority="1" operator="containsText" text="ro">
      <formula>NOT(ISERROR(SEARCH("ro",E14)))</formula>
    </cfRule>
  </conditionalFormatting>
  <conditionalFormatting sqref="E16:G16">
    <cfRule type="containsText" dxfId="4" priority="3" operator="containsText" text="MOL">
      <formula>NOT(ISERROR(SEARCH("MOL",E16)))</formula>
    </cfRule>
    <cfRule type="containsText" dxfId="3" priority="4" operator="containsText" text="PFN">
      <formula>NOT(ISERROR(SEARCH("PFN",E16)))</formula>
    </cfRule>
    <cfRule type="cellIs" dxfId="2" priority="5" operator="lessThan">
      <formula>5</formula>
    </cfRule>
    <cfRule type="cellIs" dxfId="1" priority="6" operator="greaterThan">
      <formula>5</formula>
    </cfRule>
  </conditionalFormatting>
  <conditionalFormatting sqref="E18:G19">
    <cfRule type="containsText" dxfId="0" priority="2" operator="containsText" text="flussi">
      <formula>NOT(ISERROR(SEARCH("flussi",E18)))</formula>
    </cfRule>
  </conditionalFormatting>
  <pageMargins left="0.70866141732283472" right="0.70866141732283472" top="0.74803149606299213" bottom="0.74803149606299213" header="0.31496062992125984" footer="0.31496062992125984"/>
  <pageSetup paperSize="9" scale="9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H22"/>
  <sheetViews>
    <sheetView tabSelected="1" workbookViewId="0">
      <selection activeCell="D8" sqref="D8"/>
    </sheetView>
  </sheetViews>
  <sheetFormatPr defaultRowHeight="15.75"/>
  <cols>
    <col min="1" max="1" width="9.140625" style="1"/>
    <col min="2" max="2" width="39.5703125" style="1" bestFit="1" customWidth="1"/>
    <col min="3" max="3" width="9.140625" style="1"/>
    <col min="4" max="4" width="19.42578125" style="1" customWidth="1"/>
    <col min="5" max="5" width="15.28515625" style="1" customWidth="1"/>
    <col min="6" max="6" width="17.140625" style="1" customWidth="1"/>
    <col min="7" max="16384" width="9.140625" style="1"/>
  </cols>
  <sheetData>
    <row r="1" spans="2:8" ht="16.5" thickBot="1"/>
    <row r="2" spans="2:8" ht="16.5" thickBot="1">
      <c r="B2" s="114" t="s">
        <v>86</v>
      </c>
      <c r="C2" s="115"/>
      <c r="D2" s="115"/>
      <c r="E2" s="115"/>
      <c r="F2" s="115"/>
      <c r="G2" s="115"/>
      <c r="H2" s="116"/>
    </row>
    <row r="7" spans="2:8">
      <c r="B7" s="1" t="s">
        <v>0</v>
      </c>
      <c r="D7" s="6">
        <v>2018</v>
      </c>
    </row>
    <row r="8" spans="2:8">
      <c r="D8" s="3">
        <f>+D7</f>
        <v>2018</v>
      </c>
      <c r="E8" s="3">
        <f>+D8+1</f>
        <v>2019</v>
      </c>
      <c r="F8" s="3">
        <f>+E8+1</f>
        <v>2020</v>
      </c>
    </row>
    <row r="9" spans="2:8">
      <c r="B9" s="1" t="s">
        <v>1</v>
      </c>
      <c r="D9" s="7"/>
      <c r="E9" s="7"/>
      <c r="F9" s="7"/>
    </row>
    <row r="10" spans="2:8">
      <c r="B10" s="1" t="s">
        <v>2</v>
      </c>
      <c r="D10" s="7"/>
      <c r="E10" s="7"/>
      <c r="F10" s="7"/>
    </row>
    <row r="11" spans="2:8">
      <c r="D11" s="3">
        <f>+D7</f>
        <v>2018</v>
      </c>
      <c r="E11" s="3">
        <f>+D11+1</f>
        <v>2019</v>
      </c>
      <c r="F11" s="3">
        <f>+E11+1</f>
        <v>2020</v>
      </c>
    </row>
    <row r="12" spans="2:8">
      <c r="B12" s="1" t="s">
        <v>49</v>
      </c>
      <c r="D12" s="106"/>
      <c r="E12" s="106"/>
      <c r="F12" s="106"/>
    </row>
    <row r="13" spans="2:8">
      <c r="B13" s="1" t="s">
        <v>50</v>
      </c>
      <c r="D13" s="106"/>
      <c r="E13" s="106"/>
      <c r="F13" s="106"/>
    </row>
    <row r="14" spans="2:8">
      <c r="D14" s="3">
        <f>+D7</f>
        <v>2018</v>
      </c>
      <c r="E14" s="3">
        <f>+D14+1</f>
        <v>2019</v>
      </c>
      <c r="F14" s="3">
        <f>+E14+1</f>
        <v>2020</v>
      </c>
    </row>
    <row r="15" spans="2:8">
      <c r="B15" s="1" t="s">
        <v>220</v>
      </c>
      <c r="D15" s="107"/>
      <c r="E15" s="107"/>
      <c r="F15" s="107"/>
    </row>
    <row r="16" spans="2:8">
      <c r="B16" s="1" t="s">
        <v>150</v>
      </c>
      <c r="D16" s="108"/>
      <c r="E16" s="108"/>
      <c r="F16" s="108"/>
    </row>
    <row r="18" spans="2:6">
      <c r="B18" s="1" t="s">
        <v>61</v>
      </c>
      <c r="D18" s="3">
        <f>+D7</f>
        <v>2018</v>
      </c>
      <c r="E18" s="3">
        <f>+D18+1</f>
        <v>2019</v>
      </c>
      <c r="F18" s="3">
        <f>+E18+1</f>
        <v>2020</v>
      </c>
    </row>
    <row r="19" spans="2:6">
      <c r="B19" s="1" t="s">
        <v>63</v>
      </c>
      <c r="D19" s="12">
        <v>0.3</v>
      </c>
      <c r="E19" s="12">
        <v>0.3</v>
      </c>
      <c r="F19" s="12">
        <v>0.3</v>
      </c>
    </row>
    <row r="20" spans="2:6">
      <c r="B20" s="1" t="s">
        <v>62</v>
      </c>
      <c r="D20" s="12">
        <v>0.03</v>
      </c>
      <c r="E20" s="12">
        <v>0.03</v>
      </c>
      <c r="F20" s="12">
        <v>0.03</v>
      </c>
    </row>
    <row r="21" spans="2:6">
      <c r="B21" s="1" t="s">
        <v>64</v>
      </c>
      <c r="D21" s="12"/>
      <c r="E21" s="12"/>
      <c r="F21" s="12"/>
    </row>
    <row r="22" spans="2:6">
      <c r="B22" s="1" t="s">
        <v>139</v>
      </c>
      <c r="D22" s="12">
        <f>100%-D19-D20-D21</f>
        <v>0.66999999999999993</v>
      </c>
      <c r="E22" s="12">
        <f>100%-E19-E20-E21</f>
        <v>0.66999999999999993</v>
      </c>
      <c r="F22" s="12">
        <f>100%-F19-F20-F21</f>
        <v>0.66999999999999993</v>
      </c>
    </row>
  </sheetData>
  <sheetProtection password="9A07" sheet="1" objects="1" scenarios="1"/>
  <protectedRanges>
    <protectedRange sqref="D7 D9:F10 D12:F13 D15:F16 D19:F21" name="Intervallo2"/>
    <protectedRange sqref="D7 D9:F10 D12:F13 D15:F16 D19:F21" name="Intervallo1"/>
  </protectedRanges>
  <mergeCells count="1">
    <mergeCell ref="B2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4:E62"/>
  <sheetViews>
    <sheetView topLeftCell="A22" workbookViewId="0">
      <selection activeCell="C45" sqref="C45:E47"/>
    </sheetView>
  </sheetViews>
  <sheetFormatPr defaultRowHeight="15.75"/>
  <cols>
    <col min="1" max="1" width="9.140625" style="1"/>
    <col min="2" max="2" width="38.28515625" style="1" bestFit="1" customWidth="1"/>
    <col min="3" max="5" width="19.7109375" style="1" customWidth="1"/>
    <col min="6" max="16384" width="9.140625" style="1"/>
  </cols>
  <sheetData>
    <row r="4" spans="2:5" ht="45" customHeight="1">
      <c r="B4" s="107"/>
      <c r="C4" s="3">
        <f>+'Ipotesi di base'!$D$7</f>
        <v>2018</v>
      </c>
      <c r="D4" s="3">
        <f>+C4+1</f>
        <v>2019</v>
      </c>
      <c r="E4" s="3">
        <f>+D4+1</f>
        <v>2020</v>
      </c>
    </row>
    <row r="5" spans="2:5">
      <c r="B5" s="1" t="s">
        <v>51</v>
      </c>
      <c r="C5" s="107"/>
      <c r="D5" s="107"/>
      <c r="E5" s="107"/>
    </row>
    <row r="6" spans="2:5">
      <c r="B6" s="1" t="s">
        <v>60</v>
      </c>
      <c r="C6" s="107"/>
      <c r="D6" s="107"/>
      <c r="E6" s="107"/>
    </row>
    <row r="7" spans="2:5">
      <c r="B7" s="1" t="s">
        <v>52</v>
      </c>
      <c r="C7" s="1">
        <f>+C6*C5</f>
        <v>0</v>
      </c>
      <c r="D7" s="1">
        <f>+D6*D5</f>
        <v>0</v>
      </c>
      <c r="E7" s="1">
        <f>+E6*E5</f>
        <v>0</v>
      </c>
    </row>
    <row r="8" spans="2:5">
      <c r="B8" s="1" t="s">
        <v>238</v>
      </c>
      <c r="C8" s="109"/>
      <c r="D8" s="109"/>
      <c r="E8" s="109"/>
    </row>
    <row r="9" spans="2:5">
      <c r="B9" s="1" t="s">
        <v>59</v>
      </c>
      <c r="C9" s="107"/>
      <c r="D9" s="107"/>
      <c r="E9" s="107"/>
    </row>
    <row r="10" spans="2:5">
      <c r="B10" s="1" t="s">
        <v>48</v>
      </c>
      <c r="C10" s="110"/>
      <c r="D10" s="110"/>
      <c r="E10" s="110"/>
    </row>
    <row r="13" spans="2:5" ht="45" customHeight="1">
      <c r="B13" s="107"/>
      <c r="C13" s="3">
        <f>+'Ipotesi di base'!$D$7</f>
        <v>2018</v>
      </c>
      <c r="D13" s="3">
        <f>+C13+1</f>
        <v>2019</v>
      </c>
      <c r="E13" s="3">
        <f>+D13+1</f>
        <v>2020</v>
      </c>
    </row>
    <row r="14" spans="2:5">
      <c r="B14" s="1" t="s">
        <v>51</v>
      </c>
      <c r="C14" s="107"/>
      <c r="D14" s="107"/>
      <c r="E14" s="107"/>
    </row>
    <row r="15" spans="2:5">
      <c r="B15" s="1" t="s">
        <v>60</v>
      </c>
      <c r="C15" s="107"/>
      <c r="D15" s="107"/>
      <c r="E15" s="107"/>
    </row>
    <row r="16" spans="2:5">
      <c r="B16" s="1" t="s">
        <v>52</v>
      </c>
      <c r="C16" s="1">
        <f>+C15*C14</f>
        <v>0</v>
      </c>
      <c r="D16" s="1">
        <f>+D15*D14</f>
        <v>0</v>
      </c>
      <c r="E16" s="1">
        <f>+E15*E14</f>
        <v>0</v>
      </c>
    </row>
    <row r="17" spans="2:5">
      <c r="B17" s="1" t="s">
        <v>238</v>
      </c>
      <c r="C17" s="109"/>
      <c r="D17" s="109"/>
      <c r="E17" s="109"/>
    </row>
    <row r="18" spans="2:5">
      <c r="B18" s="1" t="s">
        <v>59</v>
      </c>
      <c r="C18" s="107"/>
      <c r="D18" s="107"/>
      <c r="E18" s="107"/>
    </row>
    <row r="19" spans="2:5">
      <c r="B19" s="1" t="s">
        <v>48</v>
      </c>
      <c r="C19" s="110"/>
      <c r="D19" s="110"/>
      <c r="E19" s="110"/>
    </row>
    <row r="22" spans="2:5" ht="45" customHeight="1">
      <c r="B22" s="107"/>
      <c r="C22" s="3">
        <f>+'Ipotesi di base'!$D$7</f>
        <v>2018</v>
      </c>
      <c r="D22" s="3">
        <f>+C22+1</f>
        <v>2019</v>
      </c>
      <c r="E22" s="3">
        <f>+D22+1</f>
        <v>2020</v>
      </c>
    </row>
    <row r="23" spans="2:5">
      <c r="B23" s="1" t="s">
        <v>51</v>
      </c>
      <c r="C23" s="107"/>
      <c r="D23" s="107"/>
      <c r="E23" s="107"/>
    </row>
    <row r="24" spans="2:5">
      <c r="B24" s="1" t="s">
        <v>60</v>
      </c>
      <c r="C24" s="107"/>
      <c r="D24" s="107"/>
      <c r="E24" s="107"/>
    </row>
    <row r="25" spans="2:5">
      <c r="B25" s="1" t="s">
        <v>52</v>
      </c>
      <c r="C25" s="1">
        <f>+C24*C23</f>
        <v>0</v>
      </c>
      <c r="D25" s="1">
        <f>+D24*D23</f>
        <v>0</v>
      </c>
      <c r="E25" s="1">
        <f>+E24*E23</f>
        <v>0</v>
      </c>
    </row>
    <row r="26" spans="2:5">
      <c r="B26" s="1" t="s">
        <v>238</v>
      </c>
      <c r="C26" s="109"/>
      <c r="D26" s="109"/>
      <c r="E26" s="109"/>
    </row>
    <row r="27" spans="2:5">
      <c r="B27" s="1" t="s">
        <v>59</v>
      </c>
      <c r="C27" s="107"/>
      <c r="D27" s="107"/>
      <c r="E27" s="107"/>
    </row>
    <row r="28" spans="2:5">
      <c r="B28" s="1" t="s">
        <v>48</v>
      </c>
      <c r="C28" s="110"/>
      <c r="D28" s="110"/>
      <c r="E28" s="110"/>
    </row>
    <row r="32" spans="2:5" ht="45" customHeight="1">
      <c r="B32" s="107"/>
      <c r="C32" s="3">
        <f>+'Ipotesi di base'!$D$7</f>
        <v>2018</v>
      </c>
      <c r="D32" s="3">
        <f>+C32+1</f>
        <v>2019</v>
      </c>
      <c r="E32" s="3">
        <f>+D32+1</f>
        <v>2020</v>
      </c>
    </row>
    <row r="33" spans="2:5">
      <c r="B33" s="1" t="s">
        <v>51</v>
      </c>
      <c r="C33" s="107"/>
      <c r="D33" s="107"/>
      <c r="E33" s="107"/>
    </row>
    <row r="34" spans="2:5">
      <c r="B34" s="1" t="s">
        <v>60</v>
      </c>
      <c r="C34" s="107"/>
      <c r="D34" s="107"/>
      <c r="E34" s="107"/>
    </row>
    <row r="35" spans="2:5">
      <c r="B35" s="1" t="s">
        <v>52</v>
      </c>
      <c r="C35" s="1">
        <f>+C34*C33</f>
        <v>0</v>
      </c>
      <c r="D35" s="1">
        <f>+D34*D33</f>
        <v>0</v>
      </c>
      <c r="E35" s="1">
        <f>+E34*E33</f>
        <v>0</v>
      </c>
    </row>
    <row r="36" spans="2:5">
      <c r="B36" s="1" t="s">
        <v>238</v>
      </c>
      <c r="C36" s="109"/>
      <c r="D36" s="109"/>
      <c r="E36" s="109"/>
    </row>
    <row r="37" spans="2:5">
      <c r="B37" s="1" t="s">
        <v>59</v>
      </c>
      <c r="C37" s="107"/>
      <c r="D37" s="107"/>
      <c r="E37" s="107"/>
    </row>
    <row r="38" spans="2:5">
      <c r="B38" s="1" t="s">
        <v>48</v>
      </c>
      <c r="C38" s="110"/>
      <c r="D38" s="110"/>
      <c r="E38" s="110"/>
    </row>
    <row r="41" spans="2:5" ht="45" customHeight="1">
      <c r="B41" s="107"/>
      <c r="C41" s="3">
        <f>+'Ipotesi di base'!$D$7</f>
        <v>2018</v>
      </c>
      <c r="D41" s="3">
        <f>+C41+1</f>
        <v>2019</v>
      </c>
      <c r="E41" s="3">
        <f>+D41+1</f>
        <v>2020</v>
      </c>
    </row>
    <row r="42" spans="2:5">
      <c r="B42" s="1" t="s">
        <v>51</v>
      </c>
      <c r="C42" s="107"/>
      <c r="D42" s="107"/>
      <c r="E42" s="107"/>
    </row>
    <row r="43" spans="2:5">
      <c r="B43" s="1" t="s">
        <v>60</v>
      </c>
      <c r="C43" s="107"/>
      <c r="D43" s="107"/>
      <c r="E43" s="107"/>
    </row>
    <row r="44" spans="2:5">
      <c r="B44" s="1" t="s">
        <v>52</v>
      </c>
      <c r="C44" s="1">
        <f>+C43*C42</f>
        <v>0</v>
      </c>
      <c r="D44" s="1">
        <f>+D43*D42</f>
        <v>0</v>
      </c>
      <c r="E44" s="1">
        <f>+E43*E42</f>
        <v>0</v>
      </c>
    </row>
    <row r="45" spans="2:5">
      <c r="B45" s="1" t="s">
        <v>238</v>
      </c>
      <c r="C45" s="109"/>
      <c r="D45" s="109"/>
      <c r="E45" s="109"/>
    </row>
    <row r="46" spans="2:5">
      <c r="B46" s="1" t="s">
        <v>59</v>
      </c>
      <c r="C46" s="107"/>
      <c r="D46" s="107"/>
      <c r="E46" s="107"/>
    </row>
    <row r="47" spans="2:5">
      <c r="B47" s="1" t="s">
        <v>48</v>
      </c>
      <c r="C47" s="110"/>
      <c r="D47" s="110"/>
      <c r="E47" s="110"/>
    </row>
    <row r="48" spans="2:5">
      <c r="C48" s="5"/>
      <c r="D48" s="5"/>
      <c r="E48" s="5"/>
    </row>
    <row r="49" spans="2:5" hidden="1">
      <c r="C49" s="5"/>
      <c r="D49" s="5"/>
      <c r="E49" s="5"/>
    </row>
    <row r="50" spans="2:5" hidden="1">
      <c r="B50" s="4" t="s">
        <v>53</v>
      </c>
    </row>
    <row r="51" spans="2:5" hidden="1">
      <c r="B51" s="1" t="s">
        <v>54</v>
      </c>
      <c r="C51" s="23">
        <f>+C7+C16+C25+C35+C44</f>
        <v>0</v>
      </c>
      <c r="D51" s="23">
        <f>+D7+D16+D25+D35+D44</f>
        <v>0</v>
      </c>
      <c r="E51" s="23">
        <f>+E7+E16+E25+E35+E44</f>
        <v>0</v>
      </c>
    </row>
    <row r="52" spans="2:5" hidden="1">
      <c r="B52" s="1" t="s">
        <v>55</v>
      </c>
      <c r="C52" s="23">
        <f>+(C7*$C$10)+(C16*$C$19)+(C25*$C$28)+(C35*$C$38)+(C44*$C$47)</f>
        <v>0</v>
      </c>
      <c r="D52" s="23">
        <f>+(D7*$C$10)+(D16*$C$19)+(D25*$C$28)+(D35*$C$38)+(D44*$C$47)</f>
        <v>0</v>
      </c>
      <c r="E52" s="23">
        <f>+(E7*$C$10)+(E16*$C$19)+(E25*$C$28)+(E35*$C$38)+(E44*$C$47)</f>
        <v>0</v>
      </c>
    </row>
    <row r="53" spans="2:5" hidden="1">
      <c r="B53" s="1" t="s">
        <v>56</v>
      </c>
      <c r="C53" s="23">
        <f>+(C7*C8*(1+$C$10)+(C16*C17*(1+$C$19)+(C25*C26*(1+$C$28)+(C35*C36*(1+$C$38)+(C44*C45*(1+$C$47))))))/360</f>
        <v>0</v>
      </c>
      <c r="D53" s="23">
        <f>+(D7*D8*(1+$C$10)+(D16*D17*(1+$C$19)+(D25*D26*(1+$C$28)+(D35*D36*(1+$C$38)+(D44*D45*(1+$C$47))))))/360</f>
        <v>0</v>
      </c>
      <c r="E53" s="23">
        <f>+(E7*E8*(1+$C$10)+(E16*E17*(1+$C$19)+(E25*E26*(1+$C$28)+(E35*E36*(1+$C$38)+(E44*E45*(1+$C$47))))))/360</f>
        <v>0</v>
      </c>
    </row>
    <row r="54" spans="2:5" hidden="1">
      <c r="B54" s="1" t="s">
        <v>57</v>
      </c>
      <c r="C54" s="23">
        <f>+((C7*C9)/360)+((C16*C18)/360)+((C25*C27)/360)+((C35*C37)/360)+((C44*C46)/360)</f>
        <v>0</v>
      </c>
      <c r="D54" s="23">
        <f>+((D7*D9)/360)+((D16*D18)/360)+((D25*D27)/360)+((D35*D37)/360)+((D44*D46)/360)</f>
        <v>0</v>
      </c>
      <c r="E54" s="23">
        <f>+((E7*E9)/360)+((E16*E18)/360)+((E25*E27)/360)+((E35*E37)/360)+((E44*E46)/360)</f>
        <v>0</v>
      </c>
    </row>
    <row r="55" spans="2:5" hidden="1">
      <c r="B55" s="1" t="s">
        <v>58</v>
      </c>
      <c r="C55" s="23">
        <f>+C54</f>
        <v>0</v>
      </c>
      <c r="D55" s="23">
        <f>+D54-C54</f>
        <v>0</v>
      </c>
      <c r="E55" s="23">
        <f>+E54-D54</f>
        <v>0</v>
      </c>
    </row>
    <row r="56" spans="2:5" hidden="1">
      <c r="C56" s="23"/>
      <c r="D56" s="23"/>
      <c r="E56" s="23"/>
    </row>
    <row r="57" spans="2:5" hidden="1">
      <c r="B57" s="1" t="s">
        <v>145</v>
      </c>
      <c r="C57" s="23">
        <f>+C51+C52-C53</f>
        <v>0</v>
      </c>
      <c r="D57" s="23">
        <f>+D51+D52+C53-D53</f>
        <v>0</v>
      </c>
      <c r="E57" s="23">
        <f>+E51+E52+D53-E53</f>
        <v>0</v>
      </c>
    </row>
    <row r="58" spans="2:5" hidden="1"/>
    <row r="62" spans="2:5">
      <c r="B62" s="4"/>
    </row>
  </sheetData>
  <sheetProtection algorithmName="SHA-512" hashValue="+8o2Gy6KDCW3WcKgW0PWx0HKXNeB7WIt11vjWu+OVzOcK/UNbznVa/FahwtXQoWE9Ji0R2czlDSuXBFVF+N75g==" saltValue="czW0CndZg3JCiPk3N+UsZA==" spinCount="100000" sheet="1" objects="1" scenarios="1"/>
  <protectedRanges>
    <protectedRange sqref="B4 C5:E6 C8:E9 B13 C14:E15 C17:E19 B22 C23:E24 C26:E28 B32 C33:E34 C36:E38 B41 C42:E43 C45:E47" name="Intervallo2"/>
    <protectedRange sqref="B4 C5:E6 C8:E10 B13 C14:E15 C17:E19 B22 C23:E24 C26:E28 B32 C33:E34 C36:E38 B41 C42:E43 C45:E47" name="Intervallo1"/>
  </protectedRange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5:F11"/>
  <sheetViews>
    <sheetView workbookViewId="0">
      <selection activeCell="D10" sqref="D10"/>
    </sheetView>
  </sheetViews>
  <sheetFormatPr defaultRowHeight="15"/>
  <cols>
    <col min="3" max="3" width="38.28515625" bestFit="1" customWidth="1"/>
    <col min="4" max="6" width="19.7109375" customWidth="1"/>
  </cols>
  <sheetData>
    <row r="5" spans="3:6">
      <c r="D5" s="18"/>
      <c r="E5" s="18"/>
      <c r="F5" s="18"/>
    </row>
    <row r="6" spans="3:6" ht="15.75">
      <c r="C6" s="1"/>
      <c r="D6" s="3">
        <f>+'Ipotesi di base'!$D$7</f>
        <v>2018</v>
      </c>
      <c r="E6" s="3">
        <f>+D6+1</f>
        <v>2019</v>
      </c>
      <c r="F6" s="3">
        <f>+E6+1</f>
        <v>2020</v>
      </c>
    </row>
    <row r="7" spans="3:6" ht="15.75">
      <c r="C7" s="1" t="s">
        <v>105</v>
      </c>
      <c r="D7" s="1"/>
      <c r="E7" s="1"/>
      <c r="F7" s="1"/>
    </row>
    <row r="8" spans="3:6" ht="15.75">
      <c r="C8" s="1" t="s">
        <v>106</v>
      </c>
      <c r="D8" s="13"/>
      <c r="E8" s="13"/>
      <c r="F8" s="13"/>
    </row>
    <row r="9" spans="3:6" ht="15.75">
      <c r="C9" s="1" t="s">
        <v>107</v>
      </c>
      <c r="D9" s="13"/>
      <c r="E9" s="13"/>
      <c r="F9" s="13"/>
    </row>
    <row r="10" spans="3:6" ht="15.75">
      <c r="C10" s="1" t="s">
        <v>108</v>
      </c>
      <c r="D10" s="107"/>
      <c r="E10" s="13"/>
      <c r="F10" s="13"/>
    </row>
    <row r="11" spans="3:6" ht="15.75">
      <c r="C11" s="4" t="s">
        <v>161</v>
      </c>
      <c r="D11" s="1">
        <f>+SUM(D8:D10)</f>
        <v>0</v>
      </c>
      <c r="E11" s="1">
        <f>+SUM(E8:E10)</f>
        <v>0</v>
      </c>
      <c r="F11" s="1">
        <f>+SUM(F8:F10)</f>
        <v>0</v>
      </c>
    </row>
  </sheetData>
  <sheetProtection password="9A07" sheet="1" objects="1" scenarios="1"/>
  <protectedRanges>
    <protectedRange sqref="D8:F10" name="Intervallo1"/>
  </protectedRange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T25"/>
  <sheetViews>
    <sheetView workbookViewId="0">
      <selection activeCell="C5" sqref="C5:G18"/>
    </sheetView>
  </sheetViews>
  <sheetFormatPr defaultRowHeight="15.75"/>
  <cols>
    <col min="1" max="1" width="9.140625" style="1"/>
    <col min="2" max="2" width="37.5703125" style="1" bestFit="1" customWidth="1"/>
    <col min="3" max="5" width="19.7109375" style="1" customWidth="1"/>
    <col min="6" max="6" width="25.140625" style="1" customWidth="1"/>
    <col min="7" max="7" width="19.7109375" style="1" customWidth="1"/>
    <col min="8" max="8" width="9.140625" style="1"/>
    <col min="9" max="9" width="37.5703125" style="1" hidden="1" customWidth="1"/>
    <col min="10" max="17" width="0" style="1" hidden="1" customWidth="1"/>
    <col min="18" max="18" width="9.42578125" style="1" hidden="1" customWidth="1"/>
    <col min="19" max="19" width="10.7109375" style="1" hidden="1" customWidth="1"/>
    <col min="20" max="20" width="0" style="1" hidden="1" customWidth="1"/>
    <col min="21" max="16384" width="9.140625" style="1"/>
  </cols>
  <sheetData>
    <row r="2" spans="2:20">
      <c r="B2" s="4" t="s">
        <v>162</v>
      </c>
    </row>
    <row r="3" spans="2:20">
      <c r="I3" s="117" t="s">
        <v>117</v>
      </c>
      <c r="J3" s="117"/>
      <c r="K3" s="117"/>
      <c r="L3" s="117"/>
      <c r="N3" s="117" t="s">
        <v>114</v>
      </c>
      <c r="O3" s="117"/>
      <c r="P3" s="117"/>
      <c r="Q3" s="117"/>
      <c r="R3" s="117"/>
      <c r="S3" s="117"/>
      <c r="T3" s="117"/>
    </row>
    <row r="4" spans="2:20">
      <c r="C4" s="3">
        <f>+Ricavi!C4</f>
        <v>2018</v>
      </c>
      <c r="D4" s="3">
        <f>+Ricavi!D4</f>
        <v>2019</v>
      </c>
      <c r="E4" s="3">
        <f>+Ricavi!E4</f>
        <v>2020</v>
      </c>
      <c r="F4" s="1" t="s">
        <v>239</v>
      </c>
      <c r="G4" s="1" t="s">
        <v>8</v>
      </c>
      <c r="J4" s="2">
        <f>+C4</f>
        <v>2018</v>
      </c>
      <c r="K4" s="2">
        <f>+D4</f>
        <v>2019</v>
      </c>
      <c r="L4" s="2">
        <f>+E4</f>
        <v>2020</v>
      </c>
      <c r="R4" s="2">
        <f>+J4</f>
        <v>2018</v>
      </c>
      <c r="S4" s="2">
        <f>+K4</f>
        <v>2019</v>
      </c>
      <c r="T4" s="2">
        <f>+L4</f>
        <v>2020</v>
      </c>
    </row>
    <row r="5" spans="2:20">
      <c r="B5" s="1" t="s">
        <v>85</v>
      </c>
      <c r="C5" s="111"/>
      <c r="D5" s="111"/>
      <c r="E5" s="111"/>
      <c r="F5" s="107"/>
      <c r="G5" s="112"/>
      <c r="I5" s="1" t="s">
        <v>85</v>
      </c>
      <c r="J5" s="1">
        <f>+C5*G5</f>
        <v>0</v>
      </c>
      <c r="K5" s="1">
        <f>+D5*G5</f>
        <v>0</v>
      </c>
      <c r="L5" s="1">
        <f>+E5*G5</f>
        <v>0</v>
      </c>
      <c r="N5" s="1" t="s">
        <v>85</v>
      </c>
      <c r="R5" s="11">
        <f>+(C5+J5)*$F5/360</f>
        <v>0</v>
      </c>
      <c r="S5" s="11">
        <f>+(D5+K5)*$F5/360</f>
        <v>0</v>
      </c>
      <c r="T5" s="11">
        <f>+(E5+L5)*$F5/360</f>
        <v>0</v>
      </c>
    </row>
    <row r="6" spans="2:20">
      <c r="B6" s="1" t="s">
        <v>65</v>
      </c>
      <c r="C6" s="111"/>
      <c r="D6" s="111"/>
      <c r="E6" s="111"/>
      <c r="F6" s="107"/>
      <c r="G6" s="112"/>
      <c r="I6" s="1" t="s">
        <v>65</v>
      </c>
      <c r="J6" s="1">
        <f>+C6*G6</f>
        <v>0</v>
      </c>
      <c r="K6" s="1">
        <f t="shared" ref="K6:K18" si="0">+D6*G6</f>
        <v>0</v>
      </c>
      <c r="L6" s="1">
        <f t="shared" ref="L6:L18" si="1">+E6*G6</f>
        <v>0</v>
      </c>
      <c r="N6" s="1" t="s">
        <v>65</v>
      </c>
      <c r="R6" s="11">
        <f t="shared" ref="R6:R18" si="2">+(C6+J6)*$F6/360</f>
        <v>0</v>
      </c>
      <c r="S6" s="11">
        <f t="shared" ref="S6:S18" si="3">+(D6+K6)*$F6/360</f>
        <v>0</v>
      </c>
      <c r="T6" s="11">
        <f t="shared" ref="T6:T18" si="4">+(E6+L6)*$F6/360</f>
        <v>0</v>
      </c>
    </row>
    <row r="7" spans="2:20">
      <c r="B7" s="1" t="s">
        <v>102</v>
      </c>
      <c r="C7" s="111"/>
      <c r="D7" s="111"/>
      <c r="E7" s="111"/>
      <c r="F7" s="107"/>
      <c r="G7" s="112"/>
      <c r="I7" s="1" t="s">
        <v>102</v>
      </c>
      <c r="J7" s="1">
        <f>+C7*G7</f>
        <v>0</v>
      </c>
      <c r="K7" s="1">
        <f t="shared" si="0"/>
        <v>0</v>
      </c>
      <c r="L7" s="1">
        <f t="shared" si="1"/>
        <v>0</v>
      </c>
      <c r="N7" s="1" t="s">
        <v>102</v>
      </c>
      <c r="R7" s="11">
        <f t="shared" si="2"/>
        <v>0</v>
      </c>
      <c r="S7" s="11">
        <f t="shared" si="3"/>
        <v>0</v>
      </c>
      <c r="T7" s="11">
        <f t="shared" si="4"/>
        <v>0</v>
      </c>
    </row>
    <row r="8" spans="2:20">
      <c r="B8" s="1" t="s">
        <v>66</v>
      </c>
      <c r="C8" s="111"/>
      <c r="D8" s="111"/>
      <c r="E8" s="111"/>
      <c r="F8" s="107"/>
      <c r="G8" s="112"/>
      <c r="I8" s="1" t="s">
        <v>66</v>
      </c>
      <c r="J8" s="1">
        <f t="shared" ref="J8:J18" si="5">+C8*G8</f>
        <v>0</v>
      </c>
      <c r="K8" s="1">
        <f t="shared" si="0"/>
        <v>0</v>
      </c>
      <c r="L8" s="1">
        <f t="shared" si="1"/>
        <v>0</v>
      </c>
      <c r="N8" s="1" t="s">
        <v>66</v>
      </c>
      <c r="R8" s="11">
        <f t="shared" si="2"/>
        <v>0</v>
      </c>
      <c r="S8" s="11">
        <f t="shared" si="3"/>
        <v>0</v>
      </c>
      <c r="T8" s="11">
        <f t="shared" si="4"/>
        <v>0</v>
      </c>
    </row>
    <row r="9" spans="2:20">
      <c r="B9" s="1" t="s">
        <v>67</v>
      </c>
      <c r="C9" s="111"/>
      <c r="D9" s="111"/>
      <c r="E9" s="111"/>
      <c r="F9" s="107"/>
      <c r="G9" s="112"/>
      <c r="I9" s="1" t="s">
        <v>67</v>
      </c>
      <c r="J9" s="1">
        <f t="shared" si="5"/>
        <v>0</v>
      </c>
      <c r="K9" s="1">
        <f t="shared" si="0"/>
        <v>0</v>
      </c>
      <c r="L9" s="1">
        <f t="shared" si="1"/>
        <v>0</v>
      </c>
      <c r="N9" s="1" t="s">
        <v>67</v>
      </c>
      <c r="R9" s="11">
        <f t="shared" si="2"/>
        <v>0</v>
      </c>
      <c r="S9" s="11">
        <f t="shared" si="3"/>
        <v>0</v>
      </c>
      <c r="T9" s="11">
        <f t="shared" si="4"/>
        <v>0</v>
      </c>
    </row>
    <row r="10" spans="2:20">
      <c r="B10" s="1" t="s">
        <v>103</v>
      </c>
      <c r="C10" s="111"/>
      <c r="D10" s="111"/>
      <c r="E10" s="111"/>
      <c r="F10" s="107"/>
      <c r="G10" s="112"/>
      <c r="I10" s="1" t="s">
        <v>103</v>
      </c>
      <c r="J10" s="1">
        <f t="shared" si="5"/>
        <v>0</v>
      </c>
      <c r="K10" s="1">
        <f t="shared" si="0"/>
        <v>0</v>
      </c>
      <c r="L10" s="1">
        <f t="shared" si="1"/>
        <v>0</v>
      </c>
      <c r="N10" s="1" t="s">
        <v>103</v>
      </c>
      <c r="R10" s="11">
        <f t="shared" si="2"/>
        <v>0</v>
      </c>
      <c r="S10" s="11">
        <f t="shared" si="3"/>
        <v>0</v>
      </c>
      <c r="T10" s="11">
        <f t="shared" si="4"/>
        <v>0</v>
      </c>
    </row>
    <row r="11" spans="2:20">
      <c r="B11" s="1" t="s">
        <v>68</v>
      </c>
      <c r="C11" s="111"/>
      <c r="D11" s="111"/>
      <c r="E11" s="111"/>
      <c r="F11" s="107"/>
      <c r="G11" s="112"/>
      <c r="I11" s="1" t="s">
        <v>68</v>
      </c>
      <c r="J11" s="1">
        <f t="shared" si="5"/>
        <v>0</v>
      </c>
      <c r="K11" s="1">
        <f t="shared" si="0"/>
        <v>0</v>
      </c>
      <c r="L11" s="1">
        <f t="shared" si="1"/>
        <v>0</v>
      </c>
      <c r="N11" s="1" t="s">
        <v>68</v>
      </c>
      <c r="R11" s="11">
        <f t="shared" si="2"/>
        <v>0</v>
      </c>
      <c r="S11" s="11">
        <f t="shared" si="3"/>
        <v>0</v>
      </c>
      <c r="T11" s="11">
        <f t="shared" si="4"/>
        <v>0</v>
      </c>
    </row>
    <row r="12" spans="2:20">
      <c r="B12" s="1" t="s">
        <v>97</v>
      </c>
      <c r="C12" s="111"/>
      <c r="D12" s="111"/>
      <c r="E12" s="111"/>
      <c r="F12" s="107"/>
      <c r="G12" s="112"/>
      <c r="I12" s="1" t="s">
        <v>97</v>
      </c>
      <c r="J12" s="1">
        <f t="shared" si="5"/>
        <v>0</v>
      </c>
      <c r="K12" s="1">
        <f t="shared" si="0"/>
        <v>0</v>
      </c>
      <c r="L12" s="1">
        <f t="shared" si="1"/>
        <v>0</v>
      </c>
      <c r="N12" s="1" t="s">
        <v>97</v>
      </c>
      <c r="R12" s="11">
        <f t="shared" si="2"/>
        <v>0</v>
      </c>
      <c r="S12" s="11">
        <f t="shared" si="3"/>
        <v>0</v>
      </c>
      <c r="T12" s="11">
        <f t="shared" si="4"/>
        <v>0</v>
      </c>
    </row>
    <row r="13" spans="2:20">
      <c r="B13" s="1" t="s">
        <v>101</v>
      </c>
      <c r="C13" s="111"/>
      <c r="D13" s="111"/>
      <c r="E13" s="111"/>
      <c r="F13" s="107"/>
      <c r="G13" s="112"/>
      <c r="I13" s="1" t="s">
        <v>101</v>
      </c>
      <c r="J13" s="1">
        <f t="shared" si="5"/>
        <v>0</v>
      </c>
      <c r="K13" s="1">
        <f t="shared" si="0"/>
        <v>0</v>
      </c>
      <c r="L13" s="1">
        <f t="shared" si="1"/>
        <v>0</v>
      </c>
      <c r="N13" s="1" t="s">
        <v>101</v>
      </c>
      <c r="R13" s="11">
        <f t="shared" si="2"/>
        <v>0</v>
      </c>
      <c r="S13" s="11">
        <f t="shared" si="3"/>
        <v>0</v>
      </c>
      <c r="T13" s="11">
        <f t="shared" si="4"/>
        <v>0</v>
      </c>
    </row>
    <row r="14" spans="2:20">
      <c r="B14" s="1" t="s">
        <v>99</v>
      </c>
      <c r="C14" s="111"/>
      <c r="D14" s="111"/>
      <c r="E14" s="111"/>
      <c r="F14" s="107"/>
      <c r="G14" s="112"/>
      <c r="I14" s="1" t="s">
        <v>99</v>
      </c>
      <c r="J14" s="1">
        <f t="shared" si="5"/>
        <v>0</v>
      </c>
      <c r="K14" s="1">
        <f t="shared" si="0"/>
        <v>0</v>
      </c>
      <c r="L14" s="1">
        <f t="shared" si="1"/>
        <v>0</v>
      </c>
      <c r="N14" s="1" t="s">
        <v>99</v>
      </c>
      <c r="R14" s="11">
        <f t="shared" si="2"/>
        <v>0</v>
      </c>
      <c r="S14" s="11">
        <f t="shared" si="3"/>
        <v>0</v>
      </c>
      <c r="T14" s="11">
        <f t="shared" si="4"/>
        <v>0</v>
      </c>
    </row>
    <row r="15" spans="2:20">
      <c r="B15" s="1" t="s">
        <v>112</v>
      </c>
      <c r="C15" s="111"/>
      <c r="D15" s="111"/>
      <c r="E15" s="111"/>
      <c r="F15" s="107"/>
      <c r="G15" s="112"/>
      <c r="I15" s="1" t="s">
        <v>112</v>
      </c>
      <c r="J15" s="1">
        <f t="shared" si="5"/>
        <v>0</v>
      </c>
      <c r="K15" s="1">
        <f t="shared" si="0"/>
        <v>0</v>
      </c>
      <c r="L15" s="1">
        <f t="shared" si="1"/>
        <v>0</v>
      </c>
      <c r="N15" s="1" t="s">
        <v>112</v>
      </c>
      <c r="R15" s="11">
        <f t="shared" si="2"/>
        <v>0</v>
      </c>
      <c r="S15" s="11">
        <f t="shared" si="3"/>
        <v>0</v>
      </c>
      <c r="T15" s="11">
        <f t="shared" si="4"/>
        <v>0</v>
      </c>
    </row>
    <row r="16" spans="2:20">
      <c r="B16" s="1" t="s">
        <v>98</v>
      </c>
      <c r="C16" s="111"/>
      <c r="D16" s="111"/>
      <c r="E16" s="111"/>
      <c r="F16" s="107"/>
      <c r="G16" s="112"/>
      <c r="I16" s="1" t="s">
        <v>98</v>
      </c>
      <c r="J16" s="1">
        <f t="shared" si="5"/>
        <v>0</v>
      </c>
      <c r="K16" s="1">
        <f t="shared" si="0"/>
        <v>0</v>
      </c>
      <c r="L16" s="1">
        <f t="shared" si="1"/>
        <v>0</v>
      </c>
      <c r="N16" s="1" t="s">
        <v>98</v>
      </c>
      <c r="R16" s="11">
        <f t="shared" si="2"/>
        <v>0</v>
      </c>
      <c r="S16" s="11">
        <f t="shared" si="3"/>
        <v>0</v>
      </c>
      <c r="T16" s="11">
        <f t="shared" si="4"/>
        <v>0</v>
      </c>
    </row>
    <row r="17" spans="2:20">
      <c r="B17" s="1" t="s">
        <v>100</v>
      </c>
      <c r="C17" s="111"/>
      <c r="D17" s="111"/>
      <c r="E17" s="111"/>
      <c r="F17" s="107"/>
      <c r="G17" s="112"/>
      <c r="I17" s="1" t="s">
        <v>100</v>
      </c>
      <c r="J17" s="1">
        <f t="shared" si="5"/>
        <v>0</v>
      </c>
      <c r="K17" s="1">
        <f t="shared" si="0"/>
        <v>0</v>
      </c>
      <c r="L17" s="1">
        <f t="shared" si="1"/>
        <v>0</v>
      </c>
      <c r="N17" s="1" t="s">
        <v>100</v>
      </c>
      <c r="R17" s="11">
        <f t="shared" si="2"/>
        <v>0</v>
      </c>
      <c r="S17" s="11">
        <f t="shared" si="3"/>
        <v>0</v>
      </c>
      <c r="T17" s="11">
        <f t="shared" si="4"/>
        <v>0</v>
      </c>
    </row>
    <row r="18" spans="2:20">
      <c r="B18" s="1" t="s">
        <v>110</v>
      </c>
      <c r="C18" s="111"/>
      <c r="D18" s="111"/>
      <c r="E18" s="111"/>
      <c r="F18" s="107"/>
      <c r="G18" s="112"/>
      <c r="I18" s="1" t="s">
        <v>110</v>
      </c>
      <c r="J18" s="1">
        <f t="shared" si="5"/>
        <v>0</v>
      </c>
      <c r="K18" s="1">
        <f t="shared" si="0"/>
        <v>0</v>
      </c>
      <c r="L18" s="1">
        <f t="shared" si="1"/>
        <v>0</v>
      </c>
      <c r="N18" s="1" t="s">
        <v>110</v>
      </c>
      <c r="R18" s="11">
        <f t="shared" si="2"/>
        <v>0</v>
      </c>
      <c r="S18" s="11">
        <f t="shared" si="3"/>
        <v>0</v>
      </c>
      <c r="T18" s="11">
        <f t="shared" si="4"/>
        <v>0</v>
      </c>
    </row>
    <row r="19" spans="2:20">
      <c r="R19" s="11"/>
      <c r="S19" s="11"/>
      <c r="T19" s="11"/>
    </row>
    <row r="20" spans="2:20">
      <c r="B20" s="4" t="s">
        <v>109</v>
      </c>
      <c r="C20" s="23">
        <f>+SUM(C5:C18)</f>
        <v>0</v>
      </c>
      <c r="D20" s="23">
        <f>+SUM(D5:D18)</f>
        <v>0</v>
      </c>
      <c r="E20" s="23">
        <f>+SUM(E5:E18)</f>
        <v>0</v>
      </c>
      <c r="I20" s="1" t="s">
        <v>115</v>
      </c>
      <c r="J20" s="1">
        <f>+SUM(J5:J18)</f>
        <v>0</v>
      </c>
      <c r="K20" s="1">
        <f>+SUM(K5:K18)</f>
        <v>0</v>
      </c>
      <c r="L20" s="1">
        <f>+SUM(L5:L18)</f>
        <v>0</v>
      </c>
      <c r="N20" s="1" t="s">
        <v>116</v>
      </c>
      <c r="R20" s="11">
        <f>+SUM(R5:R18)</f>
        <v>0</v>
      </c>
      <c r="S20" s="11">
        <f>+SUM(S5:S18)</f>
        <v>0</v>
      </c>
      <c r="T20" s="11">
        <f>+SUM(T5:T18)</f>
        <v>0</v>
      </c>
    </row>
    <row r="21" spans="2:20">
      <c r="C21" s="23"/>
      <c r="D21" s="23"/>
      <c r="E21" s="23"/>
      <c r="R21" s="11"/>
      <c r="S21" s="11"/>
      <c r="T21" s="11"/>
    </row>
    <row r="22" spans="2:20" hidden="1">
      <c r="B22" s="1" t="s">
        <v>118</v>
      </c>
      <c r="C22" s="23">
        <f>+R20</f>
        <v>0</v>
      </c>
      <c r="D22" s="23">
        <f>+S20</f>
        <v>0</v>
      </c>
      <c r="E22" s="23">
        <f>+T20</f>
        <v>0</v>
      </c>
    </row>
    <row r="23" spans="2:20" hidden="1">
      <c r="C23" s="23"/>
      <c r="D23" s="23"/>
      <c r="E23" s="23"/>
    </row>
    <row r="24" spans="2:20" hidden="1">
      <c r="B24" s="1" t="s">
        <v>176</v>
      </c>
      <c r="C24" s="23">
        <f>+C20+J20-C22</f>
        <v>0</v>
      </c>
      <c r="D24" s="23">
        <f>+D20+K20-D22+C22</f>
        <v>0</v>
      </c>
      <c r="E24" s="23">
        <f>+E20+L20-E22+D22</f>
        <v>0</v>
      </c>
    </row>
    <row r="25" spans="2:20" hidden="1"/>
  </sheetData>
  <sheetProtection algorithmName="SHA-512" hashValue="y7rBdcqEaE8hv41RMOmuIqO9o1nll1XWiN65jojT1GoHePbTBPYnmNEYLtZccCDK1f93SPZ6p1Sh09vtYtbpDQ==" saltValue="jQ8f8ACdyLyNL6L+o1gVxg==" spinCount="100000" sheet="1" objects="1" scenarios="1"/>
  <protectedRanges>
    <protectedRange sqref="C5:G18" name="Intervallo1"/>
  </protectedRanges>
  <mergeCells count="2">
    <mergeCell ref="I3:L3"/>
    <mergeCell ref="N3:T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E13"/>
  <sheetViews>
    <sheetView workbookViewId="0">
      <selection activeCell="C9" sqref="C9:D9"/>
    </sheetView>
  </sheetViews>
  <sheetFormatPr defaultRowHeight="15.75"/>
  <cols>
    <col min="1" max="1" width="9.140625" style="1"/>
    <col min="2" max="2" width="40.28515625" style="1" bestFit="1" customWidth="1"/>
    <col min="3" max="5" width="19.7109375" style="1" customWidth="1"/>
    <col min="6" max="16384" width="9.140625" style="1"/>
  </cols>
  <sheetData>
    <row r="2" spans="2:5">
      <c r="B2" s="4" t="s">
        <v>15</v>
      </c>
    </row>
    <row r="4" spans="2:5">
      <c r="B4" s="21"/>
      <c r="C4" s="3">
        <f>+Ricavi!C4</f>
        <v>2018</v>
      </c>
      <c r="D4" s="3">
        <f>+Ricavi!D4</f>
        <v>2019</v>
      </c>
      <c r="E4" s="3">
        <f>+Ricavi!E4</f>
        <v>2020</v>
      </c>
    </row>
    <row r="5" spans="2:5">
      <c r="B5" s="21" t="s">
        <v>104</v>
      </c>
      <c r="C5" s="60"/>
      <c r="D5" s="60"/>
      <c r="E5" s="60"/>
    </row>
    <row r="6" spans="2:5">
      <c r="B6" s="21" t="s">
        <v>80</v>
      </c>
      <c r="C6" s="21">
        <f>+C5*0.3</f>
        <v>0</v>
      </c>
      <c r="D6" s="21">
        <f>+D5*0.3</f>
        <v>0</v>
      </c>
      <c r="E6" s="21">
        <f>+E5*0.3</f>
        <v>0</v>
      </c>
    </row>
    <row r="7" spans="2:5">
      <c r="B7" s="21" t="s">
        <v>81</v>
      </c>
      <c r="C7" s="21">
        <f>+C5*13/100</f>
        <v>0</v>
      </c>
      <c r="D7" s="21">
        <f>+D5*13/100</f>
        <v>0</v>
      </c>
      <c r="E7" s="21">
        <f>+E5*13/100</f>
        <v>0</v>
      </c>
    </row>
    <row r="8" spans="2:5">
      <c r="B8" s="21"/>
      <c r="C8" s="21"/>
      <c r="D8" s="21"/>
      <c r="E8" s="21"/>
    </row>
    <row r="9" spans="2:5">
      <c r="B9" s="21" t="s">
        <v>82</v>
      </c>
      <c r="C9" s="60"/>
      <c r="D9" s="60"/>
      <c r="E9" s="60"/>
    </row>
    <row r="10" spans="2:5">
      <c r="B10" s="21"/>
      <c r="C10" s="21"/>
      <c r="D10" s="21"/>
      <c r="E10" s="21"/>
    </row>
    <row r="11" spans="2:5">
      <c r="B11" s="24" t="s">
        <v>83</v>
      </c>
      <c r="C11" s="24">
        <f>+C9*(C5+C6+C7)</f>
        <v>0</v>
      </c>
      <c r="D11" s="24">
        <f>+D9*(D5+D6+D7)</f>
        <v>0</v>
      </c>
      <c r="E11" s="24">
        <f>+E9*(E5+E6+E7)</f>
        <v>0</v>
      </c>
    </row>
    <row r="13" spans="2:5" hidden="1">
      <c r="B13" s="1" t="s">
        <v>240</v>
      </c>
      <c r="C13" s="1">
        <f>+C7*C9</f>
        <v>0</v>
      </c>
      <c r="D13" s="1">
        <f>+D7*D9</f>
        <v>0</v>
      </c>
      <c r="E13" s="1">
        <f>+E7*E9</f>
        <v>0</v>
      </c>
    </row>
  </sheetData>
  <protectedRanges>
    <protectedRange sqref="C5:E5 C9:E9" name="Intervallo1"/>
  </protectedRange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3:I74"/>
  <sheetViews>
    <sheetView workbookViewId="0">
      <selection activeCell="B81" sqref="B81"/>
    </sheetView>
  </sheetViews>
  <sheetFormatPr defaultRowHeight="15.75"/>
  <cols>
    <col min="1" max="1" width="9.140625" style="1"/>
    <col min="2" max="2" width="46.28515625" style="1" customWidth="1"/>
    <col min="3" max="5" width="19.7109375" style="1" customWidth="1"/>
    <col min="6" max="6" width="11.7109375" style="1" customWidth="1"/>
    <col min="7" max="7" width="20.5703125" style="1" hidden="1" customWidth="1"/>
    <col min="8" max="8" width="21" style="1" hidden="1" customWidth="1"/>
    <col min="9" max="9" width="16.140625" style="1" customWidth="1"/>
    <col min="10" max="16384" width="9.140625" style="1"/>
  </cols>
  <sheetData>
    <row r="3" spans="2:8">
      <c r="B3" s="1" t="s">
        <v>119</v>
      </c>
      <c r="C3" s="3">
        <f>+Ricavi!C4</f>
        <v>2018</v>
      </c>
    </row>
    <row r="4" spans="2:8" ht="31.5">
      <c r="C4" s="30" t="s">
        <v>46</v>
      </c>
      <c r="D4" s="30" t="s">
        <v>8</v>
      </c>
      <c r="E4" s="30" t="s">
        <v>47</v>
      </c>
      <c r="F4" s="2"/>
      <c r="G4" s="2" t="s">
        <v>121</v>
      </c>
      <c r="H4" s="2" t="s">
        <v>120</v>
      </c>
    </row>
    <row r="5" spans="2:8">
      <c r="B5" s="26" t="s">
        <v>3</v>
      </c>
      <c r="C5" s="1">
        <f>+SUM(C6:C10)</f>
        <v>0</v>
      </c>
      <c r="G5" s="1">
        <f>+SUM(G6:G10)</f>
        <v>0</v>
      </c>
      <c r="H5" s="1">
        <f>+SUM(H6:H10)</f>
        <v>0</v>
      </c>
    </row>
    <row r="6" spans="2:8">
      <c r="B6" s="27" t="s">
        <v>73</v>
      </c>
      <c r="C6" s="13"/>
      <c r="D6" s="12"/>
      <c r="E6" s="8">
        <v>0</v>
      </c>
      <c r="G6" s="1">
        <f>+C6*D6</f>
        <v>0</v>
      </c>
      <c r="H6" s="1">
        <f>+C6*E6</f>
        <v>0</v>
      </c>
    </row>
    <row r="7" spans="2:8">
      <c r="B7" s="28" t="s">
        <v>69</v>
      </c>
      <c r="C7" s="13"/>
      <c r="D7" s="12"/>
      <c r="E7" s="8">
        <v>0.03</v>
      </c>
      <c r="G7" s="1">
        <f>+C7*D7</f>
        <v>0</v>
      </c>
      <c r="H7" s="1">
        <f>+C7*E7</f>
        <v>0</v>
      </c>
    </row>
    <row r="8" spans="2:8">
      <c r="B8" s="28" t="s">
        <v>70</v>
      </c>
      <c r="C8" s="13"/>
      <c r="D8" s="12"/>
      <c r="E8" s="8">
        <v>0.1</v>
      </c>
      <c r="G8" s="1">
        <f>+C8*D8</f>
        <v>0</v>
      </c>
      <c r="H8" s="1">
        <f>+C8*E8</f>
        <v>0</v>
      </c>
    </row>
    <row r="9" spans="2:8">
      <c r="B9" s="28" t="s">
        <v>71</v>
      </c>
      <c r="C9" s="13"/>
      <c r="D9" s="12"/>
      <c r="E9" s="8">
        <v>0.15</v>
      </c>
      <c r="G9" s="1">
        <f>+C9*D9</f>
        <v>0</v>
      </c>
      <c r="H9" s="1">
        <f>+C9*E9</f>
        <v>0</v>
      </c>
    </row>
    <row r="10" spans="2:8">
      <c r="B10" s="28" t="s">
        <v>72</v>
      </c>
      <c r="C10" s="13"/>
      <c r="D10" s="12"/>
      <c r="E10" s="8">
        <v>0.2</v>
      </c>
      <c r="G10" s="1">
        <f>+C10*D10</f>
        <v>0</v>
      </c>
      <c r="H10" s="1">
        <f>+C10*E10</f>
        <v>0</v>
      </c>
    </row>
    <row r="11" spans="2:8">
      <c r="B11" s="26" t="s">
        <v>4</v>
      </c>
      <c r="C11" s="1">
        <f>+SUM(C12:C15)</f>
        <v>0</v>
      </c>
      <c r="D11" s="8"/>
      <c r="E11" s="8"/>
      <c r="G11" s="1">
        <f>+SUM(G12:G15)</f>
        <v>0</v>
      </c>
      <c r="H11" s="1">
        <f>+SUM(H12:H15)</f>
        <v>0</v>
      </c>
    </row>
    <row r="12" spans="2:8">
      <c r="B12" s="28" t="s">
        <v>74</v>
      </c>
      <c r="C12" s="107"/>
      <c r="D12" s="112"/>
      <c r="E12" s="8">
        <v>0.2</v>
      </c>
      <c r="G12" s="1">
        <f>+C12*D12</f>
        <v>0</v>
      </c>
      <c r="H12" s="1">
        <f>+C12*E12</f>
        <v>0</v>
      </c>
    </row>
    <row r="13" spans="2:8">
      <c r="B13" s="28" t="s">
        <v>77</v>
      </c>
      <c r="C13" s="107"/>
      <c r="D13" s="112"/>
      <c r="E13" s="8">
        <v>0.2</v>
      </c>
      <c r="G13" s="1">
        <f>+C13*D13</f>
        <v>0</v>
      </c>
      <c r="H13" s="1">
        <f>+C13*E13</f>
        <v>0</v>
      </c>
    </row>
    <row r="14" spans="2:8">
      <c r="B14" s="28" t="s">
        <v>78</v>
      </c>
      <c r="C14" s="107"/>
      <c r="D14" s="112"/>
      <c r="E14" s="8">
        <v>0.2</v>
      </c>
      <c r="G14" s="1">
        <f>+C14*D14</f>
        <v>0</v>
      </c>
      <c r="H14" s="1">
        <f>+C14*E14</f>
        <v>0</v>
      </c>
    </row>
    <row r="15" spans="2:8">
      <c r="B15" s="28" t="s">
        <v>75</v>
      </c>
      <c r="C15" s="107"/>
      <c r="D15" s="112"/>
      <c r="E15" s="8">
        <v>0.2</v>
      </c>
      <c r="G15" s="1">
        <f>+C15*D15</f>
        <v>0</v>
      </c>
      <c r="H15" s="1">
        <f>+C15*E15</f>
        <v>0</v>
      </c>
    </row>
    <row r="16" spans="2:8">
      <c r="B16" s="26" t="s">
        <v>5</v>
      </c>
      <c r="C16" s="1">
        <f>+C17+C18</f>
        <v>0</v>
      </c>
    </row>
    <row r="17" spans="2:8">
      <c r="B17" s="28" t="s">
        <v>79</v>
      </c>
      <c r="C17" s="13"/>
    </row>
    <row r="18" spans="2:8">
      <c r="B18" s="28" t="s">
        <v>76</v>
      </c>
      <c r="C18" s="13"/>
    </row>
    <row r="19" spans="2:8">
      <c r="B19" s="28"/>
    </row>
    <row r="21" spans="2:8">
      <c r="B21" s="1" t="s">
        <v>119</v>
      </c>
      <c r="C21" s="3">
        <f>+Ricavi!D4</f>
        <v>2019</v>
      </c>
    </row>
    <row r="22" spans="2:8" ht="31.5">
      <c r="B22" s="26"/>
      <c r="C22" s="30" t="s">
        <v>46</v>
      </c>
      <c r="D22" s="30" t="s">
        <v>8</v>
      </c>
      <c r="E22" s="30" t="s">
        <v>47</v>
      </c>
      <c r="F22" s="2"/>
      <c r="G22" s="2" t="s">
        <v>121</v>
      </c>
      <c r="H22" s="2" t="s">
        <v>120</v>
      </c>
    </row>
    <row r="23" spans="2:8">
      <c r="B23" s="29" t="s">
        <v>3</v>
      </c>
      <c r="C23" s="1">
        <f>+SUM(C24:C28)</f>
        <v>0</v>
      </c>
      <c r="G23" s="1">
        <f>+SUM(G24:G28)</f>
        <v>0</v>
      </c>
      <c r="H23" s="1">
        <f>+SUM(H24:H28)</f>
        <v>0</v>
      </c>
    </row>
    <row r="24" spans="2:8">
      <c r="B24" s="28" t="s">
        <v>73</v>
      </c>
      <c r="C24" s="13"/>
      <c r="D24" s="12"/>
      <c r="E24" s="8">
        <v>0</v>
      </c>
      <c r="G24" s="1">
        <f>+C24*D24</f>
        <v>0</v>
      </c>
      <c r="H24" s="1">
        <f>+C24*E24</f>
        <v>0</v>
      </c>
    </row>
    <row r="25" spans="2:8">
      <c r="B25" s="28" t="s">
        <v>69</v>
      </c>
      <c r="C25" s="13"/>
      <c r="D25" s="12"/>
      <c r="E25" s="8">
        <v>0.03</v>
      </c>
      <c r="G25" s="1">
        <f>+C25*D25</f>
        <v>0</v>
      </c>
      <c r="H25" s="1">
        <f>+C25*E25</f>
        <v>0</v>
      </c>
    </row>
    <row r="26" spans="2:8">
      <c r="B26" s="28" t="s">
        <v>70</v>
      </c>
      <c r="C26" s="13"/>
      <c r="D26" s="12"/>
      <c r="E26" s="8">
        <v>0.1</v>
      </c>
      <c r="G26" s="1">
        <f>+C26*D26</f>
        <v>0</v>
      </c>
      <c r="H26" s="1">
        <f>+C26*E26</f>
        <v>0</v>
      </c>
    </row>
    <row r="27" spans="2:8">
      <c r="B27" s="28" t="s">
        <v>71</v>
      </c>
      <c r="C27" s="13"/>
      <c r="D27" s="12"/>
      <c r="E27" s="8">
        <v>0.15</v>
      </c>
      <c r="G27" s="1">
        <f>+C27*D27</f>
        <v>0</v>
      </c>
      <c r="H27" s="1">
        <f>+C27*E27</f>
        <v>0</v>
      </c>
    </row>
    <row r="28" spans="2:8">
      <c r="B28" s="28" t="s">
        <v>72</v>
      </c>
      <c r="C28" s="13"/>
      <c r="D28" s="12"/>
      <c r="E28" s="8">
        <v>0.2</v>
      </c>
      <c r="G28" s="1">
        <f>+C28*D28</f>
        <v>0</v>
      </c>
      <c r="H28" s="1">
        <f>+C28*E28</f>
        <v>0</v>
      </c>
    </row>
    <row r="29" spans="2:8">
      <c r="B29" s="26" t="s">
        <v>4</v>
      </c>
      <c r="C29" s="1">
        <f>+SUM(C30:C33)</f>
        <v>0</v>
      </c>
      <c r="D29" s="8"/>
      <c r="E29" s="8"/>
      <c r="G29" s="1">
        <f>+SUM(G30:G33)</f>
        <v>0</v>
      </c>
      <c r="H29" s="1">
        <f>+SUM(H30:H33)</f>
        <v>0</v>
      </c>
    </row>
    <row r="30" spans="2:8">
      <c r="B30" s="28" t="s">
        <v>74</v>
      </c>
      <c r="C30" s="13"/>
      <c r="D30" s="12"/>
      <c r="E30" s="8">
        <v>0.2</v>
      </c>
      <c r="G30" s="1">
        <f>+C30*D30</f>
        <v>0</v>
      </c>
      <c r="H30" s="1">
        <f>+C30*E30</f>
        <v>0</v>
      </c>
    </row>
    <row r="31" spans="2:8">
      <c r="B31" s="28" t="s">
        <v>77</v>
      </c>
      <c r="C31" s="107"/>
      <c r="D31" s="112"/>
      <c r="E31" s="8">
        <v>0.2</v>
      </c>
      <c r="G31" s="1">
        <f>+C31*D31</f>
        <v>0</v>
      </c>
      <c r="H31" s="1">
        <f>+C31*E31</f>
        <v>0</v>
      </c>
    </row>
    <row r="32" spans="2:8">
      <c r="B32" s="28" t="s">
        <v>78</v>
      </c>
      <c r="C32" s="107"/>
      <c r="D32" s="112"/>
      <c r="E32" s="8">
        <v>0.2</v>
      </c>
      <c r="G32" s="1">
        <f>+C32*D32</f>
        <v>0</v>
      </c>
      <c r="H32" s="1">
        <f>+C32*E32</f>
        <v>0</v>
      </c>
    </row>
    <row r="33" spans="2:8">
      <c r="B33" s="28" t="s">
        <v>75</v>
      </c>
      <c r="C33" s="107"/>
      <c r="D33" s="112"/>
      <c r="E33" s="8">
        <v>0.2</v>
      </c>
      <c r="G33" s="1">
        <f>+C33*D33</f>
        <v>0</v>
      </c>
      <c r="H33" s="1">
        <f>+C33*E33</f>
        <v>0</v>
      </c>
    </row>
    <row r="34" spans="2:8">
      <c r="B34" s="26" t="s">
        <v>5</v>
      </c>
      <c r="C34" s="1">
        <f>+C35+C36</f>
        <v>0</v>
      </c>
    </row>
    <row r="35" spans="2:8">
      <c r="B35" s="28" t="s">
        <v>79</v>
      </c>
      <c r="C35" s="13"/>
    </row>
    <row r="36" spans="2:8">
      <c r="B36" s="28" t="s">
        <v>76</v>
      </c>
      <c r="C36" s="13"/>
    </row>
    <row r="37" spans="2:8">
      <c r="B37" s="26"/>
    </row>
    <row r="39" spans="2:8">
      <c r="B39" s="1" t="s">
        <v>119</v>
      </c>
      <c r="C39" s="3">
        <f>+Ricavi!E4</f>
        <v>2020</v>
      </c>
    </row>
    <row r="40" spans="2:8" ht="31.5">
      <c r="B40" s="26"/>
      <c r="C40" s="30" t="s">
        <v>46</v>
      </c>
      <c r="D40" s="30" t="s">
        <v>8</v>
      </c>
      <c r="E40" s="30" t="s">
        <v>47</v>
      </c>
      <c r="F40" s="2"/>
      <c r="G40" s="2" t="s">
        <v>121</v>
      </c>
      <c r="H40" s="2" t="s">
        <v>120</v>
      </c>
    </row>
    <row r="41" spans="2:8">
      <c r="B41" s="29" t="s">
        <v>3</v>
      </c>
      <c r="C41" s="1">
        <f>+SUM(C42:C46)</f>
        <v>0</v>
      </c>
      <c r="G41" s="1">
        <f>+SUM(G42:G46)</f>
        <v>0</v>
      </c>
      <c r="H41" s="1">
        <f>+SUM(H42:H46)</f>
        <v>0</v>
      </c>
    </row>
    <row r="42" spans="2:8">
      <c r="B42" s="28" t="s">
        <v>73</v>
      </c>
      <c r="C42" s="13"/>
      <c r="D42" s="12"/>
      <c r="E42" s="8">
        <v>0</v>
      </c>
      <c r="G42" s="1">
        <f>+C42*D42</f>
        <v>0</v>
      </c>
      <c r="H42" s="1">
        <f>+C42*E42</f>
        <v>0</v>
      </c>
    </row>
    <row r="43" spans="2:8">
      <c r="B43" s="28" t="s">
        <v>69</v>
      </c>
      <c r="C43" s="13"/>
      <c r="D43" s="12"/>
      <c r="E43" s="8">
        <v>0.03</v>
      </c>
      <c r="G43" s="1">
        <f>+C43*D43</f>
        <v>0</v>
      </c>
      <c r="H43" s="1">
        <f>+C43*E43</f>
        <v>0</v>
      </c>
    </row>
    <row r="44" spans="2:8">
      <c r="B44" s="28" t="s">
        <v>70</v>
      </c>
      <c r="C44" s="13"/>
      <c r="D44" s="12"/>
      <c r="E44" s="8">
        <v>0.1</v>
      </c>
      <c r="G44" s="1">
        <f>+C44*D44</f>
        <v>0</v>
      </c>
      <c r="H44" s="1">
        <f>+C44*E44</f>
        <v>0</v>
      </c>
    </row>
    <row r="45" spans="2:8">
      <c r="B45" s="28" t="s">
        <v>71</v>
      </c>
      <c r="C45" s="13"/>
      <c r="D45" s="12"/>
      <c r="E45" s="8">
        <v>0.15</v>
      </c>
      <c r="G45" s="1">
        <f>+C45*D45</f>
        <v>0</v>
      </c>
      <c r="H45" s="1">
        <f>+C45*E45</f>
        <v>0</v>
      </c>
    </row>
    <row r="46" spans="2:8">
      <c r="B46" s="28" t="s">
        <v>72</v>
      </c>
      <c r="C46" s="13"/>
      <c r="D46" s="12"/>
      <c r="E46" s="8">
        <v>0.2</v>
      </c>
      <c r="G46" s="1">
        <f>+C46*D46</f>
        <v>0</v>
      </c>
      <c r="H46" s="1">
        <f>+C46*E46</f>
        <v>0</v>
      </c>
    </row>
    <row r="47" spans="2:8">
      <c r="B47" s="26" t="s">
        <v>4</v>
      </c>
      <c r="C47" s="1">
        <f>+SUM(C48:C51)</f>
        <v>0</v>
      </c>
      <c r="D47" s="8"/>
      <c r="E47" s="8"/>
      <c r="G47" s="1">
        <f>+SUM(G48:G51)</f>
        <v>0</v>
      </c>
      <c r="H47" s="1">
        <f>+SUM(H48:H51)</f>
        <v>0</v>
      </c>
    </row>
    <row r="48" spans="2:8">
      <c r="B48" s="28" t="s">
        <v>74</v>
      </c>
      <c r="C48" s="13"/>
      <c r="D48" s="12"/>
      <c r="E48" s="8">
        <v>0.2</v>
      </c>
      <c r="G48" s="1">
        <f>+C48*D48</f>
        <v>0</v>
      </c>
      <c r="H48" s="1">
        <f>+C48*E48</f>
        <v>0</v>
      </c>
    </row>
    <row r="49" spans="2:9">
      <c r="B49" s="28" t="s">
        <v>77</v>
      </c>
      <c r="C49" s="13"/>
      <c r="D49" s="12"/>
      <c r="E49" s="8">
        <v>0.2</v>
      </c>
      <c r="G49" s="1">
        <f>+C49*D49</f>
        <v>0</v>
      </c>
      <c r="H49" s="1">
        <f>+C49*E49</f>
        <v>0</v>
      </c>
    </row>
    <row r="50" spans="2:9">
      <c r="B50" s="28" t="s">
        <v>78</v>
      </c>
      <c r="C50" s="13"/>
      <c r="D50" s="12"/>
      <c r="E50" s="8">
        <v>0.2</v>
      </c>
      <c r="G50" s="1">
        <f>+C50*D50</f>
        <v>0</v>
      </c>
      <c r="H50" s="1">
        <f>+C50*E50</f>
        <v>0</v>
      </c>
    </row>
    <row r="51" spans="2:9">
      <c r="B51" s="28" t="s">
        <v>75</v>
      </c>
      <c r="C51" s="13"/>
      <c r="D51" s="12"/>
      <c r="E51" s="8">
        <v>0.2</v>
      </c>
      <c r="G51" s="1">
        <f>+C51*D51</f>
        <v>0</v>
      </c>
      <c r="H51" s="1">
        <f>+C51*E51</f>
        <v>0</v>
      </c>
    </row>
    <row r="52" spans="2:9">
      <c r="B52" s="26" t="s">
        <v>5</v>
      </c>
      <c r="C52" s="1">
        <f>+C53+C54</f>
        <v>0</v>
      </c>
    </row>
    <row r="53" spans="2:9">
      <c r="B53" s="28" t="s">
        <v>79</v>
      </c>
      <c r="C53" s="13"/>
    </row>
    <row r="54" spans="2:9">
      <c r="B54" s="28" t="s">
        <v>76</v>
      </c>
      <c r="C54" s="13"/>
    </row>
    <row r="58" spans="2:9" hidden="1"/>
    <row r="59" spans="2:9" hidden="1">
      <c r="B59" s="1" t="s">
        <v>122</v>
      </c>
      <c r="C59" s="2">
        <f>+Ricavi!C4</f>
        <v>2018</v>
      </c>
      <c r="D59" s="2">
        <f>+Ricavi!D4</f>
        <v>2019</v>
      </c>
      <c r="E59" s="2">
        <f>+Ricavi!E4</f>
        <v>2020</v>
      </c>
      <c r="G59" s="2">
        <f>+C59</f>
        <v>2018</v>
      </c>
      <c r="H59" s="2">
        <f>+D59</f>
        <v>2019</v>
      </c>
      <c r="I59" s="2">
        <f>+E59</f>
        <v>2020</v>
      </c>
    </row>
    <row r="60" spans="2:9" hidden="1">
      <c r="B60" s="1" t="s">
        <v>129</v>
      </c>
      <c r="C60" s="2">
        <f>+SUM(C61:C63)</f>
        <v>0</v>
      </c>
      <c r="D60" s="2">
        <f>+SUM(D61:D63)</f>
        <v>0</v>
      </c>
      <c r="E60" s="2">
        <f>+SUM(E61:E63)</f>
        <v>0</v>
      </c>
      <c r="G60" s="2">
        <f>+SUM(G61:G63)</f>
        <v>0</v>
      </c>
      <c r="H60" s="2">
        <f t="shared" ref="H60" si="0">+SUM(H61:H63)</f>
        <v>0</v>
      </c>
      <c r="I60" s="2">
        <f>+SUM(I61:I63)</f>
        <v>0</v>
      </c>
    </row>
    <row r="61" spans="2:9" hidden="1">
      <c r="B61" s="1" t="s">
        <v>123</v>
      </c>
      <c r="C61" s="1">
        <f>+C5</f>
        <v>0</v>
      </c>
      <c r="D61" s="1">
        <f>+C23</f>
        <v>0</v>
      </c>
      <c r="E61" s="1">
        <f>+C41</f>
        <v>0</v>
      </c>
      <c r="G61" s="1">
        <f>+C5+G5</f>
        <v>0</v>
      </c>
      <c r="H61" s="1">
        <f>+C23+G23</f>
        <v>0</v>
      </c>
      <c r="I61" s="1">
        <f>+C41+G41</f>
        <v>0</v>
      </c>
    </row>
    <row r="62" spans="2:9" hidden="1">
      <c r="B62" s="1" t="s">
        <v>124</v>
      </c>
      <c r="C62" s="1">
        <f>+C11</f>
        <v>0</v>
      </c>
      <c r="D62" s="1">
        <f>+C29</f>
        <v>0</v>
      </c>
      <c r="E62" s="1">
        <f>+C47</f>
        <v>0</v>
      </c>
      <c r="G62" s="1">
        <f>+C11+G11</f>
        <v>0</v>
      </c>
      <c r="H62" s="1">
        <f>+C29+G29</f>
        <v>0</v>
      </c>
      <c r="I62" s="1">
        <f>+C47+G47</f>
        <v>0</v>
      </c>
    </row>
    <row r="63" spans="2:9" hidden="1">
      <c r="B63" s="1" t="s">
        <v>125</v>
      </c>
      <c r="C63" s="1">
        <f>+C16</f>
        <v>0</v>
      </c>
      <c r="D63" s="1">
        <f>+C34</f>
        <v>0</v>
      </c>
      <c r="E63" s="1">
        <f>+C52</f>
        <v>0</v>
      </c>
      <c r="G63" s="1">
        <f>+C16</f>
        <v>0</v>
      </c>
      <c r="H63" s="1">
        <f>+C34</f>
        <v>0</v>
      </c>
      <c r="I63" s="1">
        <f>+C52</f>
        <v>0</v>
      </c>
    </row>
    <row r="64" spans="2:9" hidden="1"/>
    <row r="65" spans="2:5" hidden="1">
      <c r="B65" s="1" t="s">
        <v>126</v>
      </c>
      <c r="C65" s="1">
        <f>+C66+C67</f>
        <v>0</v>
      </c>
      <c r="D65" s="1">
        <f>+D66+D67</f>
        <v>0</v>
      </c>
      <c r="E65" s="1">
        <f>+E66+E67</f>
        <v>0</v>
      </c>
    </row>
    <row r="66" spans="2:5" hidden="1">
      <c r="B66" s="1" t="s">
        <v>123</v>
      </c>
      <c r="C66" s="1">
        <f>+H5</f>
        <v>0</v>
      </c>
      <c r="D66" s="1">
        <f>+C66+H5+H23</f>
        <v>0</v>
      </c>
      <c r="E66" s="1">
        <f>+D66+H5+H23+H41</f>
        <v>0</v>
      </c>
    </row>
    <row r="67" spans="2:5" hidden="1">
      <c r="B67" s="1" t="s">
        <v>124</v>
      </c>
      <c r="C67" s="1">
        <f>+H11</f>
        <v>0</v>
      </c>
      <c r="D67" s="1">
        <f>+C67+H29+H11</f>
        <v>0</v>
      </c>
      <c r="E67" s="1">
        <f>+D67+H11+H47+H29</f>
        <v>0</v>
      </c>
    </row>
    <row r="68" spans="2:5" hidden="1"/>
    <row r="69" spans="2:5" hidden="1">
      <c r="B69" s="1" t="s">
        <v>127</v>
      </c>
      <c r="C69" s="1">
        <f>+C61-C66</f>
        <v>0</v>
      </c>
      <c r="D69" s="1">
        <f>+C61+D61-D66</f>
        <v>0</v>
      </c>
      <c r="E69" s="1">
        <f>+C61+D61+E61-E66</f>
        <v>0</v>
      </c>
    </row>
    <row r="70" spans="2:5" hidden="1">
      <c r="B70" s="1" t="s">
        <v>128</v>
      </c>
      <c r="C70" s="1">
        <f>+C62-C67</f>
        <v>0</v>
      </c>
      <c r="D70" s="1">
        <f>+C62+D62-D67</f>
        <v>0</v>
      </c>
      <c r="E70" s="1">
        <f>+C62+D62+E62-E67</f>
        <v>0</v>
      </c>
    </row>
    <row r="71" spans="2:5" hidden="1">
      <c r="B71" s="1" t="s">
        <v>167</v>
      </c>
      <c r="C71" s="1">
        <f>+C63</f>
        <v>0</v>
      </c>
      <c r="D71" s="1">
        <f>+D63+C63</f>
        <v>0</v>
      </c>
      <c r="E71" s="1">
        <f>+E63+D63+C63</f>
        <v>0</v>
      </c>
    </row>
    <row r="72" spans="2:5" hidden="1">
      <c r="C72" s="3">
        <f>+C59</f>
        <v>2018</v>
      </c>
      <c r="D72" s="3">
        <f>+D59</f>
        <v>2019</v>
      </c>
      <c r="E72" s="3">
        <f>+E59</f>
        <v>2020</v>
      </c>
    </row>
    <row r="73" spans="2:5" hidden="1">
      <c r="B73" s="1" t="s">
        <v>213</v>
      </c>
      <c r="C73" s="1">
        <f>+H5+H11</f>
        <v>0</v>
      </c>
      <c r="D73" s="1">
        <f>+H5+H11+H23+H29</f>
        <v>0</v>
      </c>
      <c r="E73" s="1">
        <f>+H5+H11+H23+H29+H41+H47</f>
        <v>0</v>
      </c>
    </row>
    <row r="74" spans="2:5" hidden="1"/>
  </sheetData>
  <sheetProtection algorithmName="SHA-512" hashValue="OxNl8S2r/QNx/B/tgO0SHM7nYwNDjcrcfj6wyC3fsRXUF6r24FFR3yr4vgKDS/2vgqeBEESBCVLC4GaaHei2Qw==" saltValue="2H+LBl7saVjxNnWzIh3/Nw==" spinCount="100000" sheet="1" objects="1" scenarios="1"/>
  <protectedRanges>
    <protectedRange sqref="C6:D10 C12:D15 C17:C18 C24:D28 C30:D33 C35:C36 C42:D46 C48:D51 C53:C54" name="Intervallo1"/>
  </protectedRange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3:E11"/>
  <sheetViews>
    <sheetView workbookViewId="0">
      <selection activeCell="D5" sqref="D5:E5"/>
    </sheetView>
  </sheetViews>
  <sheetFormatPr defaultRowHeight="15.75"/>
  <cols>
    <col min="1" max="1" width="9.140625" style="1"/>
    <col min="2" max="2" width="29.28515625" style="1" bestFit="1" customWidth="1"/>
    <col min="3" max="5" width="19.7109375" style="1" customWidth="1"/>
    <col min="6" max="16384" width="9.140625" style="1"/>
  </cols>
  <sheetData>
    <row r="3" spans="2:5">
      <c r="B3" s="31" t="s">
        <v>180</v>
      </c>
    </row>
    <row r="4" spans="2:5">
      <c r="C4" s="3">
        <f>+'Ipotesi di base'!D8</f>
        <v>2018</v>
      </c>
      <c r="D4" s="3">
        <f>+'Ipotesi di base'!E8</f>
        <v>2019</v>
      </c>
      <c r="E4" s="3">
        <f>+'Ipotesi di base'!F8</f>
        <v>2020</v>
      </c>
    </row>
    <row r="5" spans="2:5">
      <c r="B5" s="1" t="s">
        <v>6</v>
      </c>
      <c r="C5" s="113"/>
      <c r="D5" s="113"/>
      <c r="E5" s="113"/>
    </row>
    <row r="6" spans="2:5">
      <c r="C6" s="21"/>
      <c r="D6" s="21"/>
      <c r="E6" s="21"/>
    </row>
    <row r="7" spans="2:5">
      <c r="C7" s="3">
        <f>+C4</f>
        <v>2018</v>
      </c>
      <c r="D7" s="3">
        <f>+D4</f>
        <v>2019</v>
      </c>
      <c r="E7" s="3">
        <f>+E4</f>
        <v>2020</v>
      </c>
    </row>
    <row r="8" spans="2:5">
      <c r="B8" s="1" t="s">
        <v>84</v>
      </c>
      <c r="C8" s="60"/>
      <c r="D8" s="60"/>
      <c r="E8" s="60"/>
    </row>
    <row r="9" spans="2:5">
      <c r="B9" s="9" t="s">
        <v>181</v>
      </c>
      <c r="C9" s="15"/>
      <c r="D9" s="15"/>
      <c r="E9" s="15"/>
    </row>
    <row r="11" spans="2:5" hidden="1">
      <c r="B11" s="1" t="s">
        <v>182</v>
      </c>
      <c r="C11" s="1">
        <f>+C9*C8</f>
        <v>0</v>
      </c>
      <c r="D11" s="1">
        <f>+D9*D8</f>
        <v>0</v>
      </c>
      <c r="E11" s="1">
        <f>+E9*E8</f>
        <v>0</v>
      </c>
    </row>
  </sheetData>
  <sheetProtection password="9A07" sheet="1" objects="1" scenarios="1"/>
  <protectedRanges>
    <protectedRange sqref="C5:E5 C8:E9" name="Intervallo1"/>
  </protectedRange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D4:AT41"/>
  <sheetViews>
    <sheetView workbookViewId="0">
      <selection activeCell="E12" sqref="E12"/>
    </sheetView>
  </sheetViews>
  <sheetFormatPr defaultRowHeight="15.75"/>
  <cols>
    <col min="1" max="3" width="9.140625" style="1"/>
    <col min="4" max="4" width="26.140625" style="1" bestFit="1" customWidth="1"/>
    <col min="5" max="5" width="19.7109375" style="1" customWidth="1"/>
    <col min="6" max="8" width="9.140625" style="1"/>
    <col min="9" max="9" width="27.140625" style="1" hidden="1" customWidth="1"/>
    <col min="10" max="10" width="0" style="1" hidden="1" customWidth="1"/>
    <col min="11" max="12" width="14.5703125" style="1" hidden="1" customWidth="1"/>
    <col min="13" max="13" width="18.85546875" style="1" hidden="1" customWidth="1"/>
    <col min="14" max="22" width="14.5703125" style="1" hidden="1" customWidth="1"/>
    <col min="23" max="42" width="13.140625" style="1" hidden="1" customWidth="1"/>
    <col min="43" max="46" width="11.85546875" style="1" hidden="1" customWidth="1"/>
    <col min="47" max="58" width="0" style="1" hidden="1" customWidth="1"/>
    <col min="59" max="16384" width="9.140625" style="1"/>
  </cols>
  <sheetData>
    <row r="4" spans="4:46">
      <c r="D4" s="4" t="s">
        <v>135</v>
      </c>
    </row>
    <row r="6" spans="4:46">
      <c r="D6" s="2"/>
    </row>
    <row r="7" spans="4:46">
      <c r="D7" s="118">
        <f>+'Ipotesi di base'!D8</f>
        <v>2018</v>
      </c>
      <c r="E7" s="118"/>
      <c r="I7" s="1" t="s">
        <v>183</v>
      </c>
      <c r="K7" s="2">
        <f>+$D$7</f>
        <v>2018</v>
      </c>
      <c r="L7" s="2">
        <f t="shared" ref="L7:V7" si="0">+$D$7</f>
        <v>2018</v>
      </c>
      <c r="M7" s="2">
        <f t="shared" si="0"/>
        <v>2018</v>
      </c>
      <c r="N7" s="2">
        <f t="shared" si="0"/>
        <v>2018</v>
      </c>
      <c r="O7" s="2">
        <f t="shared" si="0"/>
        <v>2018</v>
      </c>
      <c r="P7" s="2">
        <f t="shared" si="0"/>
        <v>2018</v>
      </c>
      <c r="Q7" s="2">
        <f t="shared" si="0"/>
        <v>2018</v>
      </c>
      <c r="R7" s="2">
        <f t="shared" si="0"/>
        <v>2018</v>
      </c>
      <c r="S7" s="2">
        <f t="shared" si="0"/>
        <v>2018</v>
      </c>
      <c r="T7" s="2">
        <f t="shared" si="0"/>
        <v>2018</v>
      </c>
      <c r="U7" s="2">
        <f t="shared" si="0"/>
        <v>2018</v>
      </c>
      <c r="V7" s="2">
        <f t="shared" si="0"/>
        <v>2018</v>
      </c>
      <c r="W7" s="2">
        <f t="shared" ref="W7:AH7" si="1">+$D$18</f>
        <v>2019</v>
      </c>
      <c r="X7" s="2">
        <f t="shared" si="1"/>
        <v>2019</v>
      </c>
      <c r="Y7" s="2">
        <f t="shared" si="1"/>
        <v>2019</v>
      </c>
      <c r="Z7" s="2">
        <f t="shared" si="1"/>
        <v>2019</v>
      </c>
      <c r="AA7" s="2">
        <f t="shared" si="1"/>
        <v>2019</v>
      </c>
      <c r="AB7" s="2">
        <f t="shared" si="1"/>
        <v>2019</v>
      </c>
      <c r="AC7" s="2">
        <f t="shared" si="1"/>
        <v>2019</v>
      </c>
      <c r="AD7" s="2">
        <f t="shared" si="1"/>
        <v>2019</v>
      </c>
      <c r="AE7" s="2">
        <f t="shared" si="1"/>
        <v>2019</v>
      </c>
      <c r="AF7" s="2">
        <f t="shared" si="1"/>
        <v>2019</v>
      </c>
      <c r="AG7" s="2">
        <f t="shared" si="1"/>
        <v>2019</v>
      </c>
      <c r="AH7" s="2">
        <f t="shared" si="1"/>
        <v>2019</v>
      </c>
      <c r="AI7" s="2">
        <f t="shared" ref="AI7:AT7" si="2">+$D$28</f>
        <v>2020</v>
      </c>
      <c r="AJ7" s="2">
        <f t="shared" si="2"/>
        <v>2020</v>
      </c>
      <c r="AK7" s="2">
        <f t="shared" si="2"/>
        <v>2020</v>
      </c>
      <c r="AL7" s="2">
        <f t="shared" si="2"/>
        <v>2020</v>
      </c>
      <c r="AM7" s="2">
        <f t="shared" si="2"/>
        <v>2020</v>
      </c>
      <c r="AN7" s="2">
        <f t="shared" si="2"/>
        <v>2020</v>
      </c>
      <c r="AO7" s="2">
        <f t="shared" si="2"/>
        <v>2020</v>
      </c>
      <c r="AP7" s="2">
        <f t="shared" si="2"/>
        <v>2020</v>
      </c>
      <c r="AQ7" s="2">
        <f t="shared" si="2"/>
        <v>2020</v>
      </c>
      <c r="AR7" s="2">
        <f t="shared" si="2"/>
        <v>2020</v>
      </c>
      <c r="AS7" s="2">
        <f t="shared" si="2"/>
        <v>2020</v>
      </c>
      <c r="AT7" s="2">
        <f t="shared" si="2"/>
        <v>2020</v>
      </c>
    </row>
    <row r="8" spans="4:46">
      <c r="D8" s="13" t="s">
        <v>230</v>
      </c>
      <c r="E8" s="25"/>
      <c r="K8" s="1" t="s">
        <v>186</v>
      </c>
      <c r="L8" s="1" t="s">
        <v>187</v>
      </c>
      <c r="M8" s="1" t="s">
        <v>188</v>
      </c>
      <c r="N8" s="1" t="s">
        <v>189</v>
      </c>
      <c r="O8" s="1" t="s">
        <v>190</v>
      </c>
      <c r="P8" s="1" t="s">
        <v>191</v>
      </c>
      <c r="Q8" s="1" t="s">
        <v>192</v>
      </c>
      <c r="R8" s="1" t="s">
        <v>193</v>
      </c>
      <c r="S8" s="1" t="s">
        <v>194</v>
      </c>
      <c r="T8" s="1" t="s">
        <v>195</v>
      </c>
      <c r="U8" s="1" t="s">
        <v>196</v>
      </c>
      <c r="V8" s="1" t="s">
        <v>197</v>
      </c>
      <c r="W8" s="1" t="s">
        <v>186</v>
      </c>
      <c r="X8" s="1" t="s">
        <v>187</v>
      </c>
      <c r="Y8" s="1" t="s">
        <v>188</v>
      </c>
      <c r="Z8" s="1" t="s">
        <v>189</v>
      </c>
      <c r="AA8" s="1" t="s">
        <v>190</v>
      </c>
      <c r="AB8" s="1" t="s">
        <v>191</v>
      </c>
      <c r="AC8" s="1" t="s">
        <v>192</v>
      </c>
      <c r="AD8" s="1" t="s">
        <v>193</v>
      </c>
      <c r="AE8" s="1" t="s">
        <v>194</v>
      </c>
      <c r="AF8" s="1" t="s">
        <v>195</v>
      </c>
      <c r="AG8" s="1" t="s">
        <v>196</v>
      </c>
      <c r="AH8" s="1" t="s">
        <v>197</v>
      </c>
      <c r="AI8" s="1" t="s">
        <v>186</v>
      </c>
      <c r="AJ8" s="1" t="s">
        <v>187</v>
      </c>
      <c r="AK8" s="1" t="s">
        <v>188</v>
      </c>
      <c r="AL8" s="1" t="s">
        <v>189</v>
      </c>
      <c r="AM8" s="1" t="s">
        <v>190</v>
      </c>
      <c r="AN8" s="1" t="s">
        <v>191</v>
      </c>
      <c r="AO8" s="1" t="s">
        <v>192</v>
      </c>
      <c r="AP8" s="1" t="s">
        <v>193</v>
      </c>
      <c r="AQ8" s="1" t="s">
        <v>194</v>
      </c>
      <c r="AR8" s="1" t="s">
        <v>195</v>
      </c>
      <c r="AS8" s="1" t="s">
        <v>196</v>
      </c>
      <c r="AT8" s="1" t="s">
        <v>197</v>
      </c>
    </row>
    <row r="9" spans="4:46">
      <c r="D9" s="13" t="s">
        <v>231</v>
      </c>
      <c r="E9" s="7"/>
      <c r="I9" s="1" t="s">
        <v>184</v>
      </c>
      <c r="K9" s="19">
        <f>+K11-K10</f>
        <v>0</v>
      </c>
      <c r="L9" s="19">
        <f t="shared" ref="L9:AT9" si="3">+L11-L10</f>
        <v>0</v>
      </c>
      <c r="M9" s="19">
        <f t="shared" si="3"/>
        <v>0</v>
      </c>
      <c r="N9" s="19">
        <f t="shared" si="3"/>
        <v>0</v>
      </c>
      <c r="O9" s="19">
        <f t="shared" si="3"/>
        <v>0</v>
      </c>
      <c r="P9" s="19">
        <f t="shared" si="3"/>
        <v>0</v>
      </c>
      <c r="Q9" s="19">
        <f t="shared" si="3"/>
        <v>0</v>
      </c>
      <c r="R9" s="19">
        <f t="shared" si="3"/>
        <v>0</v>
      </c>
      <c r="S9" s="19">
        <f t="shared" si="3"/>
        <v>0</v>
      </c>
      <c r="T9" s="19">
        <f t="shared" si="3"/>
        <v>0</v>
      </c>
      <c r="U9" s="19">
        <f t="shared" si="3"/>
        <v>0</v>
      </c>
      <c r="V9" s="19">
        <f t="shared" si="3"/>
        <v>0</v>
      </c>
      <c r="W9" s="19">
        <f t="shared" si="3"/>
        <v>0</v>
      </c>
      <c r="X9" s="19">
        <f t="shared" si="3"/>
        <v>0</v>
      </c>
      <c r="Y9" s="19">
        <f t="shared" si="3"/>
        <v>0</v>
      </c>
      <c r="Z9" s="19">
        <f t="shared" si="3"/>
        <v>0</v>
      </c>
      <c r="AA9" s="19">
        <f t="shared" si="3"/>
        <v>0</v>
      </c>
      <c r="AB9" s="19">
        <f t="shared" si="3"/>
        <v>0</v>
      </c>
      <c r="AC9" s="19">
        <f t="shared" si="3"/>
        <v>0</v>
      </c>
      <c r="AD9" s="19">
        <f t="shared" si="3"/>
        <v>0</v>
      </c>
      <c r="AE9" s="19">
        <f t="shared" si="3"/>
        <v>0</v>
      </c>
      <c r="AF9" s="19">
        <f t="shared" si="3"/>
        <v>0</v>
      </c>
      <c r="AG9" s="19">
        <f t="shared" si="3"/>
        <v>0</v>
      </c>
      <c r="AH9" s="19">
        <f t="shared" si="3"/>
        <v>0</v>
      </c>
      <c r="AI9" s="19">
        <f t="shared" si="3"/>
        <v>0</v>
      </c>
      <c r="AJ9" s="19">
        <f t="shared" si="3"/>
        <v>0</v>
      </c>
      <c r="AK9" s="19">
        <f t="shared" si="3"/>
        <v>0</v>
      </c>
      <c r="AL9" s="19">
        <f t="shared" si="3"/>
        <v>0</v>
      </c>
      <c r="AM9" s="19">
        <f t="shared" si="3"/>
        <v>0</v>
      </c>
      <c r="AN9" s="19">
        <f t="shared" si="3"/>
        <v>0</v>
      </c>
      <c r="AO9" s="19">
        <f t="shared" si="3"/>
        <v>0</v>
      </c>
      <c r="AP9" s="19">
        <f t="shared" si="3"/>
        <v>0</v>
      </c>
      <c r="AQ9" s="19">
        <f t="shared" si="3"/>
        <v>0</v>
      </c>
      <c r="AR9" s="19">
        <f t="shared" si="3"/>
        <v>0</v>
      </c>
      <c r="AS9" s="19">
        <f t="shared" si="3"/>
        <v>0</v>
      </c>
      <c r="AT9" s="19">
        <f t="shared" si="3"/>
        <v>0</v>
      </c>
    </row>
    <row r="10" spans="4:46">
      <c r="D10" s="13" t="s">
        <v>232</v>
      </c>
      <c r="E10" s="13"/>
      <c r="I10" s="1" t="s">
        <v>185</v>
      </c>
      <c r="K10" s="19">
        <f>+IF(K13&gt;0,IPMT($E$9/12,1,$E$10,-$E$8),0)</f>
        <v>0</v>
      </c>
      <c r="L10" s="19">
        <f>+IF(L13&gt;0,K12*$E$9/12,0)</f>
        <v>0</v>
      </c>
      <c r="M10" s="19">
        <f t="shared" ref="M10:AT10" si="4">+IF(M13&gt;0,L12*$E$9/12,0)</f>
        <v>0</v>
      </c>
      <c r="N10" s="19">
        <f t="shared" si="4"/>
        <v>0</v>
      </c>
      <c r="O10" s="19">
        <f t="shared" si="4"/>
        <v>0</v>
      </c>
      <c r="P10" s="19">
        <f t="shared" si="4"/>
        <v>0</v>
      </c>
      <c r="Q10" s="19">
        <f t="shared" si="4"/>
        <v>0</v>
      </c>
      <c r="R10" s="19">
        <f t="shared" si="4"/>
        <v>0</v>
      </c>
      <c r="S10" s="19">
        <f t="shared" si="4"/>
        <v>0</v>
      </c>
      <c r="T10" s="19">
        <f t="shared" si="4"/>
        <v>0</v>
      </c>
      <c r="U10" s="19">
        <f t="shared" si="4"/>
        <v>0</v>
      </c>
      <c r="V10" s="19">
        <f t="shared" si="4"/>
        <v>0</v>
      </c>
      <c r="W10" s="19">
        <f t="shared" si="4"/>
        <v>0</v>
      </c>
      <c r="X10" s="19">
        <f t="shared" si="4"/>
        <v>0</v>
      </c>
      <c r="Y10" s="19">
        <f t="shared" si="4"/>
        <v>0</v>
      </c>
      <c r="Z10" s="19">
        <f t="shared" si="4"/>
        <v>0</v>
      </c>
      <c r="AA10" s="19">
        <f t="shared" si="4"/>
        <v>0</v>
      </c>
      <c r="AB10" s="19">
        <f t="shared" si="4"/>
        <v>0</v>
      </c>
      <c r="AC10" s="19">
        <f t="shared" si="4"/>
        <v>0</v>
      </c>
      <c r="AD10" s="19">
        <f t="shared" si="4"/>
        <v>0</v>
      </c>
      <c r="AE10" s="19">
        <f t="shared" si="4"/>
        <v>0</v>
      </c>
      <c r="AF10" s="19">
        <f t="shared" si="4"/>
        <v>0</v>
      </c>
      <c r="AG10" s="19">
        <f t="shared" si="4"/>
        <v>0</v>
      </c>
      <c r="AH10" s="19">
        <f t="shared" si="4"/>
        <v>0</v>
      </c>
      <c r="AI10" s="19">
        <f t="shared" si="4"/>
        <v>0</v>
      </c>
      <c r="AJ10" s="19">
        <f t="shared" si="4"/>
        <v>0</v>
      </c>
      <c r="AK10" s="19">
        <f t="shared" si="4"/>
        <v>0</v>
      </c>
      <c r="AL10" s="19">
        <f t="shared" si="4"/>
        <v>0</v>
      </c>
      <c r="AM10" s="19">
        <f t="shared" si="4"/>
        <v>0</v>
      </c>
      <c r="AN10" s="19">
        <f t="shared" si="4"/>
        <v>0</v>
      </c>
      <c r="AO10" s="19">
        <f t="shared" si="4"/>
        <v>0</v>
      </c>
      <c r="AP10" s="19">
        <f t="shared" si="4"/>
        <v>0</v>
      </c>
      <c r="AQ10" s="19">
        <f t="shared" si="4"/>
        <v>0</v>
      </c>
      <c r="AR10" s="19">
        <f t="shared" si="4"/>
        <v>0</v>
      </c>
      <c r="AS10" s="19">
        <f t="shared" si="4"/>
        <v>0</v>
      </c>
      <c r="AT10" s="19">
        <f t="shared" si="4"/>
        <v>0</v>
      </c>
    </row>
    <row r="11" spans="4:46">
      <c r="D11" s="28"/>
      <c r="E11" s="28"/>
      <c r="I11" s="1" t="s">
        <v>178</v>
      </c>
      <c r="K11" s="19">
        <f>+IF(K13&gt;0,PMT($E$9/12,$E$10*12,-$E$8),0)</f>
        <v>0</v>
      </c>
      <c r="L11" s="19">
        <f t="shared" ref="L11:AT11" si="5">+IF(L13&gt;0,PMT($E$9/12,$E$10*12,-$E$8),0)</f>
        <v>0</v>
      </c>
      <c r="M11" s="19">
        <f t="shared" si="5"/>
        <v>0</v>
      </c>
      <c r="N11" s="19">
        <f t="shared" si="5"/>
        <v>0</v>
      </c>
      <c r="O11" s="19">
        <f t="shared" si="5"/>
        <v>0</v>
      </c>
      <c r="P11" s="19">
        <f t="shared" si="5"/>
        <v>0</v>
      </c>
      <c r="Q11" s="19">
        <f t="shared" si="5"/>
        <v>0</v>
      </c>
      <c r="R11" s="19">
        <f t="shared" si="5"/>
        <v>0</v>
      </c>
      <c r="S11" s="19">
        <f t="shared" si="5"/>
        <v>0</v>
      </c>
      <c r="T11" s="19">
        <f t="shared" si="5"/>
        <v>0</v>
      </c>
      <c r="U11" s="19">
        <f t="shared" si="5"/>
        <v>0</v>
      </c>
      <c r="V11" s="19">
        <f t="shared" si="5"/>
        <v>0</v>
      </c>
      <c r="W11" s="19">
        <f t="shared" si="5"/>
        <v>0</v>
      </c>
      <c r="X11" s="19">
        <f t="shared" si="5"/>
        <v>0</v>
      </c>
      <c r="Y11" s="19">
        <f t="shared" si="5"/>
        <v>0</v>
      </c>
      <c r="Z11" s="19">
        <f t="shared" si="5"/>
        <v>0</v>
      </c>
      <c r="AA11" s="19">
        <f t="shared" si="5"/>
        <v>0</v>
      </c>
      <c r="AB11" s="19">
        <f t="shared" si="5"/>
        <v>0</v>
      </c>
      <c r="AC11" s="19">
        <f t="shared" si="5"/>
        <v>0</v>
      </c>
      <c r="AD11" s="19">
        <f t="shared" si="5"/>
        <v>0</v>
      </c>
      <c r="AE11" s="19">
        <f t="shared" si="5"/>
        <v>0</v>
      </c>
      <c r="AF11" s="19">
        <f t="shared" si="5"/>
        <v>0</v>
      </c>
      <c r="AG11" s="19">
        <f t="shared" si="5"/>
        <v>0</v>
      </c>
      <c r="AH11" s="19">
        <f t="shared" si="5"/>
        <v>0</v>
      </c>
      <c r="AI11" s="19">
        <f t="shared" si="5"/>
        <v>0</v>
      </c>
      <c r="AJ11" s="19">
        <f t="shared" si="5"/>
        <v>0</v>
      </c>
      <c r="AK11" s="19">
        <f t="shared" si="5"/>
        <v>0</v>
      </c>
      <c r="AL11" s="19">
        <f t="shared" si="5"/>
        <v>0</v>
      </c>
      <c r="AM11" s="19">
        <f t="shared" si="5"/>
        <v>0</v>
      </c>
      <c r="AN11" s="19">
        <f t="shared" si="5"/>
        <v>0</v>
      </c>
      <c r="AO11" s="19">
        <f t="shared" si="5"/>
        <v>0</v>
      </c>
      <c r="AP11" s="19">
        <f t="shared" si="5"/>
        <v>0</v>
      </c>
      <c r="AQ11" s="19">
        <f t="shared" si="5"/>
        <v>0</v>
      </c>
      <c r="AR11" s="19">
        <f t="shared" si="5"/>
        <v>0</v>
      </c>
      <c r="AS11" s="19">
        <f t="shared" si="5"/>
        <v>0</v>
      </c>
      <c r="AT11" s="19">
        <f t="shared" si="5"/>
        <v>0</v>
      </c>
    </row>
    <row r="12" spans="4:46">
      <c r="D12" s="32" t="s">
        <v>179</v>
      </c>
      <c r="E12" s="33" t="e">
        <f>PMT(E9/12,E10*12,-E8)*12</f>
        <v>#NUM!</v>
      </c>
      <c r="I12" s="1" t="s">
        <v>198</v>
      </c>
      <c r="K12" s="19">
        <f>+E8-K9</f>
        <v>0</v>
      </c>
      <c r="L12" s="19">
        <f>+K12-L9</f>
        <v>0</v>
      </c>
      <c r="M12" s="19">
        <f t="shared" ref="M12:AT12" si="6">+L12-M9</f>
        <v>0</v>
      </c>
      <c r="N12" s="19">
        <f t="shared" si="6"/>
        <v>0</v>
      </c>
      <c r="O12" s="19">
        <f t="shared" si="6"/>
        <v>0</v>
      </c>
      <c r="P12" s="19">
        <f t="shared" si="6"/>
        <v>0</v>
      </c>
      <c r="Q12" s="19">
        <f t="shared" si="6"/>
        <v>0</v>
      </c>
      <c r="R12" s="19">
        <f t="shared" si="6"/>
        <v>0</v>
      </c>
      <c r="S12" s="19">
        <f t="shared" si="6"/>
        <v>0</v>
      </c>
      <c r="T12" s="19">
        <f t="shared" si="6"/>
        <v>0</v>
      </c>
      <c r="U12" s="19">
        <f t="shared" si="6"/>
        <v>0</v>
      </c>
      <c r="V12" s="19">
        <f t="shared" si="6"/>
        <v>0</v>
      </c>
      <c r="W12" s="19">
        <f t="shared" si="6"/>
        <v>0</v>
      </c>
      <c r="X12" s="19">
        <f t="shared" si="6"/>
        <v>0</v>
      </c>
      <c r="Y12" s="19">
        <f t="shared" si="6"/>
        <v>0</v>
      </c>
      <c r="Z12" s="19">
        <f t="shared" si="6"/>
        <v>0</v>
      </c>
      <c r="AA12" s="19">
        <f t="shared" si="6"/>
        <v>0</v>
      </c>
      <c r="AB12" s="19">
        <f t="shared" si="6"/>
        <v>0</v>
      </c>
      <c r="AC12" s="19">
        <f t="shared" si="6"/>
        <v>0</v>
      </c>
      <c r="AD12" s="19">
        <f t="shared" si="6"/>
        <v>0</v>
      </c>
      <c r="AE12" s="19">
        <f t="shared" si="6"/>
        <v>0</v>
      </c>
      <c r="AF12" s="19">
        <f t="shared" si="6"/>
        <v>0</v>
      </c>
      <c r="AG12" s="19">
        <f t="shared" si="6"/>
        <v>0</v>
      </c>
      <c r="AH12" s="19">
        <f t="shared" si="6"/>
        <v>0</v>
      </c>
      <c r="AI12" s="19">
        <f t="shared" si="6"/>
        <v>0</v>
      </c>
      <c r="AJ12" s="19">
        <f t="shared" si="6"/>
        <v>0</v>
      </c>
      <c r="AK12" s="19">
        <f t="shared" si="6"/>
        <v>0</v>
      </c>
      <c r="AL12" s="19">
        <f t="shared" si="6"/>
        <v>0</v>
      </c>
      <c r="AM12" s="19">
        <f t="shared" si="6"/>
        <v>0</v>
      </c>
      <c r="AN12" s="19">
        <f t="shared" si="6"/>
        <v>0</v>
      </c>
      <c r="AO12" s="19">
        <f t="shared" si="6"/>
        <v>0</v>
      </c>
      <c r="AP12" s="19">
        <f t="shared" si="6"/>
        <v>0</v>
      </c>
      <c r="AQ12" s="19">
        <f t="shared" si="6"/>
        <v>0</v>
      </c>
      <c r="AR12" s="19">
        <f t="shared" si="6"/>
        <v>0</v>
      </c>
      <c r="AS12" s="19">
        <f t="shared" si="6"/>
        <v>0</v>
      </c>
      <c r="AT12" s="19">
        <f t="shared" si="6"/>
        <v>0</v>
      </c>
    </row>
    <row r="13" spans="4:46">
      <c r="I13" s="1" t="s">
        <v>203</v>
      </c>
      <c r="K13" s="20">
        <f>+E10*12</f>
        <v>0</v>
      </c>
      <c r="L13" s="20">
        <f>+K13-1</f>
        <v>-1</v>
      </c>
      <c r="M13" s="20">
        <f t="shared" ref="M13:AT13" si="7">+L13-1</f>
        <v>-2</v>
      </c>
      <c r="N13" s="20">
        <f t="shared" si="7"/>
        <v>-3</v>
      </c>
      <c r="O13" s="20">
        <f t="shared" si="7"/>
        <v>-4</v>
      </c>
      <c r="P13" s="20">
        <f t="shared" si="7"/>
        <v>-5</v>
      </c>
      <c r="Q13" s="20">
        <f t="shared" si="7"/>
        <v>-6</v>
      </c>
      <c r="R13" s="20">
        <f t="shared" si="7"/>
        <v>-7</v>
      </c>
      <c r="S13" s="20">
        <f t="shared" si="7"/>
        <v>-8</v>
      </c>
      <c r="T13" s="20">
        <f t="shared" si="7"/>
        <v>-9</v>
      </c>
      <c r="U13" s="20">
        <f t="shared" si="7"/>
        <v>-10</v>
      </c>
      <c r="V13" s="20">
        <f t="shared" si="7"/>
        <v>-11</v>
      </c>
      <c r="W13" s="20">
        <f t="shared" si="7"/>
        <v>-12</v>
      </c>
      <c r="X13" s="20">
        <f t="shared" si="7"/>
        <v>-13</v>
      </c>
      <c r="Y13" s="20">
        <f t="shared" si="7"/>
        <v>-14</v>
      </c>
      <c r="Z13" s="20">
        <f t="shared" si="7"/>
        <v>-15</v>
      </c>
      <c r="AA13" s="20">
        <f t="shared" si="7"/>
        <v>-16</v>
      </c>
      <c r="AB13" s="20">
        <f t="shared" si="7"/>
        <v>-17</v>
      </c>
      <c r="AC13" s="20">
        <f t="shared" si="7"/>
        <v>-18</v>
      </c>
      <c r="AD13" s="20">
        <f t="shared" si="7"/>
        <v>-19</v>
      </c>
      <c r="AE13" s="20">
        <f t="shared" si="7"/>
        <v>-20</v>
      </c>
      <c r="AF13" s="20">
        <f t="shared" si="7"/>
        <v>-21</v>
      </c>
      <c r="AG13" s="20">
        <f t="shared" si="7"/>
        <v>-22</v>
      </c>
      <c r="AH13" s="20">
        <f t="shared" si="7"/>
        <v>-23</v>
      </c>
      <c r="AI13" s="20">
        <f t="shared" si="7"/>
        <v>-24</v>
      </c>
      <c r="AJ13" s="20">
        <f t="shared" si="7"/>
        <v>-25</v>
      </c>
      <c r="AK13" s="20">
        <f t="shared" si="7"/>
        <v>-26</v>
      </c>
      <c r="AL13" s="20">
        <f t="shared" si="7"/>
        <v>-27</v>
      </c>
      <c r="AM13" s="20">
        <f t="shared" si="7"/>
        <v>-28</v>
      </c>
      <c r="AN13" s="20">
        <f t="shared" si="7"/>
        <v>-29</v>
      </c>
      <c r="AO13" s="20">
        <f t="shared" si="7"/>
        <v>-30</v>
      </c>
      <c r="AP13" s="20">
        <f t="shared" si="7"/>
        <v>-31</v>
      </c>
      <c r="AQ13" s="20">
        <f t="shared" si="7"/>
        <v>-32</v>
      </c>
      <c r="AR13" s="20">
        <f t="shared" si="7"/>
        <v>-33</v>
      </c>
      <c r="AS13" s="20">
        <f t="shared" si="7"/>
        <v>-34</v>
      </c>
      <c r="AT13" s="20">
        <f t="shared" si="7"/>
        <v>-35</v>
      </c>
    </row>
    <row r="15" spans="4:46">
      <c r="E15" s="19"/>
    </row>
    <row r="16" spans="4:46">
      <c r="E16" s="19"/>
    </row>
    <row r="17" spans="4:34">
      <c r="E17" s="72"/>
      <c r="K17" s="2">
        <f t="shared" ref="K17:V17" si="8">+$D$18</f>
        <v>2019</v>
      </c>
      <c r="L17" s="2">
        <f t="shared" si="8"/>
        <v>2019</v>
      </c>
      <c r="M17" s="2">
        <f t="shared" si="8"/>
        <v>2019</v>
      </c>
      <c r="N17" s="2">
        <f t="shared" si="8"/>
        <v>2019</v>
      </c>
      <c r="O17" s="2">
        <f t="shared" si="8"/>
        <v>2019</v>
      </c>
      <c r="P17" s="2">
        <f t="shared" si="8"/>
        <v>2019</v>
      </c>
      <c r="Q17" s="2">
        <f t="shared" si="8"/>
        <v>2019</v>
      </c>
      <c r="R17" s="2">
        <f t="shared" si="8"/>
        <v>2019</v>
      </c>
      <c r="S17" s="2">
        <f t="shared" si="8"/>
        <v>2019</v>
      </c>
      <c r="T17" s="2">
        <f t="shared" si="8"/>
        <v>2019</v>
      </c>
      <c r="U17" s="2">
        <f t="shared" si="8"/>
        <v>2019</v>
      </c>
      <c r="V17" s="2">
        <f t="shared" si="8"/>
        <v>2019</v>
      </c>
      <c r="W17" s="2">
        <f t="shared" ref="W17:AH17" si="9">+$D$28</f>
        <v>2020</v>
      </c>
      <c r="X17" s="2">
        <f t="shared" si="9"/>
        <v>2020</v>
      </c>
      <c r="Y17" s="2">
        <f t="shared" si="9"/>
        <v>2020</v>
      </c>
      <c r="Z17" s="2">
        <f t="shared" si="9"/>
        <v>2020</v>
      </c>
      <c r="AA17" s="2">
        <f t="shared" si="9"/>
        <v>2020</v>
      </c>
      <c r="AB17" s="2">
        <f t="shared" si="9"/>
        <v>2020</v>
      </c>
      <c r="AC17" s="2">
        <f t="shared" si="9"/>
        <v>2020</v>
      </c>
      <c r="AD17" s="2">
        <f t="shared" si="9"/>
        <v>2020</v>
      </c>
      <c r="AE17" s="2">
        <f t="shared" si="9"/>
        <v>2020</v>
      </c>
      <c r="AF17" s="2">
        <f t="shared" si="9"/>
        <v>2020</v>
      </c>
      <c r="AG17" s="2">
        <f t="shared" si="9"/>
        <v>2020</v>
      </c>
      <c r="AH17" s="2">
        <f t="shared" si="9"/>
        <v>2020</v>
      </c>
    </row>
    <row r="18" spans="4:34">
      <c r="D18" s="118">
        <f>+'Ipotesi di base'!E8</f>
        <v>2019</v>
      </c>
      <c r="E18" s="118"/>
      <c r="I18" s="1" t="s">
        <v>183</v>
      </c>
      <c r="K18" s="1" t="s">
        <v>186</v>
      </c>
      <c r="L18" s="1" t="s">
        <v>187</v>
      </c>
      <c r="M18" s="1" t="s">
        <v>188</v>
      </c>
      <c r="N18" s="1" t="s">
        <v>189</v>
      </c>
      <c r="O18" s="1" t="s">
        <v>190</v>
      </c>
      <c r="P18" s="1" t="s">
        <v>191</v>
      </c>
      <c r="Q18" s="1" t="s">
        <v>192</v>
      </c>
      <c r="R18" s="1" t="s">
        <v>193</v>
      </c>
      <c r="S18" s="1" t="s">
        <v>194</v>
      </c>
      <c r="T18" s="1" t="s">
        <v>195</v>
      </c>
      <c r="U18" s="1" t="s">
        <v>196</v>
      </c>
      <c r="V18" s="1" t="s">
        <v>197</v>
      </c>
      <c r="W18" s="1" t="s">
        <v>186</v>
      </c>
      <c r="X18" s="1" t="s">
        <v>187</v>
      </c>
      <c r="Y18" s="1" t="s">
        <v>188</v>
      </c>
      <c r="Z18" s="1" t="s">
        <v>189</v>
      </c>
      <c r="AA18" s="1" t="s">
        <v>190</v>
      </c>
      <c r="AB18" s="1" t="s">
        <v>191</v>
      </c>
      <c r="AC18" s="1" t="s">
        <v>192</v>
      </c>
      <c r="AD18" s="1" t="s">
        <v>193</v>
      </c>
      <c r="AE18" s="1" t="s">
        <v>194</v>
      </c>
      <c r="AF18" s="1" t="s">
        <v>195</v>
      </c>
      <c r="AG18" s="1" t="s">
        <v>196</v>
      </c>
      <c r="AH18" s="1" t="s">
        <v>197</v>
      </c>
    </row>
    <row r="19" spans="4:34">
      <c r="D19" s="13" t="s">
        <v>230</v>
      </c>
      <c r="E19" s="25"/>
      <c r="I19" s="1" t="s">
        <v>184</v>
      </c>
      <c r="K19" s="19">
        <f>+K21-K20</f>
        <v>0</v>
      </c>
      <c r="L19" s="19">
        <f t="shared" ref="L19" si="10">+L21-L20</f>
        <v>0</v>
      </c>
      <c r="M19" s="19">
        <f t="shared" ref="M19" si="11">+M21-M20</f>
        <v>0</v>
      </c>
      <c r="N19" s="19">
        <f t="shared" ref="N19" si="12">+N21-N20</f>
        <v>0</v>
      </c>
      <c r="O19" s="19">
        <f t="shared" ref="O19" si="13">+O21-O20</f>
        <v>0</v>
      </c>
      <c r="P19" s="19">
        <f t="shared" ref="P19" si="14">+P21-P20</f>
        <v>0</v>
      </c>
      <c r="Q19" s="19">
        <f t="shared" ref="Q19" si="15">+Q21-Q20</f>
        <v>0</v>
      </c>
      <c r="R19" s="19">
        <f t="shared" ref="R19" si="16">+R21-R20</f>
        <v>0</v>
      </c>
      <c r="S19" s="19">
        <f t="shared" ref="S19" si="17">+S21-S20</f>
        <v>0</v>
      </c>
      <c r="T19" s="19">
        <f t="shared" ref="T19" si="18">+T21-T20</f>
        <v>0</v>
      </c>
      <c r="U19" s="19">
        <f t="shared" ref="U19" si="19">+U21-U20</f>
        <v>0</v>
      </c>
      <c r="V19" s="19">
        <f t="shared" ref="V19" si="20">+V21-V20</f>
        <v>0</v>
      </c>
      <c r="W19" s="19">
        <f t="shared" ref="W19" si="21">+W21-W20</f>
        <v>0</v>
      </c>
      <c r="X19" s="19">
        <f t="shared" ref="X19" si="22">+X21-X20</f>
        <v>0</v>
      </c>
      <c r="Y19" s="19">
        <f t="shared" ref="Y19" si="23">+Y21-Y20</f>
        <v>0</v>
      </c>
      <c r="Z19" s="19">
        <f t="shared" ref="Z19" si="24">+Z21-Z20</f>
        <v>0</v>
      </c>
      <c r="AA19" s="19">
        <f t="shared" ref="AA19" si="25">+AA21-AA20</f>
        <v>0</v>
      </c>
      <c r="AB19" s="19">
        <f t="shared" ref="AB19" si="26">+AB21-AB20</f>
        <v>0</v>
      </c>
      <c r="AC19" s="19">
        <f t="shared" ref="AC19" si="27">+AC21-AC20</f>
        <v>0</v>
      </c>
      <c r="AD19" s="19">
        <f t="shared" ref="AD19" si="28">+AD21-AD20</f>
        <v>0</v>
      </c>
      <c r="AE19" s="19">
        <f t="shared" ref="AE19" si="29">+AE21-AE20</f>
        <v>0</v>
      </c>
      <c r="AF19" s="19">
        <f t="shared" ref="AF19" si="30">+AF21-AF20</f>
        <v>0</v>
      </c>
      <c r="AG19" s="19">
        <f t="shared" ref="AG19" si="31">+AG21-AG20</f>
        <v>0</v>
      </c>
      <c r="AH19" s="19">
        <f t="shared" ref="AH19" si="32">+AH21-AH20</f>
        <v>0</v>
      </c>
    </row>
    <row r="20" spans="4:34">
      <c r="D20" s="13" t="s">
        <v>231</v>
      </c>
      <c r="E20" s="7"/>
      <c r="I20" s="1" t="s">
        <v>185</v>
      </c>
      <c r="K20" s="19">
        <f>+IF(K23&gt;0,IPMT($E$20/12,1,$E$21,-$E$19),0)</f>
        <v>0</v>
      </c>
      <c r="L20" s="19">
        <f>+IF(L23&gt;0,K22*$E$20/12,0)</f>
        <v>0</v>
      </c>
      <c r="M20" s="19">
        <f t="shared" ref="M20:AH20" si="33">+IF(M23&gt;0,L22*$E$20/12,0)</f>
        <v>0</v>
      </c>
      <c r="N20" s="19">
        <f t="shared" si="33"/>
        <v>0</v>
      </c>
      <c r="O20" s="19">
        <f t="shared" si="33"/>
        <v>0</v>
      </c>
      <c r="P20" s="19">
        <f t="shared" si="33"/>
        <v>0</v>
      </c>
      <c r="Q20" s="19">
        <f t="shared" si="33"/>
        <v>0</v>
      </c>
      <c r="R20" s="19">
        <f t="shared" si="33"/>
        <v>0</v>
      </c>
      <c r="S20" s="19">
        <f t="shared" si="33"/>
        <v>0</v>
      </c>
      <c r="T20" s="19">
        <f t="shared" si="33"/>
        <v>0</v>
      </c>
      <c r="U20" s="19">
        <f t="shared" si="33"/>
        <v>0</v>
      </c>
      <c r="V20" s="19">
        <f t="shared" si="33"/>
        <v>0</v>
      </c>
      <c r="W20" s="19">
        <f t="shared" si="33"/>
        <v>0</v>
      </c>
      <c r="X20" s="19">
        <f t="shared" si="33"/>
        <v>0</v>
      </c>
      <c r="Y20" s="19">
        <f t="shared" si="33"/>
        <v>0</v>
      </c>
      <c r="Z20" s="19">
        <f t="shared" si="33"/>
        <v>0</v>
      </c>
      <c r="AA20" s="19">
        <f t="shared" si="33"/>
        <v>0</v>
      </c>
      <c r="AB20" s="19">
        <f t="shared" si="33"/>
        <v>0</v>
      </c>
      <c r="AC20" s="19">
        <f t="shared" si="33"/>
        <v>0</v>
      </c>
      <c r="AD20" s="19">
        <f t="shared" si="33"/>
        <v>0</v>
      </c>
      <c r="AE20" s="19">
        <f t="shared" si="33"/>
        <v>0</v>
      </c>
      <c r="AF20" s="19">
        <f t="shared" si="33"/>
        <v>0</v>
      </c>
      <c r="AG20" s="19">
        <f t="shared" si="33"/>
        <v>0</v>
      </c>
      <c r="AH20" s="19">
        <f t="shared" si="33"/>
        <v>0</v>
      </c>
    </row>
    <row r="21" spans="4:34">
      <c r="D21" s="13" t="s">
        <v>232</v>
      </c>
      <c r="E21" s="13"/>
      <c r="I21" s="1" t="s">
        <v>178</v>
      </c>
      <c r="K21" s="19">
        <f>+IF(K23&gt;0,PMT($E$20/12,$E$21*12,-$E$19),0)</f>
        <v>0</v>
      </c>
      <c r="L21" s="19">
        <f t="shared" ref="L21:AH21" si="34">+IF(L23&gt;0,PMT($E$20/12,$E$21*12,-$E$19),0)</f>
        <v>0</v>
      </c>
      <c r="M21" s="19">
        <f t="shared" si="34"/>
        <v>0</v>
      </c>
      <c r="N21" s="19">
        <f t="shared" si="34"/>
        <v>0</v>
      </c>
      <c r="O21" s="19">
        <f t="shared" si="34"/>
        <v>0</v>
      </c>
      <c r="P21" s="19">
        <f t="shared" si="34"/>
        <v>0</v>
      </c>
      <c r="Q21" s="19">
        <f t="shared" si="34"/>
        <v>0</v>
      </c>
      <c r="R21" s="19">
        <f t="shared" si="34"/>
        <v>0</v>
      </c>
      <c r="S21" s="19">
        <f t="shared" si="34"/>
        <v>0</v>
      </c>
      <c r="T21" s="19">
        <f t="shared" si="34"/>
        <v>0</v>
      </c>
      <c r="U21" s="19">
        <f t="shared" si="34"/>
        <v>0</v>
      </c>
      <c r="V21" s="19">
        <f t="shared" si="34"/>
        <v>0</v>
      </c>
      <c r="W21" s="19">
        <f t="shared" si="34"/>
        <v>0</v>
      </c>
      <c r="X21" s="19">
        <f t="shared" si="34"/>
        <v>0</v>
      </c>
      <c r="Y21" s="19">
        <f t="shared" si="34"/>
        <v>0</v>
      </c>
      <c r="Z21" s="19">
        <f t="shared" si="34"/>
        <v>0</v>
      </c>
      <c r="AA21" s="19">
        <f t="shared" si="34"/>
        <v>0</v>
      </c>
      <c r="AB21" s="19">
        <f t="shared" si="34"/>
        <v>0</v>
      </c>
      <c r="AC21" s="19">
        <f t="shared" si="34"/>
        <v>0</v>
      </c>
      <c r="AD21" s="19">
        <f t="shared" si="34"/>
        <v>0</v>
      </c>
      <c r="AE21" s="19">
        <f t="shared" si="34"/>
        <v>0</v>
      </c>
      <c r="AF21" s="19">
        <f t="shared" si="34"/>
        <v>0</v>
      </c>
      <c r="AG21" s="19">
        <f t="shared" si="34"/>
        <v>0</v>
      </c>
      <c r="AH21" s="19">
        <f t="shared" si="34"/>
        <v>0</v>
      </c>
    </row>
    <row r="22" spans="4:34">
      <c r="I22" s="1" t="s">
        <v>198</v>
      </c>
      <c r="K22" s="19">
        <f>+E19-K19</f>
        <v>0</v>
      </c>
      <c r="L22" s="19">
        <f>+K22-L19</f>
        <v>0</v>
      </c>
      <c r="M22" s="19">
        <f t="shared" ref="M22:AH22" si="35">+L22-M19</f>
        <v>0</v>
      </c>
      <c r="N22" s="19">
        <f t="shared" si="35"/>
        <v>0</v>
      </c>
      <c r="O22" s="19">
        <f t="shared" si="35"/>
        <v>0</v>
      </c>
      <c r="P22" s="19">
        <f t="shared" si="35"/>
        <v>0</v>
      </c>
      <c r="Q22" s="19">
        <f t="shared" si="35"/>
        <v>0</v>
      </c>
      <c r="R22" s="19">
        <f t="shared" si="35"/>
        <v>0</v>
      </c>
      <c r="S22" s="19">
        <f t="shared" si="35"/>
        <v>0</v>
      </c>
      <c r="T22" s="19">
        <f t="shared" si="35"/>
        <v>0</v>
      </c>
      <c r="U22" s="19">
        <f t="shared" si="35"/>
        <v>0</v>
      </c>
      <c r="V22" s="19">
        <f t="shared" si="35"/>
        <v>0</v>
      </c>
      <c r="W22" s="19">
        <f t="shared" si="35"/>
        <v>0</v>
      </c>
      <c r="X22" s="19">
        <f t="shared" si="35"/>
        <v>0</v>
      </c>
      <c r="Y22" s="19">
        <f t="shared" si="35"/>
        <v>0</v>
      </c>
      <c r="Z22" s="19">
        <f t="shared" si="35"/>
        <v>0</v>
      </c>
      <c r="AA22" s="19">
        <f t="shared" si="35"/>
        <v>0</v>
      </c>
      <c r="AB22" s="19">
        <f t="shared" si="35"/>
        <v>0</v>
      </c>
      <c r="AC22" s="19">
        <f t="shared" si="35"/>
        <v>0</v>
      </c>
      <c r="AD22" s="19">
        <f t="shared" si="35"/>
        <v>0</v>
      </c>
      <c r="AE22" s="19">
        <f t="shared" si="35"/>
        <v>0</v>
      </c>
      <c r="AF22" s="19">
        <f t="shared" si="35"/>
        <v>0</v>
      </c>
      <c r="AG22" s="19">
        <f t="shared" si="35"/>
        <v>0</v>
      </c>
      <c r="AH22" s="19">
        <f t="shared" si="35"/>
        <v>0</v>
      </c>
    </row>
    <row r="23" spans="4:34">
      <c r="D23" s="32" t="s">
        <v>179</v>
      </c>
      <c r="E23" s="33" t="e">
        <f>PMT(E20/12,E21*12,-E19)*12</f>
        <v>#NUM!</v>
      </c>
      <c r="I23" s="1" t="s">
        <v>203</v>
      </c>
      <c r="K23" s="20">
        <f>+E21*12</f>
        <v>0</v>
      </c>
      <c r="L23" s="20">
        <f>+K23-1</f>
        <v>-1</v>
      </c>
      <c r="M23" s="20">
        <f t="shared" ref="M23:AH23" si="36">+L23-1</f>
        <v>-2</v>
      </c>
      <c r="N23" s="20">
        <f t="shared" si="36"/>
        <v>-3</v>
      </c>
      <c r="O23" s="20">
        <f t="shared" si="36"/>
        <v>-4</v>
      </c>
      <c r="P23" s="20">
        <f t="shared" si="36"/>
        <v>-5</v>
      </c>
      <c r="Q23" s="20">
        <f t="shared" si="36"/>
        <v>-6</v>
      </c>
      <c r="R23" s="20">
        <f t="shared" si="36"/>
        <v>-7</v>
      </c>
      <c r="S23" s="20">
        <f t="shared" si="36"/>
        <v>-8</v>
      </c>
      <c r="T23" s="20">
        <f t="shared" si="36"/>
        <v>-9</v>
      </c>
      <c r="U23" s="20">
        <f t="shared" si="36"/>
        <v>-10</v>
      </c>
      <c r="V23" s="20">
        <f t="shared" si="36"/>
        <v>-11</v>
      </c>
      <c r="W23" s="20">
        <f t="shared" si="36"/>
        <v>-12</v>
      </c>
      <c r="X23" s="20">
        <f t="shared" si="36"/>
        <v>-13</v>
      </c>
      <c r="Y23" s="20">
        <f t="shared" si="36"/>
        <v>-14</v>
      </c>
      <c r="Z23" s="20">
        <f t="shared" si="36"/>
        <v>-15</v>
      </c>
      <c r="AA23" s="20">
        <f t="shared" si="36"/>
        <v>-16</v>
      </c>
      <c r="AB23" s="20">
        <f t="shared" si="36"/>
        <v>-17</v>
      </c>
      <c r="AC23" s="20">
        <f t="shared" si="36"/>
        <v>-18</v>
      </c>
      <c r="AD23" s="20">
        <f t="shared" si="36"/>
        <v>-19</v>
      </c>
      <c r="AE23" s="20">
        <f t="shared" si="36"/>
        <v>-20</v>
      </c>
      <c r="AF23" s="20">
        <f t="shared" si="36"/>
        <v>-21</v>
      </c>
      <c r="AG23" s="20">
        <f t="shared" si="36"/>
        <v>-22</v>
      </c>
      <c r="AH23" s="20">
        <f t="shared" si="36"/>
        <v>-23</v>
      </c>
    </row>
    <row r="24" spans="4:34">
      <c r="E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</row>
    <row r="27" spans="4:34">
      <c r="K27" s="2">
        <f>+$D$28</f>
        <v>2020</v>
      </c>
      <c r="L27" s="2">
        <f t="shared" ref="L27:V27" si="37">+$D$28</f>
        <v>2020</v>
      </c>
      <c r="M27" s="2">
        <f t="shared" si="37"/>
        <v>2020</v>
      </c>
      <c r="N27" s="2">
        <f t="shared" si="37"/>
        <v>2020</v>
      </c>
      <c r="O27" s="2">
        <f t="shared" si="37"/>
        <v>2020</v>
      </c>
      <c r="P27" s="2">
        <f t="shared" si="37"/>
        <v>2020</v>
      </c>
      <c r="Q27" s="2">
        <f t="shared" si="37"/>
        <v>2020</v>
      </c>
      <c r="R27" s="2">
        <f t="shared" si="37"/>
        <v>2020</v>
      </c>
      <c r="S27" s="2">
        <f t="shared" si="37"/>
        <v>2020</v>
      </c>
      <c r="T27" s="2">
        <f t="shared" si="37"/>
        <v>2020</v>
      </c>
      <c r="U27" s="2">
        <f t="shared" si="37"/>
        <v>2020</v>
      </c>
      <c r="V27" s="2">
        <f t="shared" si="37"/>
        <v>2020</v>
      </c>
    </row>
    <row r="28" spans="4:34">
      <c r="D28" s="118">
        <f>+'Ipotesi di base'!F8</f>
        <v>2020</v>
      </c>
      <c r="E28" s="118"/>
      <c r="I28" s="1" t="s">
        <v>183</v>
      </c>
      <c r="K28" s="1" t="s">
        <v>186</v>
      </c>
      <c r="L28" s="1" t="s">
        <v>187</v>
      </c>
      <c r="M28" s="1" t="s">
        <v>188</v>
      </c>
      <c r="N28" s="1" t="s">
        <v>189</v>
      </c>
      <c r="O28" s="1" t="s">
        <v>190</v>
      </c>
      <c r="P28" s="1" t="s">
        <v>191</v>
      </c>
      <c r="Q28" s="1" t="s">
        <v>192</v>
      </c>
      <c r="R28" s="1" t="s">
        <v>193</v>
      </c>
      <c r="S28" s="1" t="s">
        <v>194</v>
      </c>
      <c r="T28" s="1" t="s">
        <v>195</v>
      </c>
      <c r="U28" s="1" t="s">
        <v>196</v>
      </c>
      <c r="V28" s="1" t="s">
        <v>197</v>
      </c>
    </row>
    <row r="29" spans="4:34">
      <c r="D29" s="13" t="s">
        <v>230</v>
      </c>
      <c r="E29" s="25"/>
      <c r="I29" s="1" t="s">
        <v>184</v>
      </c>
      <c r="K29" s="19">
        <f>+K31-K30</f>
        <v>0</v>
      </c>
      <c r="L29" s="19">
        <f t="shared" ref="L29" si="38">+L31-L30</f>
        <v>0</v>
      </c>
      <c r="M29" s="19">
        <f t="shared" ref="M29" si="39">+M31-M30</f>
        <v>0</v>
      </c>
      <c r="N29" s="19">
        <f t="shared" ref="N29" si="40">+N31-N30</f>
        <v>0</v>
      </c>
      <c r="O29" s="19">
        <f t="shared" ref="O29" si="41">+O31-O30</f>
        <v>0</v>
      </c>
      <c r="P29" s="19">
        <f t="shared" ref="P29" si="42">+P31-P30</f>
        <v>0</v>
      </c>
      <c r="Q29" s="19">
        <f t="shared" ref="Q29" si="43">+Q31-Q30</f>
        <v>0</v>
      </c>
      <c r="R29" s="19">
        <f t="shared" ref="R29" si="44">+R31-R30</f>
        <v>0</v>
      </c>
      <c r="S29" s="19">
        <f t="shared" ref="S29" si="45">+S31-S30</f>
        <v>0</v>
      </c>
      <c r="T29" s="19">
        <f t="shared" ref="T29" si="46">+T31-T30</f>
        <v>0</v>
      </c>
      <c r="U29" s="19">
        <f t="shared" ref="U29" si="47">+U31-U30</f>
        <v>0</v>
      </c>
      <c r="V29" s="19">
        <f t="shared" ref="V29" si="48">+V31-V30</f>
        <v>0</v>
      </c>
    </row>
    <row r="30" spans="4:34">
      <c r="D30" s="13" t="s">
        <v>231</v>
      </c>
      <c r="E30" s="7"/>
      <c r="I30" s="1" t="s">
        <v>185</v>
      </c>
      <c r="K30" s="19">
        <f>+IF(K33&gt;0,IPMT($E$30/12,1,$E$31,-$E$29),0)</f>
        <v>0</v>
      </c>
      <c r="L30" s="19">
        <f>+IF(L33&gt;0,K32*$E$20/12,0)</f>
        <v>0</v>
      </c>
      <c r="M30" s="19">
        <f t="shared" ref="M30:V30" si="49">+IF(M33&gt;0,L32*$E$20/12,0)</f>
        <v>0</v>
      </c>
      <c r="N30" s="19">
        <f t="shared" si="49"/>
        <v>0</v>
      </c>
      <c r="O30" s="19">
        <f t="shared" si="49"/>
        <v>0</v>
      </c>
      <c r="P30" s="19">
        <f t="shared" si="49"/>
        <v>0</v>
      </c>
      <c r="Q30" s="19">
        <f t="shared" si="49"/>
        <v>0</v>
      </c>
      <c r="R30" s="19">
        <f t="shared" si="49"/>
        <v>0</v>
      </c>
      <c r="S30" s="19">
        <f t="shared" si="49"/>
        <v>0</v>
      </c>
      <c r="T30" s="19">
        <f t="shared" si="49"/>
        <v>0</v>
      </c>
      <c r="U30" s="19">
        <f t="shared" si="49"/>
        <v>0</v>
      </c>
      <c r="V30" s="19">
        <f t="shared" si="49"/>
        <v>0</v>
      </c>
    </row>
    <row r="31" spans="4:34">
      <c r="D31" s="13" t="s">
        <v>232</v>
      </c>
      <c r="E31" s="13"/>
      <c r="I31" s="1" t="s">
        <v>178</v>
      </c>
      <c r="K31" s="19">
        <f>+IF(K33&gt;0,PMT($E$30/12,$E$31*12,-$E$29),0)</f>
        <v>0</v>
      </c>
      <c r="L31" s="19">
        <f t="shared" ref="L31:V31" si="50">+IF(L33&gt;0,PMT($E$30/12,$E$31*12,-$E$29),0)</f>
        <v>0</v>
      </c>
      <c r="M31" s="19">
        <f t="shared" si="50"/>
        <v>0</v>
      </c>
      <c r="N31" s="19">
        <f t="shared" si="50"/>
        <v>0</v>
      </c>
      <c r="O31" s="19">
        <f t="shared" si="50"/>
        <v>0</v>
      </c>
      <c r="P31" s="19">
        <f t="shared" si="50"/>
        <v>0</v>
      </c>
      <c r="Q31" s="19">
        <f t="shared" si="50"/>
        <v>0</v>
      </c>
      <c r="R31" s="19">
        <f t="shared" si="50"/>
        <v>0</v>
      </c>
      <c r="S31" s="19">
        <f t="shared" si="50"/>
        <v>0</v>
      </c>
      <c r="T31" s="19">
        <f t="shared" si="50"/>
        <v>0</v>
      </c>
      <c r="U31" s="19">
        <f t="shared" si="50"/>
        <v>0</v>
      </c>
      <c r="V31" s="19">
        <f t="shared" si="50"/>
        <v>0</v>
      </c>
      <c r="W31" s="19"/>
    </row>
    <row r="32" spans="4:34">
      <c r="I32" s="1" t="s">
        <v>198</v>
      </c>
      <c r="K32" s="19">
        <f>+E29-K29</f>
        <v>0</v>
      </c>
      <c r="L32" s="19">
        <f>+K32-L29</f>
        <v>0</v>
      </c>
      <c r="M32" s="19">
        <f t="shared" ref="M32:V32" si="51">+L32-M29</f>
        <v>0</v>
      </c>
      <c r="N32" s="19">
        <f t="shared" si="51"/>
        <v>0</v>
      </c>
      <c r="O32" s="19">
        <f t="shared" si="51"/>
        <v>0</v>
      </c>
      <c r="P32" s="19">
        <f t="shared" si="51"/>
        <v>0</v>
      </c>
      <c r="Q32" s="19">
        <f t="shared" si="51"/>
        <v>0</v>
      </c>
      <c r="R32" s="19">
        <f t="shared" si="51"/>
        <v>0</v>
      </c>
      <c r="S32" s="19">
        <f t="shared" si="51"/>
        <v>0</v>
      </c>
      <c r="T32" s="19">
        <f t="shared" si="51"/>
        <v>0</v>
      </c>
      <c r="U32" s="19">
        <f t="shared" si="51"/>
        <v>0</v>
      </c>
      <c r="V32" s="19">
        <f t="shared" si="51"/>
        <v>0</v>
      </c>
    </row>
    <row r="33" spans="4:22">
      <c r="D33" s="32" t="s">
        <v>179</v>
      </c>
      <c r="E33" s="33" t="e">
        <f>PMT(E30/12,E31*12,-E29)*12</f>
        <v>#NUM!</v>
      </c>
      <c r="I33" s="1" t="s">
        <v>203</v>
      </c>
      <c r="K33" s="20">
        <f>+E31*12</f>
        <v>0</v>
      </c>
      <c r="L33" s="20">
        <f>+K33-1</f>
        <v>-1</v>
      </c>
      <c r="M33" s="20">
        <f t="shared" ref="M33:V33" si="52">+L33-1</f>
        <v>-2</v>
      </c>
      <c r="N33" s="20">
        <f t="shared" si="52"/>
        <v>-3</v>
      </c>
      <c r="O33" s="20">
        <f t="shared" si="52"/>
        <v>-4</v>
      </c>
      <c r="P33" s="20">
        <f t="shared" si="52"/>
        <v>-5</v>
      </c>
      <c r="Q33" s="20">
        <f t="shared" si="52"/>
        <v>-6</v>
      </c>
      <c r="R33" s="20">
        <f t="shared" si="52"/>
        <v>-7</v>
      </c>
      <c r="S33" s="20">
        <f t="shared" si="52"/>
        <v>-8</v>
      </c>
      <c r="T33" s="20">
        <f t="shared" si="52"/>
        <v>-9</v>
      </c>
      <c r="U33" s="20">
        <f t="shared" si="52"/>
        <v>-10</v>
      </c>
      <c r="V33" s="20">
        <f t="shared" si="52"/>
        <v>-11</v>
      </c>
    </row>
    <row r="34" spans="4:22"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8" spans="4:22">
      <c r="I38" s="1" t="s">
        <v>200</v>
      </c>
      <c r="K38" s="1" t="s">
        <v>201</v>
      </c>
      <c r="L38" s="1" t="s">
        <v>202</v>
      </c>
      <c r="M38" s="1" t="s">
        <v>204</v>
      </c>
    </row>
    <row r="39" spans="4:22">
      <c r="I39" s="2">
        <f>+K7</f>
        <v>2018</v>
      </c>
      <c r="K39" s="19">
        <f>+SUM(K9:V9)</f>
        <v>0</v>
      </c>
      <c r="L39" s="19">
        <f>+SUM(K10:V10)</f>
        <v>0</v>
      </c>
      <c r="M39" s="19">
        <f>+V12</f>
        <v>0</v>
      </c>
    </row>
    <row r="40" spans="4:22">
      <c r="I40" s="2">
        <f>+K17</f>
        <v>2019</v>
      </c>
      <c r="K40" s="19">
        <f>+SUM(K19:V19)+SUM(W9:AH9)</f>
        <v>0</v>
      </c>
      <c r="L40" s="19">
        <f>+SUM(K20:V20)+SUM(W10:AH10)</f>
        <v>0</v>
      </c>
      <c r="M40" s="19">
        <f>+V22+AH12</f>
        <v>0</v>
      </c>
    </row>
    <row r="41" spans="4:22">
      <c r="I41" s="2">
        <f>+K27</f>
        <v>2020</v>
      </c>
      <c r="K41" s="19">
        <f>+SUM(K29:V29)+SUM(W19:AH19)+SUM(AI9:AT9)</f>
        <v>0</v>
      </c>
      <c r="L41" s="19">
        <f>+SUM(K30:V30)+SUM(W20:AH20)+SUM(AI10:AT10)</f>
        <v>0</v>
      </c>
      <c r="M41" s="19">
        <f>+AT12+AH22+V32</f>
        <v>0</v>
      </c>
    </row>
  </sheetData>
  <sheetProtection password="9A07" sheet="1" objects="1" scenarios="1"/>
  <protectedRanges>
    <protectedRange sqref="D8:E10 D19:E21 D29:E31" name="Intervallo1"/>
  </protectedRanges>
  <mergeCells count="3">
    <mergeCell ref="D7:E7"/>
    <mergeCell ref="D28:E28"/>
    <mergeCell ref="D18:E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14</vt:i4>
      </vt:variant>
      <vt:variant>
        <vt:lpstr>Grafici</vt:lpstr>
      </vt:variant>
      <vt:variant>
        <vt:i4>1</vt:i4>
      </vt:variant>
    </vt:vector>
  </HeadingPairs>
  <TitlesOfParts>
    <vt:vector size="15" baseType="lpstr">
      <vt:lpstr>Legenda</vt:lpstr>
      <vt:lpstr>Ipotesi di base</vt:lpstr>
      <vt:lpstr>Ricavi</vt:lpstr>
      <vt:lpstr>Altri Ricavi</vt:lpstr>
      <vt:lpstr>Costi</vt:lpstr>
      <vt:lpstr>Costo del lavoro</vt:lpstr>
      <vt:lpstr>Investimenti</vt:lpstr>
      <vt:lpstr>Capitale sociale</vt:lpstr>
      <vt:lpstr>Finanziamenti</vt:lpstr>
      <vt:lpstr>Saldo iva</vt:lpstr>
      <vt:lpstr>CE</vt:lpstr>
      <vt:lpstr>SP</vt:lpstr>
      <vt:lpstr>Rendiconto</vt:lpstr>
      <vt:lpstr>Indici</vt:lpstr>
      <vt:lpstr>Sezione grafica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laurini</dc:creator>
  <cp:lastModifiedBy>Paola Bellotti</cp:lastModifiedBy>
  <cp:lastPrinted>2015-05-22T10:07:29Z</cp:lastPrinted>
  <dcterms:created xsi:type="dcterms:W3CDTF">2014-06-30T13:57:16Z</dcterms:created>
  <dcterms:modified xsi:type="dcterms:W3CDTF">2017-11-17T14:11:25Z</dcterms:modified>
</cp:coreProperties>
</file>