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wnloads/"/>
    </mc:Choice>
  </mc:AlternateContent>
  <xr:revisionPtr revIDLastSave="0" documentId="13_ncr:1_{A611B1FD-BA04-7240-9E3D-480896EF2836}" xr6:coauthVersionLast="47" xr6:coauthVersionMax="47" xr10:uidLastSave="{00000000-0000-0000-0000-000000000000}"/>
  <bookViews>
    <workbookView xWindow="0" yWindow="0" windowWidth="38400" windowHeight="21600" activeTab="1" xr2:uid="{5EE31F9F-B044-458F-B7D2-CD0B5C58CE29}"/>
  </bookViews>
  <sheets>
    <sheet name="I_E" sheetId="1" r:id="rId1"/>
    <sheet name="Helmholtz" sheetId="2" r:id="rId2"/>
  </sheets>
  <definedNames>
    <definedName name="_xlchart.v1.0" hidden="1">Helmholtz!$AA$15:$AA$16</definedName>
    <definedName name="_xlchart.v1.1" hidden="1">Helmholtz!$I$3:$I$42</definedName>
    <definedName name="_xlchart.v1.2" hidden="1">Helmholtz!$K$3:$K$42</definedName>
    <definedName name="_xlchart.v1.3" hidden="1">Helmholtz!$Y$15:$Y$16</definedName>
    <definedName name="_xlchart.v1.4" hidden="1">Helmholtz!$AA$15:$AA$16</definedName>
    <definedName name="_xlchart.v1.5" hidden="1">Helmholtz!$I$3:$I$42</definedName>
    <definedName name="_xlchart.v1.6" hidden="1">Helmholtz!$K$3:$K$42</definedName>
    <definedName name="_xlchart.v1.7" hidden="1">Helmholtz!$Y$15:$Y$16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J3" i="2" s="1"/>
  <c r="K3" i="2"/>
  <c r="L3" i="2"/>
  <c r="L4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13" i="2"/>
  <c r="I4" i="2"/>
  <c r="I5" i="2"/>
  <c r="I6" i="2"/>
  <c r="J6" i="2" s="1"/>
  <c r="I7" i="2"/>
  <c r="J7" i="2" s="1"/>
  <c r="I8" i="2"/>
  <c r="J8" i="2" s="1"/>
  <c r="I9" i="2"/>
  <c r="I10" i="2"/>
  <c r="J10" i="2" s="1"/>
  <c r="I11" i="2"/>
  <c r="I12" i="2"/>
  <c r="I13" i="2"/>
  <c r="I14" i="2"/>
  <c r="J14" i="2" s="1"/>
  <c r="I15" i="2"/>
  <c r="J15" i="2" s="1"/>
  <c r="I16" i="2"/>
  <c r="J16" i="2" s="1"/>
  <c r="I17" i="2"/>
  <c r="I18" i="2"/>
  <c r="J18" i="2" s="1"/>
  <c r="I19" i="2"/>
  <c r="I20" i="2"/>
  <c r="I21" i="2"/>
  <c r="I22" i="2"/>
  <c r="J22" i="2" s="1"/>
  <c r="I23" i="2"/>
  <c r="J23" i="2" s="1"/>
  <c r="I24" i="2"/>
  <c r="J24" i="2" s="1"/>
  <c r="I25" i="2"/>
  <c r="I26" i="2"/>
  <c r="J26" i="2" s="1"/>
  <c r="I27" i="2"/>
  <c r="I28" i="2"/>
  <c r="I29" i="2"/>
  <c r="I30" i="2"/>
  <c r="J30" i="2" s="1"/>
  <c r="I31" i="2"/>
  <c r="I32" i="2"/>
  <c r="J32" i="2" s="1"/>
  <c r="I33" i="2"/>
  <c r="I34" i="2"/>
  <c r="J34" i="2" s="1"/>
  <c r="I35" i="2"/>
  <c r="I36" i="2"/>
  <c r="I37" i="2"/>
  <c r="I38" i="2"/>
  <c r="J38" i="2" s="1"/>
  <c r="I39" i="2"/>
  <c r="I40" i="2"/>
  <c r="J40" i="2" s="1"/>
  <c r="I41" i="2"/>
  <c r="I42" i="2"/>
  <c r="J4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" i="2"/>
  <c r="B3" i="2"/>
  <c r="H3" i="1"/>
  <c r="J8" i="1"/>
  <c r="J9" i="1"/>
  <c r="J10" i="1"/>
  <c r="J14" i="1"/>
  <c r="J15" i="1"/>
  <c r="J22" i="1"/>
  <c r="J23" i="1"/>
  <c r="J24" i="1"/>
  <c r="J25" i="1"/>
  <c r="J26" i="1"/>
  <c r="J38" i="1"/>
  <c r="J39" i="1"/>
  <c r="J40" i="1"/>
  <c r="J46" i="1"/>
  <c r="J47" i="1"/>
  <c r="J48" i="1"/>
  <c r="J49" i="1"/>
  <c r="J50" i="1"/>
  <c r="N5" i="1"/>
  <c r="I14" i="1"/>
  <c r="I15" i="1"/>
  <c r="I16" i="1"/>
  <c r="I22" i="1"/>
  <c r="I23" i="1"/>
  <c r="I24" i="1"/>
  <c r="I25" i="1"/>
  <c r="I26" i="1"/>
  <c r="I30" i="1"/>
  <c r="I38" i="1"/>
  <c r="I39" i="1"/>
  <c r="I40" i="1"/>
  <c r="I41" i="1"/>
  <c r="I46" i="1"/>
  <c r="I47" i="1"/>
  <c r="I48" i="1"/>
  <c r="I49" i="1"/>
  <c r="I50" i="1"/>
  <c r="H4" i="1"/>
  <c r="J4" i="1" s="1"/>
  <c r="H5" i="1"/>
  <c r="J5" i="1" s="1"/>
  <c r="H6" i="1"/>
  <c r="I6" i="1" s="1"/>
  <c r="H7" i="1"/>
  <c r="I7" i="1" s="1"/>
  <c r="H8" i="1"/>
  <c r="I8" i="1" s="1"/>
  <c r="H9" i="1"/>
  <c r="I9" i="1" s="1"/>
  <c r="H10" i="1"/>
  <c r="I10" i="1" s="1"/>
  <c r="H11" i="1"/>
  <c r="J11" i="1" s="1"/>
  <c r="H12" i="1"/>
  <c r="J12" i="1" s="1"/>
  <c r="H13" i="1"/>
  <c r="J13" i="1" s="1"/>
  <c r="H14" i="1"/>
  <c r="H15" i="1"/>
  <c r="H16" i="1"/>
  <c r="J16" i="1" s="1"/>
  <c r="H17" i="1"/>
  <c r="I17" i="1" s="1"/>
  <c r="H18" i="1"/>
  <c r="I18" i="1" s="1"/>
  <c r="H19" i="1"/>
  <c r="J19" i="1" s="1"/>
  <c r="H20" i="1"/>
  <c r="J20" i="1" s="1"/>
  <c r="H21" i="1"/>
  <c r="J21" i="1" s="1"/>
  <c r="H22" i="1"/>
  <c r="H23" i="1"/>
  <c r="H24" i="1"/>
  <c r="H25" i="1"/>
  <c r="H26" i="1"/>
  <c r="H27" i="1"/>
  <c r="J27" i="1" s="1"/>
  <c r="H28" i="1"/>
  <c r="J28" i="1" s="1"/>
  <c r="H29" i="1"/>
  <c r="J29" i="1" s="1"/>
  <c r="H30" i="1"/>
  <c r="J30" i="1" s="1"/>
  <c r="H31" i="1"/>
  <c r="I31" i="1" s="1"/>
  <c r="H32" i="1"/>
  <c r="I32" i="1" s="1"/>
  <c r="H33" i="1"/>
  <c r="I33" i="1" s="1"/>
  <c r="H34" i="1"/>
  <c r="I34" i="1" s="1"/>
  <c r="H35" i="1"/>
  <c r="J35" i="1" s="1"/>
  <c r="H36" i="1"/>
  <c r="J36" i="1" s="1"/>
  <c r="H37" i="1"/>
  <c r="J37" i="1" s="1"/>
  <c r="H38" i="1"/>
  <c r="H39" i="1"/>
  <c r="H40" i="1"/>
  <c r="H41" i="1"/>
  <c r="J41" i="1" s="1"/>
  <c r="H42" i="1"/>
  <c r="I42" i="1" s="1"/>
  <c r="H43" i="1"/>
  <c r="J43" i="1" s="1"/>
  <c r="H44" i="1"/>
  <c r="J44" i="1" s="1"/>
  <c r="H45" i="1"/>
  <c r="J45" i="1" s="1"/>
  <c r="H46" i="1"/>
  <c r="H47" i="1"/>
  <c r="H48" i="1"/>
  <c r="H49" i="1"/>
  <c r="H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J41" i="2" l="1"/>
  <c r="J33" i="2"/>
  <c r="J25" i="2"/>
  <c r="J17" i="2"/>
  <c r="J9" i="2"/>
  <c r="J37" i="2"/>
  <c r="J29" i="2"/>
  <c r="J21" i="2"/>
  <c r="J5" i="2"/>
  <c r="J36" i="2"/>
  <c r="J28" i="2"/>
  <c r="J20" i="2"/>
  <c r="J12" i="2"/>
  <c r="J4" i="2"/>
  <c r="M4" i="2" s="1"/>
  <c r="O4" i="2" s="1"/>
  <c r="J35" i="2"/>
  <c r="J27" i="2"/>
  <c r="J19" i="2"/>
  <c r="J11" i="2"/>
  <c r="L5" i="2"/>
  <c r="J39" i="2"/>
  <c r="J31" i="2"/>
  <c r="J7" i="1"/>
  <c r="J6" i="1"/>
  <c r="J34" i="1"/>
  <c r="J33" i="1"/>
  <c r="J32" i="1"/>
  <c r="J18" i="1"/>
  <c r="J42" i="1"/>
  <c r="J31" i="1"/>
  <c r="J17" i="1"/>
  <c r="I45" i="1"/>
  <c r="I37" i="1"/>
  <c r="I29" i="1"/>
  <c r="I21" i="1"/>
  <c r="I13" i="1"/>
  <c r="I5" i="1"/>
  <c r="I44" i="1"/>
  <c r="I36" i="1"/>
  <c r="I28" i="1"/>
  <c r="I20" i="1"/>
  <c r="I12" i="1"/>
  <c r="I4" i="1"/>
  <c r="I43" i="1"/>
  <c r="I35" i="1"/>
  <c r="I27" i="1"/>
  <c r="I19" i="1"/>
  <c r="I11" i="1"/>
  <c r="H2" i="1"/>
  <c r="J3" i="1"/>
  <c r="I3" i="1"/>
  <c r="E3" i="1"/>
  <c r="P4" i="2" l="1"/>
  <c r="Q4" i="2" s="1"/>
  <c r="R4" i="2"/>
  <c r="S4" i="2"/>
  <c r="M5" i="2"/>
  <c r="O5" i="2" s="1"/>
  <c r="L6" i="2"/>
  <c r="J2" i="1"/>
  <c r="I2" i="1"/>
  <c r="N3" i="1" s="1"/>
  <c r="N7" i="1" s="1"/>
  <c r="R5" i="2" l="1"/>
  <c r="P5" i="2"/>
  <c r="Q5" i="2" s="1"/>
  <c r="S5" i="2"/>
  <c r="L7" i="2"/>
  <c r="M6" i="2"/>
  <c r="O6" i="2" s="1"/>
  <c r="N9" i="1"/>
  <c r="N11" i="1"/>
  <c r="S6" i="2" l="1"/>
  <c r="R6" i="2"/>
  <c r="P6" i="2"/>
  <c r="Q6" i="2" s="1"/>
  <c r="L8" i="2"/>
  <c r="M7" i="2"/>
  <c r="O7" i="2" s="1"/>
  <c r="P7" i="2" l="1"/>
  <c r="Q7" i="2" s="1"/>
  <c r="R7" i="2"/>
  <c r="S7" i="2"/>
  <c r="M8" i="2"/>
  <c r="O8" i="2" s="1"/>
  <c r="L9" i="2"/>
  <c r="S8" i="2" l="1"/>
  <c r="P8" i="2"/>
  <c r="Q8" i="2" s="1"/>
  <c r="R8" i="2"/>
  <c r="M9" i="2"/>
  <c r="O9" i="2" s="1"/>
  <c r="L10" i="2"/>
  <c r="S9" i="2" l="1"/>
  <c r="P9" i="2"/>
  <c r="Q9" i="2" s="1"/>
  <c r="R9" i="2"/>
  <c r="L11" i="2"/>
  <c r="M10" i="2"/>
  <c r="O10" i="2" s="1"/>
  <c r="R10" i="2" l="1"/>
  <c r="P10" i="2"/>
  <c r="Q10" i="2" s="1"/>
  <c r="S10" i="2"/>
  <c r="M11" i="2"/>
  <c r="L12" i="2"/>
  <c r="M3" i="2" l="1"/>
  <c r="O3" i="2" s="1"/>
  <c r="R3" i="2" s="1"/>
  <c r="O11" i="2"/>
  <c r="L13" i="2"/>
  <c r="M12" i="2"/>
  <c r="O12" i="2" s="1"/>
  <c r="P12" i="2" l="1"/>
  <c r="Q12" i="2" s="1"/>
  <c r="R12" i="2"/>
  <c r="S12" i="2"/>
  <c r="P11" i="2"/>
  <c r="Q11" i="2" s="1"/>
  <c r="R11" i="2"/>
  <c r="S11" i="2"/>
  <c r="P3" i="2"/>
  <c r="S3" i="2"/>
  <c r="L14" i="2"/>
  <c r="M13" i="2"/>
  <c r="O13" i="2" s="1"/>
  <c r="R13" i="2" l="1"/>
  <c r="P13" i="2"/>
  <c r="Q13" i="2" s="1"/>
  <c r="S13" i="2"/>
  <c r="Q3" i="2"/>
  <c r="L15" i="2"/>
  <c r="M14" i="2"/>
  <c r="O14" i="2" s="1"/>
  <c r="R14" i="2" l="1"/>
  <c r="P14" i="2"/>
  <c r="Q14" i="2" s="1"/>
  <c r="S14" i="2"/>
  <c r="L16" i="2"/>
  <c r="M15" i="2"/>
  <c r="O15" i="2" s="1"/>
  <c r="P15" i="2" l="1"/>
  <c r="Q15" i="2" s="1"/>
  <c r="R15" i="2"/>
  <c r="S15" i="2"/>
  <c r="L17" i="2"/>
  <c r="M16" i="2"/>
  <c r="O16" i="2" s="1"/>
  <c r="S16" i="2" l="1"/>
  <c r="R16" i="2"/>
  <c r="P16" i="2"/>
  <c r="L18" i="2"/>
  <c r="M17" i="2"/>
  <c r="O17" i="2" s="1"/>
  <c r="S17" i="2" l="1"/>
  <c r="P17" i="2"/>
  <c r="Q17" i="2" s="1"/>
  <c r="R17" i="2"/>
  <c r="Q16" i="2"/>
  <c r="L19" i="2"/>
  <c r="M18" i="2"/>
  <c r="O18" i="2" s="1"/>
  <c r="R18" i="2" l="1"/>
  <c r="P18" i="2"/>
  <c r="S18" i="2"/>
  <c r="L20" i="2"/>
  <c r="M19" i="2"/>
  <c r="O19" i="2" s="1"/>
  <c r="P19" i="2" l="1"/>
  <c r="Q19" i="2" s="1"/>
  <c r="S19" i="2"/>
  <c r="R19" i="2"/>
  <c r="Q18" i="2"/>
  <c r="L21" i="2"/>
  <c r="M20" i="2"/>
  <c r="O20" i="2" s="1"/>
  <c r="P20" i="2" l="1"/>
  <c r="Q20" i="2" s="1"/>
  <c r="R20" i="2"/>
  <c r="S20" i="2"/>
  <c r="L22" i="2"/>
  <c r="M21" i="2"/>
  <c r="O21" i="2" s="1"/>
  <c r="R21" i="2" l="1"/>
  <c r="P21" i="2"/>
  <c r="Q21" i="2" s="1"/>
  <c r="S21" i="2"/>
  <c r="L23" i="2"/>
  <c r="M22" i="2"/>
  <c r="O22" i="2" s="1"/>
  <c r="R22" i="2" l="1"/>
  <c r="S22" i="2"/>
  <c r="P22" i="2"/>
  <c r="Q22" i="2" s="1"/>
  <c r="L24" i="2"/>
  <c r="M23" i="2"/>
  <c r="O23" i="2" s="1"/>
  <c r="P23" i="2" l="1"/>
  <c r="Q23" i="2" s="1"/>
  <c r="S23" i="2"/>
  <c r="R23" i="2"/>
  <c r="L25" i="2"/>
  <c r="M24" i="2"/>
  <c r="O24" i="2" s="1"/>
  <c r="S24" i="2" l="1"/>
  <c r="P24" i="2"/>
  <c r="Q24" i="2" s="1"/>
  <c r="R24" i="2"/>
  <c r="L26" i="2"/>
  <c r="M25" i="2"/>
  <c r="O25" i="2" s="1"/>
  <c r="P25" i="2" l="1"/>
  <c r="Q25" i="2" s="1"/>
  <c r="S25" i="2"/>
  <c r="R25" i="2"/>
  <c r="L27" i="2"/>
  <c r="M26" i="2"/>
  <c r="O26" i="2" s="1"/>
  <c r="R26" i="2" l="1"/>
  <c r="P26" i="2"/>
  <c r="Q26" i="2" s="1"/>
  <c r="S26" i="2"/>
  <c r="L28" i="2"/>
  <c r="M27" i="2"/>
  <c r="O27" i="2" s="1"/>
  <c r="P27" i="2" l="1"/>
  <c r="Q27" i="2" s="1"/>
  <c r="R27" i="2"/>
  <c r="S27" i="2"/>
  <c r="L29" i="2"/>
  <c r="M28" i="2"/>
  <c r="O28" i="2" s="1"/>
  <c r="P28" i="2" l="1"/>
  <c r="Q28" i="2" s="1"/>
  <c r="S28" i="2"/>
  <c r="R28" i="2"/>
  <c r="L30" i="2"/>
  <c r="M29" i="2"/>
  <c r="O29" i="2" s="1"/>
  <c r="R29" i="2" l="1"/>
  <c r="P29" i="2"/>
  <c r="Q29" i="2" s="1"/>
  <c r="S29" i="2"/>
  <c r="L31" i="2"/>
  <c r="M30" i="2"/>
  <c r="O30" i="2" s="1"/>
  <c r="P30" i="2" l="1"/>
  <c r="Q30" i="2" s="1"/>
  <c r="R30" i="2"/>
  <c r="S30" i="2"/>
  <c r="L32" i="2"/>
  <c r="M31" i="2"/>
  <c r="O31" i="2" s="1"/>
  <c r="P31" i="2" l="1"/>
  <c r="Q31" i="2" s="1"/>
  <c r="R31" i="2"/>
  <c r="S31" i="2"/>
  <c r="L33" i="2"/>
  <c r="M32" i="2"/>
  <c r="O32" i="2" s="1"/>
  <c r="S32" i="2" l="1"/>
  <c r="P32" i="2"/>
  <c r="Q32" i="2" s="1"/>
  <c r="R32" i="2"/>
  <c r="L34" i="2"/>
  <c r="M33" i="2"/>
  <c r="O33" i="2" s="1"/>
  <c r="S33" i="2" l="1"/>
  <c r="R33" i="2"/>
  <c r="P33" i="2"/>
  <c r="Q33" i="2" s="1"/>
  <c r="L35" i="2"/>
  <c r="M34" i="2"/>
  <c r="O34" i="2" s="1"/>
  <c r="R34" i="2" l="1"/>
  <c r="P34" i="2"/>
  <c r="Q34" i="2" s="1"/>
  <c r="S34" i="2"/>
  <c r="L36" i="2"/>
  <c r="M35" i="2"/>
  <c r="O35" i="2" s="1"/>
  <c r="P35" i="2" l="1"/>
  <c r="Q35" i="2" s="1"/>
  <c r="R35" i="2"/>
  <c r="S35" i="2"/>
  <c r="L37" i="2"/>
  <c r="M36" i="2"/>
  <c r="O36" i="2" s="1"/>
  <c r="P36" i="2" l="1"/>
  <c r="Q36" i="2" s="1"/>
  <c r="R36" i="2"/>
  <c r="S36" i="2"/>
  <c r="L38" i="2"/>
  <c r="M37" i="2"/>
  <c r="O37" i="2" s="1"/>
  <c r="R37" i="2" l="1"/>
  <c r="P37" i="2"/>
  <c r="Q37" i="2" s="1"/>
  <c r="S37" i="2"/>
  <c r="L39" i="2"/>
  <c r="M38" i="2"/>
  <c r="O38" i="2" s="1"/>
  <c r="R38" i="2" l="1"/>
  <c r="S38" i="2"/>
  <c r="P38" i="2"/>
  <c r="Q38" i="2" s="1"/>
  <c r="L40" i="2"/>
  <c r="M39" i="2"/>
  <c r="O39" i="2" s="1"/>
  <c r="P39" i="2" l="1"/>
  <c r="Q39" i="2" s="1"/>
  <c r="R39" i="2"/>
  <c r="S39" i="2"/>
  <c r="L41" i="2"/>
  <c r="M40" i="2"/>
  <c r="O40" i="2" s="1"/>
  <c r="S40" i="2" l="1"/>
  <c r="P40" i="2"/>
  <c r="Q40" i="2" s="1"/>
  <c r="R40" i="2"/>
  <c r="L42" i="2"/>
  <c r="M42" i="2" s="1"/>
  <c r="O42" i="2" s="1"/>
  <c r="M41" i="2"/>
  <c r="O41" i="2" s="1"/>
  <c r="P41" i="2" l="1"/>
  <c r="Q41" i="2" s="1"/>
  <c r="S41" i="2"/>
  <c r="R41" i="2"/>
  <c r="R42" i="2"/>
  <c r="R1" i="2" s="1"/>
  <c r="W5" i="2" s="1"/>
  <c r="P42" i="2"/>
  <c r="S42" i="2"/>
  <c r="S1" i="2" s="1"/>
  <c r="W6" i="2" s="1"/>
  <c r="O1" i="2"/>
  <c r="W2" i="2" s="1"/>
  <c r="Q42" i="2" l="1"/>
  <c r="Q1" i="2" s="1"/>
  <c r="X3" i="2" s="1"/>
  <c r="P1" i="2"/>
  <c r="X2" i="2" l="1"/>
  <c r="W3" i="2"/>
  <c r="W8" i="2" l="1" a="1"/>
  <c r="W8" i="2" l="1"/>
  <c r="X12" i="2"/>
  <c r="W11" i="2" l="1" a="1"/>
  <c r="X11" i="2"/>
  <c r="W11" i="2" l="1"/>
  <c r="T29" i="2" s="1"/>
  <c r="Z16" i="2"/>
  <c r="AA16" i="2" s="1"/>
  <c r="Z15" i="2"/>
  <c r="AA15" i="2" s="1"/>
  <c r="T25" i="2"/>
  <c r="T28" i="2"/>
  <c r="T30" i="2"/>
  <c r="T10" i="2"/>
  <c r="T17" i="2"/>
  <c r="T26" i="2"/>
  <c r="T37" i="2"/>
  <c r="T3" i="2"/>
  <c r="T18" i="2"/>
  <c r="T27" i="2"/>
  <c r="T38" i="2"/>
  <c r="T4" i="2"/>
  <c r="T12" i="2"/>
  <c r="T19" i="2"/>
  <c r="T31" i="2"/>
  <c r="T39" i="2"/>
  <c r="T5" i="2"/>
  <c r="T11" i="2"/>
  <c r="T20" i="2"/>
  <c r="T32" i="2"/>
  <c r="T40" i="2"/>
  <c r="T6" i="2"/>
  <c r="T13" i="2"/>
  <c r="T21" i="2"/>
  <c r="T33" i="2"/>
  <c r="T7" i="2"/>
  <c r="T14" i="2"/>
  <c r="T22" i="2"/>
  <c r="T34" i="2"/>
  <c r="T15" i="2"/>
  <c r="T23" i="2"/>
  <c r="T9" i="2"/>
  <c r="T41" i="2"/>
  <c r="T8" i="2"/>
  <c r="T35" i="2"/>
  <c r="T24" i="2"/>
  <c r="T42" i="2"/>
  <c r="T16" i="2"/>
  <c r="T36" i="2"/>
  <c r="T1" i="2" l="1"/>
  <c r="W14" i="2" s="1"/>
  <c r="X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<sst xmlns="http://schemas.openxmlformats.org/spreadsheetml/2006/main" count="49" uniqueCount="46">
  <si>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Name</t>
  </si>
  <si>
    <t>Current</t>
  </si>
  <si>
    <t>(mA)</t>
  </si>
  <si>
    <t>Vacc</t>
  </si>
  <si>
    <t>(V)</t>
  </si>
  <si>
    <t>Daniel Araya</t>
  </si>
  <si>
    <t>Ben Clark</t>
  </si>
  <si>
    <t>Katlyn Grimes</t>
  </si>
  <si>
    <t>David Heson</t>
  </si>
  <si>
    <t>Emily Lawson</t>
  </si>
  <si>
    <t>Jayden Ratcliffe</t>
  </si>
  <si>
    <t>Corbin Rochelle</t>
  </si>
  <si>
    <t>Mat Wright</t>
  </si>
  <si>
    <t>Post #</t>
  </si>
  <si>
    <t>d</t>
  </si>
  <si>
    <t>(m)</t>
  </si>
  <si>
    <t>(A)</t>
  </si>
  <si>
    <t>Weight</t>
  </si>
  <si>
    <t>Weight x X</t>
  </si>
  <si>
    <t>Sigma</t>
  </si>
  <si>
    <t>% Sigma</t>
  </si>
  <si>
    <t>Average=</t>
  </si>
  <si>
    <t>DoF=</t>
  </si>
  <si>
    <t>Weight x X^2</t>
  </si>
  <si>
    <t>Red Chi=</t>
  </si>
  <si>
    <t>Scale=</t>
  </si>
  <si>
    <t xml:space="preserve">Uncertainty= </t>
  </si>
  <si>
    <t>Sigma Vacc</t>
  </si>
  <si>
    <t>Sigma d</t>
  </si>
  <si>
    <t>Sigma I</t>
  </si>
  <si>
    <t>x</t>
  </si>
  <si>
    <t>Sigma x</t>
  </si>
  <si>
    <t>y</t>
  </si>
  <si>
    <t>Sigma y</t>
  </si>
  <si>
    <t>Sigma All</t>
  </si>
  <si>
    <t>Chi^2</t>
  </si>
  <si>
    <t>alpha:</t>
  </si>
  <si>
    <t>beta:</t>
  </si>
  <si>
    <t>epsilon:</t>
  </si>
  <si>
    <t>fit:</t>
  </si>
  <si>
    <t>Red Chi^2</t>
  </si>
  <si>
    <t>w</t>
  </si>
  <si>
    <t>wx</t>
  </si>
  <si>
    <t>wx^2</t>
  </si>
  <si>
    <t>wy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</si>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</sst>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Helmholtz!$I$3:$I$42</c:f>
              <c:numCache>
                <c:formatCode>General</c:formatCode>
                <c:ptCount val="40"/>
                <c:pt idx="0">
                  <c:v>239.63023387384783</c:v>
                </c:pt>
                <c:pt idx="1">
                  <c:v>200.36179554871404</c:v>
                </c:pt>
                <c:pt idx="2">
                  <c:v>172.15121014440507</c:v>
                </c:pt>
                <c:pt idx="3">
                  <c:v>150.75766169927513</c:v>
                </c:pt>
                <c:pt idx="4">
                  <c:v>134.55839822378977</c:v>
                </c:pt>
                <c:pt idx="5">
                  <c:v>183.1940277994037</c:v>
                </c:pt>
                <c:pt idx="6">
                  <c:v>153.17384517937236</c:v>
                </c:pt>
                <c:pt idx="7">
                  <c:v>131.60723948338534</c:v>
                </c:pt>
                <c:pt idx="8">
                  <c:v>115.25216506214912</c:v>
                </c:pt>
                <c:pt idx="9">
                  <c:v>102.86805027210882</c:v>
                </c:pt>
                <c:pt idx="10">
                  <c:v>228.8325806056788</c:v>
                </c:pt>
                <c:pt idx="11">
                  <c:v>191.33356417094174</c:v>
                </c:pt>
                <c:pt idx="12">
                  <c:v>164.39413773002201</c:v>
                </c:pt>
                <c:pt idx="13">
                  <c:v>143.96457498299014</c:v>
                </c:pt>
                <c:pt idx="14">
                  <c:v>128.49524456887335</c:v>
                </c:pt>
                <c:pt idx="15">
                  <c:v>219.15753674168806</c:v>
                </c:pt>
                <c:pt idx="16">
                  <c:v>183.24397910788886</c:v>
                </c:pt>
                <c:pt idx="17">
                  <c:v>157.44355189425039</c:v>
                </c:pt>
                <c:pt idx="18">
                  <c:v>137.87775127049889</c:v>
                </c:pt>
                <c:pt idx="19">
                  <c:v>123.06246430555794</c:v>
                </c:pt>
                <c:pt idx="20">
                  <c:v>189.93396842303008</c:v>
                </c:pt>
                <c:pt idx="21">
                  <c:v>158.80930521048191</c:v>
                </c:pt>
                <c:pt idx="22">
                  <c:v>136.4492367384961</c:v>
                </c:pt>
                <c:pt idx="23">
                  <c:v>119.49243838652767</c:v>
                </c:pt>
                <c:pt idx="24">
                  <c:v>106.6526963068661</c:v>
                </c:pt>
                <c:pt idx="25">
                  <c:v>166.55231559545732</c:v>
                </c:pt>
                <c:pt idx="26">
                  <c:v>139.25922645916947</c:v>
                </c:pt>
                <c:pt idx="27">
                  <c:v>119.65177439673651</c:v>
                </c:pt>
                <c:pt idx="28">
                  <c:v>104.78242767558869</c:v>
                </c:pt>
                <c:pt idx="29">
                  <c:v>93.523310663653675</c:v>
                </c:pt>
                <c:pt idx="30">
                  <c:v>204.47385277841835</c:v>
                </c:pt>
                <c:pt idx="31">
                  <c:v>170.96652464569686</c:v>
                </c:pt>
                <c:pt idx="32">
                  <c:v>146.8947412421453</c:v>
                </c:pt>
                <c:pt idx="33">
                  <c:v>128.63986077710203</c:v>
                </c:pt>
                <c:pt idx="34">
                  <c:v>114.81720675945847</c:v>
                </c:pt>
                <c:pt idx="35">
                  <c:v>144.93033187498639</c:v>
                </c:pt>
                <c:pt idx="36">
                  <c:v>121.18045813547249</c:v>
                </c:pt>
                <c:pt idx="37">
                  <c:v>104.11846458424742</c:v>
                </c:pt>
                <c:pt idx="38">
                  <c:v>91.179470927175899</c:v>
                </c:pt>
                <c:pt idx="39">
                  <c:v>81.382023444533075</c:v>
                </c:pt>
              </c:numCache>
            </c:numRef>
          </c:xVal>
          <c:yVal>
            <c:numRef>
              <c:f>Helmholtz!$K$3:$K$42</c:f>
              <c:numCache>
                <c:formatCode>0.00</c:formatCode>
                <c:ptCount val="40"/>
                <c:pt idx="0">
                  <c:v>4.34</c:v>
                </c:pt>
                <c:pt idx="1">
                  <c:v>3.68</c:v>
                </c:pt>
                <c:pt idx="2">
                  <c:v>3.18</c:v>
                </c:pt>
                <c:pt idx="3">
                  <c:v>2.8</c:v>
                </c:pt>
                <c:pt idx="4">
                  <c:v>2.5299999999999998</c:v>
                </c:pt>
                <c:pt idx="5">
                  <c:v>3.33</c:v>
                </c:pt>
                <c:pt idx="6">
                  <c:v>2.82</c:v>
                </c:pt>
                <c:pt idx="7">
                  <c:v>2.46</c:v>
                </c:pt>
                <c:pt idx="8">
                  <c:v>2.1800000000000002</c:v>
                </c:pt>
                <c:pt idx="9">
                  <c:v>1.97</c:v>
                </c:pt>
                <c:pt idx="10">
                  <c:v>4.1100000000000003</c:v>
                </c:pt>
                <c:pt idx="11">
                  <c:v>3.49</c:v>
                </c:pt>
                <c:pt idx="12">
                  <c:v>3.05</c:v>
                </c:pt>
                <c:pt idx="13">
                  <c:v>2.68</c:v>
                </c:pt>
                <c:pt idx="14">
                  <c:v>2.41</c:v>
                </c:pt>
                <c:pt idx="15">
                  <c:v>3.96</c:v>
                </c:pt>
                <c:pt idx="16">
                  <c:v>3.37</c:v>
                </c:pt>
                <c:pt idx="17">
                  <c:v>2.92</c:v>
                </c:pt>
                <c:pt idx="18">
                  <c:v>2.59</c:v>
                </c:pt>
                <c:pt idx="19">
                  <c:v>2.33</c:v>
                </c:pt>
                <c:pt idx="20">
                  <c:v>3.44</c:v>
                </c:pt>
                <c:pt idx="21">
                  <c:v>2.94</c:v>
                </c:pt>
                <c:pt idx="22">
                  <c:v>2.5499999999999998</c:v>
                </c:pt>
                <c:pt idx="23">
                  <c:v>2.25</c:v>
                </c:pt>
                <c:pt idx="24">
                  <c:v>2.04</c:v>
                </c:pt>
                <c:pt idx="25">
                  <c:v>3.07</c:v>
                </c:pt>
                <c:pt idx="26" formatCode="0.00E+00">
                  <c:v>2.6</c:v>
                </c:pt>
                <c:pt idx="27">
                  <c:v>2.25</c:v>
                </c:pt>
                <c:pt idx="28">
                  <c:v>2.0099999999999998</c:v>
                </c:pt>
                <c:pt idx="29">
                  <c:v>1.8</c:v>
                </c:pt>
                <c:pt idx="30">
                  <c:v>3.78</c:v>
                </c:pt>
                <c:pt idx="31">
                  <c:v>3.15</c:v>
                </c:pt>
                <c:pt idx="32">
                  <c:v>2.74</c:v>
                </c:pt>
                <c:pt idx="33">
                  <c:v>2.41</c:v>
                </c:pt>
                <c:pt idx="34">
                  <c:v>2.1800000000000002</c:v>
                </c:pt>
                <c:pt idx="35">
                  <c:v>2.63</c:v>
                </c:pt>
                <c:pt idx="36">
                  <c:v>2.23</c:v>
                </c:pt>
                <c:pt idx="37">
                  <c:v>1.96</c:v>
                </c:pt>
                <c:pt idx="38">
                  <c:v>1.75</c:v>
                </c:pt>
                <c:pt idx="3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9-3A4D-B5B4-F0C22D725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8-CA46-9630-F238DC6D6C92}"/>
              </c:ext>
            </c:extLst>
          </c:dPt>
          <c:xVal>
            <c:numRef>
              <c:f>Helmholtz!$Y$15:$Y$16</c:f>
              <c:numCache>
                <c:formatCode>General</c:formatCode>
                <c:ptCount val="2"/>
                <c:pt idx="0">
                  <c:v>80</c:v>
                </c:pt>
                <c:pt idx="1">
                  <c:v>250</c:v>
                </c:pt>
              </c:numCache>
            </c:numRef>
          </c:xVal>
          <c:yVal>
            <c:numRef>
              <c:f>Helmholtz!$AA$15:$AA$16</c:f>
              <c:numCache>
                <c:formatCode>0.00E+00</c:formatCode>
                <c:ptCount val="2"/>
                <c:pt idx="0">
                  <c:v>1.5644125736119081</c:v>
                </c:pt>
                <c:pt idx="1">
                  <c:v>4.5164820508793539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9-3A4D-B5B4-F0C22D72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08047"/>
        <c:axId val="1996753039"/>
      </c:scatterChart>
      <c:valAx>
        <c:axId val="199710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Sqrt(d)</a:t>
                </a:r>
                <a:r>
                  <a:rPr lang="en-US" baseline="0"/>
                  <a:t> [Sqrt(m)]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53039"/>
        <c:crosses val="autoZero"/>
        <c:crossBetween val="midCat"/>
      </c:valAx>
      <c:valAx>
        <c:axId val="199675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522112</xdr:colOff>
      <xdr:row>21</xdr:row>
      <xdr:rowOff>3</xdr:rowOff>
    </xdr:from>
    <xdr:to>
      <xdr:col>35</xdr:col>
      <xdr:colOff>239889</xdr:colOff>
      <xdr:row>51</xdr:row>
      <xdr:rowOff>84671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BC43-D4F2-AA44-8FCF-7B91CB66B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1B30-2B79-4FC8-B8D6-5B8F44811649}">
  <sheetPr>
    <tabColor rgb="FFFFC000"/>
  </sheetPr>
  <dimension ref="A1:N5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16.6640625" customWidth="1"/>
    <col min="2" max="2" width="11.83203125" style="6" customWidth="1"/>
    <col min="3" max="3" width="10.33203125" customWidth="1"/>
    <col min="6" max="6" width="9.1640625" bestFit="1" customWidth="1"/>
    <col min="10" max="10" width="11" bestFit="1" customWidth="1"/>
    <col min="13" max="13" width="11.33203125" bestFit="1" customWidth="1"/>
  </cols>
  <sheetData>
    <row r="1" spans="1:14" x14ac:dyDescent="0.2">
      <c r="B1" s="5" t="s">
        <v>3</v>
      </c>
      <c r="C1" s="1" t="s">
        <v>1</v>
      </c>
      <c r="D1" t="s">
        <v>19</v>
      </c>
      <c r="E1" t="s">
        <v>20</v>
      </c>
      <c r="H1" t="s">
        <v>17</v>
      </c>
      <c r="I1" t="s">
        <v>18</v>
      </c>
      <c r="J1" t="s">
        <v>23</v>
      </c>
    </row>
    <row r="2" spans="1:14" x14ac:dyDescent="0.2">
      <c r="A2" t="s">
        <v>0</v>
      </c>
      <c r="B2" s="5" t="s">
        <v>4</v>
      </c>
      <c r="C2" s="1" t="s">
        <v>2</v>
      </c>
      <c r="H2">
        <f>SUM(H3:H50)</f>
        <v>48</v>
      </c>
      <c r="I2">
        <f>SUM(I3:I50)</f>
        <v>10.057999999999998</v>
      </c>
      <c r="J2">
        <f>SUM(J3:J50)</f>
        <v>2.2962239999999992</v>
      </c>
    </row>
    <row r="3" spans="1:14" x14ac:dyDescent="0.2">
      <c r="A3" t="s">
        <v>5</v>
      </c>
      <c r="B3" s="6">
        <v>30.44</v>
      </c>
      <c r="C3" s="9">
        <v>0.246</v>
      </c>
      <c r="D3">
        <v>1</v>
      </c>
      <c r="E3">
        <f>D3/C3</f>
        <v>4.0650406504065044</v>
      </c>
      <c r="H3">
        <f>1/D3^2</f>
        <v>1</v>
      </c>
      <c r="I3">
        <f>H3*C3</f>
        <v>0.246</v>
      </c>
      <c r="J3">
        <f>H3*C3^2</f>
        <v>6.0516E-2</v>
      </c>
      <c r="M3" t="s">
        <v>21</v>
      </c>
      <c r="N3">
        <f>I2/H2</f>
        <v>0.20954166666666663</v>
      </c>
    </row>
    <row r="4" spans="1:14" x14ac:dyDescent="0.2">
      <c r="C4" s="9">
        <v>0.19800000000000001</v>
      </c>
      <c r="D4">
        <v>1</v>
      </c>
      <c r="E4">
        <f t="shared" ref="E4:E50" si="0">D4/C4</f>
        <v>5.0505050505050502</v>
      </c>
      <c r="H4">
        <f t="shared" ref="H4:H50" si="1">1/D4^2</f>
        <v>1</v>
      </c>
      <c r="I4">
        <f t="shared" ref="I4:I50" si="2">H4*C4</f>
        <v>0.19800000000000001</v>
      </c>
      <c r="J4">
        <f t="shared" ref="J4:J50" si="3">H4*C4^2</f>
        <v>3.9204000000000003E-2</v>
      </c>
    </row>
    <row r="5" spans="1:14" x14ac:dyDescent="0.2">
      <c r="C5" s="9">
        <v>0.24399999999999999</v>
      </c>
      <c r="D5">
        <v>1</v>
      </c>
      <c r="E5">
        <f t="shared" si="0"/>
        <v>4.0983606557377046</v>
      </c>
      <c r="H5">
        <f t="shared" si="1"/>
        <v>1</v>
      </c>
      <c r="I5">
        <f t="shared" si="2"/>
        <v>0.24399999999999999</v>
      </c>
      <c r="J5">
        <f t="shared" si="3"/>
        <v>5.9535999999999999E-2</v>
      </c>
      <c r="M5" t="s">
        <v>22</v>
      </c>
      <c r="N5" s="9">
        <f>COUNT(C3:C50)-1</f>
        <v>47</v>
      </c>
    </row>
    <row r="6" spans="1:14" x14ac:dyDescent="0.2">
      <c r="C6" s="9">
        <v>0.23400000000000001</v>
      </c>
      <c r="D6">
        <v>1</v>
      </c>
      <c r="E6">
        <f t="shared" si="0"/>
        <v>4.2735042735042734</v>
      </c>
      <c r="H6">
        <f t="shared" si="1"/>
        <v>1</v>
      </c>
      <c r="I6">
        <f t="shared" si="2"/>
        <v>0.23400000000000001</v>
      </c>
      <c r="J6">
        <f t="shared" si="3"/>
        <v>5.4756000000000006E-2</v>
      </c>
    </row>
    <row r="7" spans="1:14" x14ac:dyDescent="0.2">
      <c r="C7" s="9">
        <v>0.23899999999999999</v>
      </c>
      <c r="D7">
        <v>1</v>
      </c>
      <c r="E7">
        <f t="shared" si="0"/>
        <v>4.1841004184100417</v>
      </c>
      <c r="H7">
        <f t="shared" si="1"/>
        <v>1</v>
      </c>
      <c r="I7">
        <f t="shared" si="2"/>
        <v>0.23899999999999999</v>
      </c>
      <c r="J7">
        <f t="shared" si="3"/>
        <v>5.7120999999999998E-2</v>
      </c>
      <c r="M7" t="s">
        <v>24</v>
      </c>
      <c r="N7">
        <f>(J2-N3^2*H2)/N5</f>
        <v>4.0139131205673825E-3</v>
      </c>
    </row>
    <row r="8" spans="1:14" x14ac:dyDescent="0.2">
      <c r="C8" s="9">
        <v>0.222</v>
      </c>
      <c r="D8">
        <v>1</v>
      </c>
      <c r="E8">
        <f t="shared" si="0"/>
        <v>4.5045045045045047</v>
      </c>
      <c r="H8">
        <f t="shared" si="1"/>
        <v>1</v>
      </c>
      <c r="I8">
        <f t="shared" si="2"/>
        <v>0.222</v>
      </c>
      <c r="J8">
        <f t="shared" si="3"/>
        <v>4.9284000000000001E-2</v>
      </c>
    </row>
    <row r="9" spans="1:14" x14ac:dyDescent="0.2">
      <c r="A9" t="s">
        <v>6</v>
      </c>
      <c r="B9" s="6">
        <v>24.53</v>
      </c>
      <c r="C9" s="9">
        <v>0.10299999999999999</v>
      </c>
      <c r="D9">
        <v>1</v>
      </c>
      <c r="E9">
        <f t="shared" si="0"/>
        <v>9.7087378640776709</v>
      </c>
      <c r="H9">
        <f t="shared" si="1"/>
        <v>1</v>
      </c>
      <c r="I9">
        <f t="shared" si="2"/>
        <v>0.10299999999999999</v>
      </c>
      <c r="J9">
        <f t="shared" si="3"/>
        <v>1.0608999999999999E-2</v>
      </c>
      <c r="M9" t="s">
        <v>25</v>
      </c>
      <c r="N9">
        <f>SQRT(N7)</f>
        <v>6.3355450598724203E-2</v>
      </c>
    </row>
    <row r="10" spans="1:14" x14ac:dyDescent="0.2">
      <c r="C10" s="9">
        <v>0.11799999999999999</v>
      </c>
      <c r="D10">
        <v>1</v>
      </c>
      <c r="E10">
        <f t="shared" si="0"/>
        <v>8.4745762711864412</v>
      </c>
      <c r="H10">
        <f t="shared" si="1"/>
        <v>1</v>
      </c>
      <c r="I10">
        <f t="shared" si="2"/>
        <v>0.11799999999999999</v>
      </c>
      <c r="J10">
        <f t="shared" si="3"/>
        <v>1.3923999999999999E-2</v>
      </c>
    </row>
    <row r="11" spans="1:14" x14ac:dyDescent="0.2">
      <c r="C11" s="9">
        <v>0.157</v>
      </c>
      <c r="D11">
        <v>1</v>
      </c>
      <c r="E11">
        <f t="shared" si="0"/>
        <v>6.369426751592357</v>
      </c>
      <c r="H11">
        <f t="shared" si="1"/>
        <v>1</v>
      </c>
      <c r="I11">
        <f t="shared" si="2"/>
        <v>0.157</v>
      </c>
      <c r="J11">
        <f t="shared" si="3"/>
        <v>2.4649000000000001E-2</v>
      </c>
      <c r="M11" t="s">
        <v>26</v>
      </c>
      <c r="N11">
        <f>SQRT(N7/H2)</f>
        <v>9.1445716144508641E-3</v>
      </c>
    </row>
    <row r="12" spans="1:14" x14ac:dyDescent="0.2">
      <c r="C12" s="9">
        <v>0.151</v>
      </c>
      <c r="D12">
        <v>1</v>
      </c>
      <c r="E12">
        <f t="shared" si="0"/>
        <v>6.6225165562913908</v>
      </c>
      <c r="H12">
        <f t="shared" si="1"/>
        <v>1</v>
      </c>
      <c r="I12">
        <f t="shared" si="2"/>
        <v>0.151</v>
      </c>
      <c r="J12">
        <f t="shared" si="3"/>
        <v>2.2800999999999998E-2</v>
      </c>
    </row>
    <row r="13" spans="1:14" x14ac:dyDescent="0.2">
      <c r="C13" s="9">
        <v>0.155</v>
      </c>
      <c r="D13">
        <v>1</v>
      </c>
      <c r="E13">
        <f t="shared" si="0"/>
        <v>6.4516129032258069</v>
      </c>
      <c r="H13">
        <f t="shared" si="1"/>
        <v>1</v>
      </c>
      <c r="I13">
        <f t="shared" si="2"/>
        <v>0.155</v>
      </c>
      <c r="J13">
        <f t="shared" si="3"/>
        <v>2.4025000000000001E-2</v>
      </c>
    </row>
    <row r="14" spans="1:14" x14ac:dyDescent="0.2">
      <c r="C14" s="9">
        <v>0.17599999999999999</v>
      </c>
      <c r="D14">
        <v>1</v>
      </c>
      <c r="E14">
        <f t="shared" si="0"/>
        <v>5.6818181818181825</v>
      </c>
      <c r="H14">
        <f t="shared" si="1"/>
        <v>1</v>
      </c>
      <c r="I14">
        <f t="shared" si="2"/>
        <v>0.17599999999999999</v>
      </c>
      <c r="J14">
        <f t="shared" si="3"/>
        <v>3.0975999999999997E-2</v>
      </c>
    </row>
    <row r="15" spans="1:14" x14ac:dyDescent="0.2">
      <c r="A15" t="s">
        <v>7</v>
      </c>
      <c r="B15" s="6">
        <v>45.42</v>
      </c>
      <c r="C15" s="9">
        <v>0.20499999999999999</v>
      </c>
      <c r="D15">
        <v>1</v>
      </c>
      <c r="E15">
        <f t="shared" si="0"/>
        <v>4.8780487804878048</v>
      </c>
      <c r="H15">
        <f t="shared" si="1"/>
        <v>1</v>
      </c>
      <c r="I15">
        <f t="shared" si="2"/>
        <v>0.20499999999999999</v>
      </c>
      <c r="J15">
        <f t="shared" si="3"/>
        <v>4.2024999999999993E-2</v>
      </c>
    </row>
    <row r="16" spans="1:14" x14ac:dyDescent="0.2">
      <c r="C16" s="9">
        <v>0.19400000000000001</v>
      </c>
      <c r="D16">
        <v>1</v>
      </c>
      <c r="E16">
        <f t="shared" si="0"/>
        <v>5.1546391752577314</v>
      </c>
      <c r="H16">
        <f t="shared" si="1"/>
        <v>1</v>
      </c>
      <c r="I16">
        <f t="shared" si="2"/>
        <v>0.19400000000000001</v>
      </c>
      <c r="J16">
        <f t="shared" si="3"/>
        <v>3.7636000000000003E-2</v>
      </c>
    </row>
    <row r="17" spans="1:10" x14ac:dyDescent="0.2">
      <c r="C17" s="9">
        <v>0.16800000000000001</v>
      </c>
      <c r="D17">
        <v>1</v>
      </c>
      <c r="E17">
        <f t="shared" si="0"/>
        <v>5.9523809523809517</v>
      </c>
      <c r="H17">
        <f t="shared" si="1"/>
        <v>1</v>
      </c>
      <c r="I17">
        <f t="shared" si="2"/>
        <v>0.16800000000000001</v>
      </c>
      <c r="J17">
        <f t="shared" si="3"/>
        <v>2.8224000000000003E-2</v>
      </c>
    </row>
    <row r="18" spans="1:10" x14ac:dyDescent="0.2">
      <c r="C18" s="9">
        <v>0.185</v>
      </c>
      <c r="D18">
        <v>1</v>
      </c>
      <c r="E18">
        <f t="shared" si="0"/>
        <v>5.4054054054054053</v>
      </c>
      <c r="H18">
        <f t="shared" si="1"/>
        <v>1</v>
      </c>
      <c r="I18">
        <f t="shared" si="2"/>
        <v>0.185</v>
      </c>
      <c r="J18">
        <f t="shared" si="3"/>
        <v>3.4224999999999998E-2</v>
      </c>
    </row>
    <row r="19" spans="1:10" x14ac:dyDescent="0.2">
      <c r="C19" s="9">
        <v>0.217</v>
      </c>
      <c r="D19">
        <v>1</v>
      </c>
      <c r="E19">
        <f t="shared" si="0"/>
        <v>4.6082949308755765</v>
      </c>
      <c r="H19">
        <f t="shared" si="1"/>
        <v>1</v>
      </c>
      <c r="I19">
        <f t="shared" si="2"/>
        <v>0.217</v>
      </c>
      <c r="J19">
        <f t="shared" si="3"/>
        <v>4.7088999999999999E-2</v>
      </c>
    </row>
    <row r="20" spans="1:10" x14ac:dyDescent="0.2">
      <c r="C20" s="9">
        <v>0.185</v>
      </c>
      <c r="D20">
        <v>1</v>
      </c>
      <c r="E20">
        <f t="shared" si="0"/>
        <v>5.4054054054054053</v>
      </c>
      <c r="H20">
        <f t="shared" si="1"/>
        <v>1</v>
      </c>
      <c r="I20">
        <f t="shared" si="2"/>
        <v>0.185</v>
      </c>
      <c r="J20">
        <f t="shared" si="3"/>
        <v>3.4224999999999998E-2</v>
      </c>
    </row>
    <row r="21" spans="1:10" x14ac:dyDescent="0.2">
      <c r="A21" t="s">
        <v>8</v>
      </c>
      <c r="B21" s="6">
        <v>50.02</v>
      </c>
      <c r="C21" s="9">
        <v>0.19700000000000001</v>
      </c>
      <c r="D21">
        <v>1</v>
      </c>
      <c r="E21">
        <f t="shared" si="0"/>
        <v>5.0761421319796955</v>
      </c>
      <c r="H21">
        <f t="shared" si="1"/>
        <v>1</v>
      </c>
      <c r="I21">
        <f t="shared" si="2"/>
        <v>0.19700000000000001</v>
      </c>
      <c r="J21">
        <f t="shared" si="3"/>
        <v>3.8809000000000003E-2</v>
      </c>
    </row>
    <row r="22" spans="1:10" x14ac:dyDescent="0.2">
      <c r="C22" s="9">
        <v>0.20100000000000001</v>
      </c>
      <c r="D22">
        <v>1</v>
      </c>
      <c r="E22">
        <f t="shared" si="0"/>
        <v>4.9751243781094523</v>
      </c>
      <c r="H22">
        <f t="shared" si="1"/>
        <v>1</v>
      </c>
      <c r="I22">
        <f t="shared" si="2"/>
        <v>0.20100000000000001</v>
      </c>
      <c r="J22">
        <f t="shared" si="3"/>
        <v>4.0401000000000006E-2</v>
      </c>
    </row>
    <row r="23" spans="1:10" x14ac:dyDescent="0.2">
      <c r="C23" s="9">
        <v>0.21299999999999999</v>
      </c>
      <c r="D23">
        <v>1</v>
      </c>
      <c r="E23">
        <f t="shared" si="0"/>
        <v>4.694835680751174</v>
      </c>
      <c r="H23">
        <f t="shared" si="1"/>
        <v>1</v>
      </c>
      <c r="I23">
        <f t="shared" si="2"/>
        <v>0.21299999999999999</v>
      </c>
      <c r="J23">
        <f t="shared" si="3"/>
        <v>4.5369E-2</v>
      </c>
    </row>
    <row r="24" spans="1:10" x14ac:dyDescent="0.2">
      <c r="C24" s="9">
        <v>0.21199999999999999</v>
      </c>
      <c r="D24">
        <v>1</v>
      </c>
      <c r="E24">
        <f t="shared" si="0"/>
        <v>4.716981132075472</v>
      </c>
      <c r="H24">
        <f t="shared" si="1"/>
        <v>1</v>
      </c>
      <c r="I24">
        <f t="shared" si="2"/>
        <v>0.21199999999999999</v>
      </c>
      <c r="J24">
        <f t="shared" si="3"/>
        <v>4.4943999999999998E-2</v>
      </c>
    </row>
    <row r="25" spans="1:10" x14ac:dyDescent="0.2">
      <c r="C25" s="9">
        <v>0.20399999999999999</v>
      </c>
      <c r="D25">
        <v>1</v>
      </c>
      <c r="E25">
        <f t="shared" si="0"/>
        <v>4.9019607843137258</v>
      </c>
      <c r="H25">
        <f t="shared" si="1"/>
        <v>1</v>
      </c>
      <c r="I25">
        <f t="shared" si="2"/>
        <v>0.20399999999999999</v>
      </c>
      <c r="J25">
        <f t="shared" si="3"/>
        <v>4.1615999999999993E-2</v>
      </c>
    </row>
    <row r="26" spans="1:10" x14ac:dyDescent="0.2">
      <c r="C26" s="9">
        <v>0.191</v>
      </c>
      <c r="D26">
        <v>1</v>
      </c>
      <c r="E26">
        <f t="shared" si="0"/>
        <v>5.2356020942408374</v>
      </c>
      <c r="H26">
        <f t="shared" si="1"/>
        <v>1</v>
      </c>
      <c r="I26">
        <f t="shared" si="2"/>
        <v>0.191</v>
      </c>
      <c r="J26">
        <f t="shared" si="3"/>
        <v>3.6481E-2</v>
      </c>
    </row>
    <row r="27" spans="1:10" x14ac:dyDescent="0.2">
      <c r="A27" t="s">
        <v>9</v>
      </c>
      <c r="B27" s="6">
        <v>40.06</v>
      </c>
      <c r="C27" s="9">
        <v>0.26800000000000002</v>
      </c>
      <c r="D27">
        <v>1</v>
      </c>
      <c r="E27">
        <f t="shared" si="0"/>
        <v>3.7313432835820892</v>
      </c>
      <c r="H27">
        <f t="shared" si="1"/>
        <v>1</v>
      </c>
      <c r="I27">
        <f t="shared" si="2"/>
        <v>0.26800000000000002</v>
      </c>
      <c r="J27">
        <f t="shared" si="3"/>
        <v>7.1824000000000013E-2</v>
      </c>
    </row>
    <row r="28" spans="1:10" x14ac:dyDescent="0.2">
      <c r="C28" s="9">
        <v>0.23499999999999999</v>
      </c>
      <c r="D28">
        <v>1</v>
      </c>
      <c r="E28">
        <f t="shared" si="0"/>
        <v>4.2553191489361701</v>
      </c>
      <c r="H28">
        <f t="shared" si="1"/>
        <v>1</v>
      </c>
      <c r="I28">
        <f t="shared" si="2"/>
        <v>0.23499999999999999</v>
      </c>
      <c r="J28">
        <f t="shared" si="3"/>
        <v>5.5224999999999996E-2</v>
      </c>
    </row>
    <row r="29" spans="1:10" x14ac:dyDescent="0.2">
      <c r="C29" s="9">
        <v>0.26300000000000001</v>
      </c>
      <c r="D29">
        <v>1</v>
      </c>
      <c r="E29">
        <f t="shared" si="0"/>
        <v>3.8022813688212924</v>
      </c>
      <c r="H29">
        <f t="shared" si="1"/>
        <v>1</v>
      </c>
      <c r="I29">
        <f t="shared" si="2"/>
        <v>0.26300000000000001</v>
      </c>
      <c r="J29">
        <f t="shared" si="3"/>
        <v>6.9169000000000008E-2</v>
      </c>
    </row>
    <row r="30" spans="1:10" x14ac:dyDescent="0.2">
      <c r="C30" s="9">
        <v>0.27</v>
      </c>
      <c r="D30">
        <v>1</v>
      </c>
      <c r="E30">
        <f t="shared" si="0"/>
        <v>3.7037037037037033</v>
      </c>
      <c r="H30">
        <f t="shared" si="1"/>
        <v>1</v>
      </c>
      <c r="I30">
        <f t="shared" si="2"/>
        <v>0.27</v>
      </c>
      <c r="J30">
        <f t="shared" si="3"/>
        <v>7.2900000000000006E-2</v>
      </c>
    </row>
    <row r="31" spans="1:10" x14ac:dyDescent="0.2">
      <c r="C31" s="9">
        <v>0.28599999999999998</v>
      </c>
      <c r="D31">
        <v>1</v>
      </c>
      <c r="E31">
        <f t="shared" si="0"/>
        <v>3.4965034965034967</v>
      </c>
      <c r="H31">
        <f t="shared" si="1"/>
        <v>1</v>
      </c>
      <c r="I31">
        <f t="shared" si="2"/>
        <v>0.28599999999999998</v>
      </c>
      <c r="J31">
        <f t="shared" si="3"/>
        <v>8.179599999999998E-2</v>
      </c>
    </row>
    <row r="32" spans="1:10" x14ac:dyDescent="0.2">
      <c r="C32" s="9">
        <v>0.35699999999999998</v>
      </c>
      <c r="D32">
        <v>1</v>
      </c>
      <c r="E32">
        <f t="shared" si="0"/>
        <v>2.801120448179272</v>
      </c>
      <c r="H32">
        <f t="shared" si="1"/>
        <v>1</v>
      </c>
      <c r="I32">
        <f t="shared" si="2"/>
        <v>0.35699999999999998</v>
      </c>
      <c r="J32">
        <f t="shared" si="3"/>
        <v>0.12744899999999998</v>
      </c>
    </row>
    <row r="33" spans="1:10" x14ac:dyDescent="0.2">
      <c r="A33" t="s">
        <v>10</v>
      </c>
      <c r="B33" s="6">
        <v>20</v>
      </c>
      <c r="C33" s="9">
        <v>0.17399999999999999</v>
      </c>
      <c r="D33">
        <v>1</v>
      </c>
      <c r="E33">
        <f t="shared" si="0"/>
        <v>5.7471264367816097</v>
      </c>
      <c r="H33">
        <f t="shared" si="1"/>
        <v>1</v>
      </c>
      <c r="I33">
        <f t="shared" si="2"/>
        <v>0.17399999999999999</v>
      </c>
      <c r="J33">
        <f t="shared" si="3"/>
        <v>3.0275999999999997E-2</v>
      </c>
    </row>
    <row r="34" spans="1:10" x14ac:dyDescent="0.2">
      <c r="C34" s="9">
        <v>0.246</v>
      </c>
      <c r="D34">
        <v>1</v>
      </c>
      <c r="E34">
        <f t="shared" si="0"/>
        <v>4.0650406504065044</v>
      </c>
      <c r="H34">
        <f t="shared" si="1"/>
        <v>1</v>
      </c>
      <c r="I34">
        <f t="shared" si="2"/>
        <v>0.246</v>
      </c>
      <c r="J34">
        <f t="shared" si="3"/>
        <v>6.0516E-2</v>
      </c>
    </row>
    <row r="35" spans="1:10" x14ac:dyDescent="0.2">
      <c r="C35" s="9">
        <v>0.23899999999999999</v>
      </c>
      <c r="D35">
        <v>1</v>
      </c>
      <c r="E35">
        <f t="shared" si="0"/>
        <v>4.1841004184100417</v>
      </c>
      <c r="H35">
        <f t="shared" si="1"/>
        <v>1</v>
      </c>
      <c r="I35">
        <f t="shared" si="2"/>
        <v>0.23899999999999999</v>
      </c>
      <c r="J35">
        <f t="shared" si="3"/>
        <v>5.7120999999999998E-2</v>
      </c>
    </row>
    <row r="36" spans="1:10" x14ac:dyDescent="0.2">
      <c r="C36" s="9">
        <v>0.376</v>
      </c>
      <c r="D36">
        <v>1</v>
      </c>
      <c r="E36">
        <f t="shared" si="0"/>
        <v>2.6595744680851063</v>
      </c>
      <c r="H36">
        <f t="shared" si="1"/>
        <v>1</v>
      </c>
      <c r="I36">
        <f t="shared" si="2"/>
        <v>0.376</v>
      </c>
      <c r="J36">
        <f t="shared" si="3"/>
        <v>0.141376</v>
      </c>
    </row>
    <row r="37" spans="1:10" x14ac:dyDescent="0.2">
      <c r="C37" s="9">
        <v>0.308</v>
      </c>
      <c r="D37">
        <v>1</v>
      </c>
      <c r="E37">
        <f t="shared" si="0"/>
        <v>3.2467532467532467</v>
      </c>
      <c r="H37">
        <f t="shared" si="1"/>
        <v>1</v>
      </c>
      <c r="I37">
        <f t="shared" si="2"/>
        <v>0.308</v>
      </c>
      <c r="J37">
        <f t="shared" si="3"/>
        <v>9.4864000000000004E-2</v>
      </c>
    </row>
    <row r="38" spans="1:10" x14ac:dyDescent="0.2">
      <c r="C38" s="9">
        <v>0.35799999999999998</v>
      </c>
      <c r="D38">
        <v>1</v>
      </c>
      <c r="E38">
        <f t="shared" si="0"/>
        <v>2.7932960893854748</v>
      </c>
      <c r="H38">
        <f t="shared" si="1"/>
        <v>1</v>
      </c>
      <c r="I38">
        <f t="shared" si="2"/>
        <v>0.35799999999999998</v>
      </c>
      <c r="J38">
        <f t="shared" si="3"/>
        <v>0.128164</v>
      </c>
    </row>
    <row r="39" spans="1:10" x14ac:dyDescent="0.2">
      <c r="A39" t="s">
        <v>11</v>
      </c>
      <c r="B39" s="6">
        <v>54.97</v>
      </c>
      <c r="C39" s="9">
        <v>0.121</v>
      </c>
      <c r="D39">
        <v>1</v>
      </c>
      <c r="E39">
        <f t="shared" si="0"/>
        <v>8.2644628099173563</v>
      </c>
      <c r="H39">
        <f t="shared" si="1"/>
        <v>1</v>
      </c>
      <c r="I39">
        <f t="shared" si="2"/>
        <v>0.121</v>
      </c>
      <c r="J39">
        <f t="shared" si="3"/>
        <v>1.4641E-2</v>
      </c>
    </row>
    <row r="40" spans="1:10" x14ac:dyDescent="0.2">
      <c r="C40" s="9">
        <v>0.123</v>
      </c>
      <c r="D40">
        <v>1</v>
      </c>
      <c r="E40">
        <f t="shared" si="0"/>
        <v>8.1300813008130088</v>
      </c>
      <c r="H40">
        <f t="shared" si="1"/>
        <v>1</v>
      </c>
      <c r="I40">
        <f t="shared" si="2"/>
        <v>0.123</v>
      </c>
      <c r="J40">
        <f t="shared" si="3"/>
        <v>1.5129E-2</v>
      </c>
    </row>
    <row r="41" spans="1:10" x14ac:dyDescent="0.2">
      <c r="C41" s="9">
        <v>0.124</v>
      </c>
      <c r="D41">
        <v>1</v>
      </c>
      <c r="E41">
        <f t="shared" si="0"/>
        <v>8.064516129032258</v>
      </c>
      <c r="H41">
        <f t="shared" si="1"/>
        <v>1</v>
      </c>
      <c r="I41">
        <f t="shared" si="2"/>
        <v>0.124</v>
      </c>
      <c r="J41">
        <f t="shared" si="3"/>
        <v>1.5375999999999999E-2</v>
      </c>
    </row>
    <row r="42" spans="1:10" x14ac:dyDescent="0.2">
      <c r="C42" s="9">
        <v>0.17100000000000001</v>
      </c>
      <c r="D42">
        <v>1</v>
      </c>
      <c r="E42">
        <f t="shared" si="0"/>
        <v>5.8479532163742682</v>
      </c>
      <c r="H42">
        <f t="shared" si="1"/>
        <v>1</v>
      </c>
      <c r="I42">
        <f t="shared" si="2"/>
        <v>0.17100000000000001</v>
      </c>
      <c r="J42">
        <f t="shared" si="3"/>
        <v>2.9241000000000003E-2</v>
      </c>
    </row>
    <row r="43" spans="1:10" x14ac:dyDescent="0.2">
      <c r="C43" s="9">
        <v>0.20599999999999999</v>
      </c>
      <c r="D43">
        <v>1</v>
      </c>
      <c r="E43">
        <f t="shared" si="0"/>
        <v>4.8543689320388355</v>
      </c>
      <c r="H43">
        <f t="shared" si="1"/>
        <v>1</v>
      </c>
      <c r="I43">
        <f t="shared" si="2"/>
        <v>0.20599999999999999</v>
      </c>
      <c r="J43">
        <f t="shared" si="3"/>
        <v>4.2435999999999995E-2</v>
      </c>
    </row>
    <row r="44" spans="1:10" x14ac:dyDescent="0.2">
      <c r="C44" s="9">
        <v>5.6000000000000001E-2</v>
      </c>
      <c r="D44">
        <v>1</v>
      </c>
      <c r="E44">
        <f t="shared" si="0"/>
        <v>17.857142857142858</v>
      </c>
      <c r="H44">
        <f t="shared" si="1"/>
        <v>1</v>
      </c>
      <c r="I44">
        <f t="shared" si="2"/>
        <v>5.6000000000000001E-2</v>
      </c>
      <c r="J44">
        <f t="shared" si="3"/>
        <v>3.1360000000000003E-3</v>
      </c>
    </row>
    <row r="45" spans="1:10" x14ac:dyDescent="0.2">
      <c r="A45" t="s">
        <v>12</v>
      </c>
      <c r="B45" s="6">
        <v>44.8</v>
      </c>
      <c r="C45" s="9">
        <v>0.22</v>
      </c>
      <c r="D45">
        <v>1</v>
      </c>
      <c r="E45">
        <f t="shared" si="0"/>
        <v>4.5454545454545459</v>
      </c>
      <c r="H45">
        <f t="shared" si="1"/>
        <v>1</v>
      </c>
      <c r="I45">
        <f t="shared" si="2"/>
        <v>0.22</v>
      </c>
      <c r="J45">
        <f t="shared" si="3"/>
        <v>4.8399999999999999E-2</v>
      </c>
    </row>
    <row r="46" spans="1:10" x14ac:dyDescent="0.2">
      <c r="C46" s="9">
        <v>0.20599999999999999</v>
      </c>
      <c r="D46">
        <v>1</v>
      </c>
      <c r="E46">
        <f t="shared" si="0"/>
        <v>4.8543689320388355</v>
      </c>
      <c r="H46">
        <f t="shared" si="1"/>
        <v>1</v>
      </c>
      <c r="I46">
        <f t="shared" si="2"/>
        <v>0.20599999999999999</v>
      </c>
      <c r="J46">
        <f t="shared" si="3"/>
        <v>4.2435999999999995E-2</v>
      </c>
    </row>
    <row r="47" spans="1:10" x14ac:dyDescent="0.2">
      <c r="C47" s="9">
        <v>0.19600000000000001</v>
      </c>
      <c r="D47">
        <v>1</v>
      </c>
      <c r="E47">
        <f t="shared" si="0"/>
        <v>5.1020408163265305</v>
      </c>
      <c r="H47">
        <f t="shared" si="1"/>
        <v>1</v>
      </c>
      <c r="I47">
        <f t="shared" si="2"/>
        <v>0.19600000000000001</v>
      </c>
      <c r="J47">
        <f t="shared" si="3"/>
        <v>3.8416000000000006E-2</v>
      </c>
    </row>
    <row r="48" spans="1:10" x14ac:dyDescent="0.2">
      <c r="C48" s="9">
        <v>0.21199999999999999</v>
      </c>
      <c r="D48">
        <v>1</v>
      </c>
      <c r="E48">
        <f t="shared" si="0"/>
        <v>4.716981132075472</v>
      </c>
      <c r="H48">
        <f t="shared" si="1"/>
        <v>1</v>
      </c>
      <c r="I48">
        <f t="shared" si="2"/>
        <v>0.21199999999999999</v>
      </c>
      <c r="J48">
        <f t="shared" si="3"/>
        <v>4.4943999999999998E-2</v>
      </c>
    </row>
    <row r="49" spans="3:10" x14ac:dyDescent="0.2">
      <c r="C49" s="9">
        <v>0.24</v>
      </c>
      <c r="D49">
        <v>1</v>
      </c>
      <c r="E49">
        <f t="shared" si="0"/>
        <v>4.166666666666667</v>
      </c>
      <c r="H49">
        <f t="shared" si="1"/>
        <v>1</v>
      </c>
      <c r="I49">
        <f t="shared" si="2"/>
        <v>0.24</v>
      </c>
      <c r="J49">
        <f t="shared" si="3"/>
        <v>5.7599999999999998E-2</v>
      </c>
    </row>
    <row r="50" spans="3:10" x14ac:dyDescent="0.2">
      <c r="C50" s="9">
        <v>0.188</v>
      </c>
      <c r="D50">
        <v>1</v>
      </c>
      <c r="E50">
        <f t="shared" si="0"/>
        <v>5.3191489361702127</v>
      </c>
      <c r="H50">
        <f t="shared" si="1"/>
        <v>1</v>
      </c>
      <c r="I50">
        <f t="shared" si="2"/>
        <v>0.188</v>
      </c>
      <c r="J50">
        <f t="shared" si="3"/>
        <v>3.5344E-2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457A-460B-4662-A8DA-F03ED4E495A5}">
  <sheetPr>
    <tabColor rgb="FF00B050"/>
  </sheetPr>
  <dimension ref="A1:AA43"/>
  <sheetViews>
    <sheetView tabSelected="1" topLeftCell="C1" zoomScale="90" zoomScaleNormal="90" workbookViewId="0">
      <selection activeCell="AD14" sqref="AD14"/>
    </sheetView>
  </sheetViews>
  <sheetFormatPr baseColWidth="10" defaultColWidth="8.83203125" defaultRowHeight="16" x14ac:dyDescent="0.2"/>
  <cols>
    <col min="1" max="1" width="10.33203125" style="3" customWidth="1"/>
    <col min="2" max="2" width="10.6640625" style="3" customWidth="1"/>
    <col min="3" max="5" width="8.83203125" style="3"/>
    <col min="6" max="6" width="8.83203125" style="8"/>
    <col min="7" max="10" width="8.83203125" style="3"/>
    <col min="11" max="11" width="11" style="3" customWidth="1"/>
    <col min="12" max="14" width="8.83203125" style="3"/>
    <col min="15" max="15" width="13.1640625" style="3" customWidth="1"/>
    <col min="16" max="16" width="9.83203125" style="3" bestFit="1" customWidth="1"/>
    <col min="17" max="17" width="10.83203125" style="3" bestFit="1" customWidth="1"/>
    <col min="18" max="18" width="9.83203125" style="3" bestFit="1" customWidth="1"/>
    <col min="19" max="19" width="10" style="3" bestFit="1" customWidth="1"/>
    <col min="20" max="20" width="9.83203125" style="3" bestFit="1" customWidth="1"/>
    <col min="21" max="21" width="8.83203125" style="3"/>
    <col min="22" max="22" width="10.1640625" style="3" bestFit="1" customWidth="1"/>
    <col min="23" max="24" width="9.83203125" style="3" bestFit="1" customWidth="1"/>
    <col min="25" max="25" width="8.83203125" style="3"/>
    <col min="26" max="27" width="9.83203125" style="3" bestFit="1" customWidth="1"/>
    <col min="28" max="16384" width="8.83203125" style="3"/>
  </cols>
  <sheetData>
    <row r="1" spans="1:27" x14ac:dyDescent="0.2">
      <c r="A1" s="4" t="s">
        <v>3</v>
      </c>
      <c r="B1" s="4">
        <v>0.02</v>
      </c>
      <c r="C1" s="4"/>
      <c r="D1" s="4" t="s">
        <v>14</v>
      </c>
      <c r="E1" s="4">
        <v>2.0000000000000001E-4</v>
      </c>
      <c r="F1" s="7" t="s">
        <v>1</v>
      </c>
      <c r="L1" s="3">
        <v>2.1713506831987344E-2</v>
      </c>
      <c r="M1" s="3">
        <v>0</v>
      </c>
      <c r="O1" s="10">
        <f>SUM(O3:O42)</f>
        <v>84839.881246428646</v>
      </c>
      <c r="P1" s="10">
        <f>SUM(P3:P42)</f>
        <v>12524592.771607293</v>
      </c>
      <c r="Q1" s="10">
        <f t="shared" ref="Q1:S1" si="0">SUM(Q3:Q42)</f>
        <v>1973776896.4936719</v>
      </c>
      <c r="R1" s="10">
        <f t="shared" si="0"/>
        <v>232355.22476365615</v>
      </c>
      <c r="S1" s="10">
        <f t="shared" si="0"/>
        <v>36469213.282879174</v>
      </c>
      <c r="T1" s="11">
        <f>SUM(T3:T42)</f>
        <v>37.999999999999986</v>
      </c>
      <c r="U1" s="10"/>
      <c r="V1" s="10"/>
      <c r="W1" s="10"/>
      <c r="X1" s="10"/>
    </row>
    <row r="2" spans="1:27" x14ac:dyDescent="0.2">
      <c r="A2" s="4" t="s">
        <v>4</v>
      </c>
      <c r="B2" s="4" t="s">
        <v>27</v>
      </c>
      <c r="C2" s="4" t="s">
        <v>13</v>
      </c>
      <c r="D2" s="4" t="s">
        <v>15</v>
      </c>
      <c r="E2" s="4" t="s">
        <v>28</v>
      </c>
      <c r="F2" s="7" t="s">
        <v>16</v>
      </c>
      <c r="G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35</v>
      </c>
      <c r="U2" s="10"/>
      <c r="V2" s="10" t="s">
        <v>36</v>
      </c>
      <c r="W2" s="10">
        <f>O1</f>
        <v>84839.881246428646</v>
      </c>
      <c r="X2" s="10">
        <f>P1</f>
        <v>12524592.771607293</v>
      </c>
    </row>
    <row r="3" spans="1:27" x14ac:dyDescent="0.2">
      <c r="A3" s="3">
        <v>60.28</v>
      </c>
      <c r="B3" s="3">
        <f>B1</f>
        <v>0.02</v>
      </c>
      <c r="C3" s="3">
        <v>1</v>
      </c>
      <c r="D3" s="2">
        <v>6.4799999999999996E-2</v>
      </c>
      <c r="E3" s="2">
        <f>E1</f>
        <v>2.0000000000000001E-4</v>
      </c>
      <c r="F3" s="8">
        <v>4.34</v>
      </c>
      <c r="I3" s="3">
        <f>SQRT(A3)/(D3/2)</f>
        <v>239.63023387384783</v>
      </c>
      <c r="J3" s="3">
        <f>I3*SQRT((B3/A3/2)^2+(E3/D3)^2)</f>
        <v>0.74066705837300439</v>
      </c>
      <c r="K3" s="8">
        <f>F3</f>
        <v>4.34</v>
      </c>
      <c r="L3" s="3">
        <f>L1</f>
        <v>2.1713506831987344E-2</v>
      </c>
      <c r="M3" s="3">
        <f>M11</f>
        <v>2.1713506831987344E-2</v>
      </c>
      <c r="O3" s="10">
        <f>1/M3^2</f>
        <v>2120.997031160714</v>
      </c>
      <c r="P3" s="10">
        <f>O3*I3</f>
        <v>508255.01462277881</v>
      </c>
      <c r="Q3" s="10">
        <f>P3*I3</f>
        <v>121793268.02161244</v>
      </c>
      <c r="R3" s="10">
        <f>O3*K3</f>
        <v>9205.1271152374975</v>
      </c>
      <c r="S3" s="10">
        <f>K3*I3*O3</f>
        <v>2205826.7634628601</v>
      </c>
      <c r="T3" s="11">
        <f>O3*(K3-W$11-W$12*I3)^2</f>
        <v>2.7337540508727436E-2</v>
      </c>
      <c r="U3" s="10"/>
      <c r="V3" s="10"/>
      <c r="W3" s="10">
        <f>P1</f>
        <v>12524592.771607293</v>
      </c>
      <c r="X3" s="10">
        <f>Q1</f>
        <v>1973776896.4936719</v>
      </c>
    </row>
    <row r="4" spans="1:27" x14ac:dyDescent="0.2">
      <c r="A4" s="3">
        <v>60.28</v>
      </c>
      <c r="B4" s="3">
        <f>B1</f>
        <v>0.02</v>
      </c>
      <c r="C4" s="3">
        <v>2</v>
      </c>
      <c r="D4" s="2">
        <v>7.7499999999999999E-2</v>
      </c>
      <c r="E4" s="2">
        <f>E3</f>
        <v>2.0000000000000001E-4</v>
      </c>
      <c r="F4" s="8">
        <v>3.68</v>
      </c>
      <c r="I4" s="3">
        <f t="shared" ref="I4:I42" si="1">SQRT(A4)/(D4/2)</f>
        <v>200.36179554871404</v>
      </c>
      <c r="J4" s="3">
        <f t="shared" ref="J4:J42" si="2">I4*SQRT((B4/A4/2)^2+(E4/D4)^2)</f>
        <v>0.51812993837293608</v>
      </c>
      <c r="K4" s="8">
        <f t="shared" ref="K4:K42" si="3">F4</f>
        <v>3.68</v>
      </c>
      <c r="L4" s="3">
        <f>L3</f>
        <v>2.1713506831987344E-2</v>
      </c>
      <c r="M4" s="3">
        <f>SQRT(L4^2+(M1*J4)^2)</f>
        <v>2.1713506831987344E-2</v>
      </c>
      <c r="O4" s="10">
        <f t="shared" ref="O4:O42" si="4">1/M4^2</f>
        <v>2120.997031160714</v>
      </c>
      <c r="P4" s="10">
        <f t="shared" ref="P4:P42" si="5">O4*I4</f>
        <v>424966.77351685241</v>
      </c>
      <c r="Q4" s="10">
        <f t="shared" ref="Q4:Q42" si="6">P4*I4</f>
        <v>85147105.790380254</v>
      </c>
      <c r="R4" s="10">
        <f t="shared" ref="R4:R42" si="7">O4*K4</f>
        <v>7805.2690746714279</v>
      </c>
      <c r="S4" s="10">
        <f t="shared" ref="S4:S42" si="8">K4*I4*O4</f>
        <v>1563877.726542017</v>
      </c>
      <c r="T4" s="11">
        <f t="shared" ref="T4:T42" si="9">O4*(K4-W$11-W$12*I4)^2</f>
        <v>1.3782110711371187</v>
      </c>
      <c r="U4" s="10"/>
      <c r="V4" s="10"/>
      <c r="W4" s="10"/>
    </row>
    <row r="5" spans="1:27" x14ac:dyDescent="0.2">
      <c r="A5" s="3">
        <v>60.28</v>
      </c>
      <c r="B5" s="3">
        <f>B1</f>
        <v>0.02</v>
      </c>
      <c r="C5" s="3">
        <v>3</v>
      </c>
      <c r="D5" s="2">
        <v>9.0200000000000002E-2</v>
      </c>
      <c r="E5" s="2">
        <f t="shared" ref="E5:E42" si="10">E4</f>
        <v>2.0000000000000001E-4</v>
      </c>
      <c r="F5" s="8">
        <v>3.18</v>
      </c>
      <c r="I5" s="3">
        <f t="shared" si="1"/>
        <v>172.15121014440507</v>
      </c>
      <c r="J5" s="3">
        <f t="shared" si="2"/>
        <v>0.38277685103455117</v>
      </c>
      <c r="K5" s="8">
        <f t="shared" si="3"/>
        <v>3.18</v>
      </c>
      <c r="L5" s="3">
        <f t="shared" ref="L5:L42" si="11">L4</f>
        <v>2.1713506831987344E-2</v>
      </c>
      <c r="M5" s="3">
        <f>SQRT(L5^2+(M1*J5)^2)</f>
        <v>2.1713506831987344E-2</v>
      </c>
      <c r="O5" s="10">
        <f t="shared" si="4"/>
        <v>2120.997031160714</v>
      </c>
      <c r="P5" s="10">
        <f t="shared" si="5"/>
        <v>365132.20562700735</v>
      </c>
      <c r="Q5" s="10">
        <f t="shared" si="6"/>
        <v>62857951.061385065</v>
      </c>
      <c r="R5" s="10">
        <f t="shared" si="7"/>
        <v>6744.7705590910709</v>
      </c>
      <c r="S5" s="10">
        <f t="shared" si="8"/>
        <v>1161120.4138938833</v>
      </c>
      <c r="T5" s="11">
        <f t="shared" si="9"/>
        <v>0.50112976374785712</v>
      </c>
      <c r="U5" s="10"/>
      <c r="V5" s="10" t="s">
        <v>37</v>
      </c>
      <c r="W5" s="10">
        <f>R1</f>
        <v>232355.22476365615</v>
      </c>
      <c r="X5" s="10"/>
    </row>
    <row r="6" spans="1:27" x14ac:dyDescent="0.2">
      <c r="A6" s="3">
        <v>60.28</v>
      </c>
      <c r="B6" s="3">
        <f>B5</f>
        <v>0.02</v>
      </c>
      <c r="C6" s="3">
        <v>4</v>
      </c>
      <c r="D6" s="2">
        <v>0.10299999999999999</v>
      </c>
      <c r="E6" s="2">
        <f t="shared" si="10"/>
        <v>2.0000000000000001E-4</v>
      </c>
      <c r="F6" s="8">
        <v>2.8</v>
      </c>
      <c r="I6" s="3">
        <f t="shared" si="1"/>
        <v>150.75766169927513</v>
      </c>
      <c r="J6" s="3">
        <f t="shared" si="2"/>
        <v>0.29379972289137896</v>
      </c>
      <c r="K6" s="8">
        <f t="shared" si="3"/>
        <v>2.8</v>
      </c>
      <c r="L6" s="3">
        <f t="shared" si="11"/>
        <v>2.1713506831987344E-2</v>
      </c>
      <c r="M6" s="3">
        <f>SQRT(L6^2+(M1*J6)^2)</f>
        <v>2.1713506831987344E-2</v>
      </c>
      <c r="O6" s="10">
        <f t="shared" si="4"/>
        <v>2120.997031160714</v>
      </c>
      <c r="P6" s="10">
        <f t="shared" si="5"/>
        <v>319756.55288889381</v>
      </c>
      <c r="Q6" s="10">
        <f t="shared" si="6"/>
        <v>48205750.226550229</v>
      </c>
      <c r="R6" s="10">
        <f t="shared" si="7"/>
        <v>5938.7916872499991</v>
      </c>
      <c r="S6" s="10">
        <f t="shared" si="8"/>
        <v>895318.34808890265</v>
      </c>
      <c r="T6" s="11">
        <f t="shared" si="9"/>
        <v>0.10017805751489403</v>
      </c>
      <c r="U6" s="10"/>
      <c r="V6" s="10"/>
      <c r="W6" s="10">
        <f>S1</f>
        <v>36469213.282879174</v>
      </c>
      <c r="X6" s="10"/>
    </row>
    <row r="7" spans="1:27" x14ac:dyDescent="0.2">
      <c r="A7" s="3">
        <v>60.28</v>
      </c>
      <c r="B7" s="3">
        <f t="shared" ref="B7:B42" si="12">B6</f>
        <v>0.02</v>
      </c>
      <c r="C7" s="3">
        <v>5</v>
      </c>
      <c r="D7" s="2">
        <v>0.1154</v>
      </c>
      <c r="E7" s="2">
        <f t="shared" si="10"/>
        <v>2.0000000000000001E-4</v>
      </c>
      <c r="F7" s="8">
        <v>2.5299999999999998</v>
      </c>
      <c r="I7" s="3">
        <f t="shared" si="1"/>
        <v>134.55839822378977</v>
      </c>
      <c r="J7" s="3">
        <f t="shared" si="2"/>
        <v>0.23426936875096899</v>
      </c>
      <c r="K7" s="8">
        <f t="shared" si="3"/>
        <v>2.5299999999999998</v>
      </c>
      <c r="L7" s="3">
        <f t="shared" si="11"/>
        <v>2.1713506831987344E-2</v>
      </c>
      <c r="M7" s="3">
        <f>SQRT(L7^2+(M1*J7)^2)</f>
        <v>2.1713506831987344E-2</v>
      </c>
      <c r="O7" s="10">
        <f t="shared" si="4"/>
        <v>2120.997031160714</v>
      </c>
      <c r="P7" s="10">
        <f t="shared" si="5"/>
        <v>285397.96315039915</v>
      </c>
      <c r="Q7" s="10">
        <f t="shared" si="6"/>
        <v>38402692.77784989</v>
      </c>
      <c r="R7" s="10">
        <f t="shared" si="7"/>
        <v>5366.122488836606</v>
      </c>
      <c r="S7" s="10">
        <f t="shared" si="8"/>
        <v>722056.84677050984</v>
      </c>
      <c r="T7" s="11">
        <f t="shared" si="9"/>
        <v>0.70059869263305319</v>
      </c>
      <c r="U7" s="10"/>
      <c r="V7" s="10"/>
      <c r="W7" s="10"/>
      <c r="X7" s="10"/>
    </row>
    <row r="8" spans="1:27" x14ac:dyDescent="0.2">
      <c r="A8" s="3">
        <v>35.229999999999997</v>
      </c>
      <c r="B8" s="3">
        <f t="shared" si="12"/>
        <v>0.02</v>
      </c>
      <c r="C8" s="3">
        <v>1</v>
      </c>
      <c r="D8" s="2">
        <v>6.4799999999999996E-2</v>
      </c>
      <c r="E8" s="2">
        <f t="shared" si="10"/>
        <v>2.0000000000000001E-4</v>
      </c>
      <c r="F8" s="8">
        <v>3.33</v>
      </c>
      <c r="I8" s="3">
        <f t="shared" si="1"/>
        <v>183.1940277994037</v>
      </c>
      <c r="J8" s="3">
        <f t="shared" si="2"/>
        <v>0.56779974950125789</v>
      </c>
      <c r="K8" s="8">
        <f t="shared" si="3"/>
        <v>3.33</v>
      </c>
      <c r="L8" s="3">
        <f t="shared" si="11"/>
        <v>2.1713506831987344E-2</v>
      </c>
      <c r="M8" s="3">
        <f>SQRT(L8^2+(M1*J8)^2)</f>
        <v>2.1713506831987344E-2</v>
      </c>
      <c r="O8" s="10">
        <f t="shared" si="4"/>
        <v>2120.997031160714</v>
      </c>
      <c r="P8" s="10">
        <f t="shared" si="5"/>
        <v>388553.98908890854</v>
      </c>
      <c r="Q8" s="10">
        <f t="shared" si="6"/>
        <v>71180770.278722718</v>
      </c>
      <c r="R8" s="10">
        <f t="shared" si="7"/>
        <v>7062.920113765178</v>
      </c>
      <c r="S8" s="10">
        <f t="shared" si="8"/>
        <v>1293884.7836660654</v>
      </c>
      <c r="T8" s="11">
        <f t="shared" si="9"/>
        <v>1.476983715894379</v>
      </c>
      <c r="U8" s="10"/>
      <c r="V8" s="10" t="s">
        <v>38</v>
      </c>
      <c r="W8" s="10" cm="1">
        <f t="array" ref="W8:X9">MINVERSE(W2:X3)</f>
        <v>1.8638870707177237E-4</v>
      </c>
      <c r="X8" s="10">
        <v>-1.1827287356779708E-6</v>
      </c>
    </row>
    <row r="9" spans="1:27" x14ac:dyDescent="0.2">
      <c r="A9" s="3">
        <v>35.229999999999997</v>
      </c>
      <c r="B9" s="3">
        <f t="shared" si="12"/>
        <v>0.02</v>
      </c>
      <c r="C9" s="3">
        <v>2</v>
      </c>
      <c r="D9" s="2">
        <v>7.7499999999999999E-2</v>
      </c>
      <c r="E9" s="2">
        <f t="shared" si="10"/>
        <v>2.0000000000000001E-4</v>
      </c>
      <c r="F9" s="8">
        <v>2.82</v>
      </c>
      <c r="I9" s="3">
        <f t="shared" si="1"/>
        <v>153.17384517937236</v>
      </c>
      <c r="J9" s="3">
        <f t="shared" si="2"/>
        <v>0.39767127197417651</v>
      </c>
      <c r="K9" s="8">
        <f t="shared" si="3"/>
        <v>2.82</v>
      </c>
      <c r="L9" s="3">
        <f t="shared" si="11"/>
        <v>2.1713506831987344E-2</v>
      </c>
      <c r="M9" s="3">
        <f>SQRT(L9^2+(M1*J9)^2)</f>
        <v>2.1713506831987344E-2</v>
      </c>
      <c r="O9" s="10">
        <f t="shared" si="4"/>
        <v>2120.997031160714</v>
      </c>
      <c r="P9" s="10">
        <f t="shared" si="5"/>
        <v>324881.27087691962</v>
      </c>
      <c r="Q9" s="10">
        <f t="shared" si="6"/>
        <v>49763313.486979023</v>
      </c>
      <c r="R9" s="10">
        <f t="shared" si="7"/>
        <v>5981.2116278732128</v>
      </c>
      <c r="S9" s="10">
        <f t="shared" si="8"/>
        <v>916165.18387291336</v>
      </c>
      <c r="T9" s="11">
        <f t="shared" si="9"/>
        <v>0.48263404644130381</v>
      </c>
      <c r="U9" s="10"/>
      <c r="V9" s="10"/>
      <c r="W9" s="10">
        <v>-1.1827287356779708E-6</v>
      </c>
      <c r="X9" s="10">
        <v>8.0116429580952101E-9</v>
      </c>
    </row>
    <row r="10" spans="1:27" x14ac:dyDescent="0.2">
      <c r="A10" s="3">
        <v>35.229999999999997</v>
      </c>
      <c r="B10" s="3">
        <f t="shared" si="12"/>
        <v>0.02</v>
      </c>
      <c r="C10" s="3">
        <v>3</v>
      </c>
      <c r="D10" s="2">
        <v>9.0200000000000002E-2</v>
      </c>
      <c r="E10" s="2">
        <f t="shared" si="10"/>
        <v>2.0000000000000001E-4</v>
      </c>
      <c r="F10" s="8">
        <v>2.46</v>
      </c>
      <c r="I10" s="3">
        <f t="shared" si="1"/>
        <v>131.60723948338534</v>
      </c>
      <c r="J10" s="3">
        <f t="shared" si="2"/>
        <v>0.29419346211520025</v>
      </c>
      <c r="K10" s="8">
        <f t="shared" si="3"/>
        <v>2.46</v>
      </c>
      <c r="L10" s="3">
        <f t="shared" si="11"/>
        <v>2.1713506831987344E-2</v>
      </c>
      <c r="M10" s="3">
        <f>SQRT(L10^2+(M1*J10)^2)</f>
        <v>2.1713506831987344E-2</v>
      </c>
      <c r="O10" s="10">
        <f t="shared" si="4"/>
        <v>2120.997031160714</v>
      </c>
      <c r="P10" s="10">
        <f t="shared" si="5"/>
        <v>279138.56422351743</v>
      </c>
      <c r="Q10" s="10">
        <f t="shared" si="6"/>
        <v>36736655.870812796</v>
      </c>
      <c r="R10" s="10">
        <f t="shared" si="7"/>
        <v>5217.6526966553565</v>
      </c>
      <c r="S10" s="10">
        <f t="shared" si="8"/>
        <v>686680.86798985279</v>
      </c>
      <c r="T10" s="11">
        <f t="shared" si="9"/>
        <v>7.090816164730321E-4</v>
      </c>
      <c r="U10" s="10"/>
      <c r="V10" s="10"/>
      <c r="W10" s="10"/>
      <c r="X10" s="10"/>
    </row>
    <row r="11" spans="1:27" x14ac:dyDescent="0.2">
      <c r="A11" s="3">
        <v>35.229999999999997</v>
      </c>
      <c r="B11" s="3">
        <f t="shared" si="12"/>
        <v>0.02</v>
      </c>
      <c r="C11" s="3">
        <v>4</v>
      </c>
      <c r="D11" s="2">
        <v>0.10299999999999999</v>
      </c>
      <c r="E11" s="2">
        <f t="shared" si="10"/>
        <v>2.0000000000000001E-4</v>
      </c>
      <c r="F11" s="8">
        <v>2.1800000000000002</v>
      </c>
      <c r="I11" s="3">
        <f t="shared" si="1"/>
        <v>115.25216506214912</v>
      </c>
      <c r="J11" s="3">
        <f t="shared" si="2"/>
        <v>0.22616909053374745</v>
      </c>
      <c r="K11" s="8">
        <f t="shared" si="3"/>
        <v>2.1800000000000002</v>
      </c>
      <c r="L11" s="3">
        <f t="shared" si="11"/>
        <v>2.1713506831987344E-2</v>
      </c>
      <c r="M11" s="3">
        <f>SQRT(L11^2+(M1*J11)^2)</f>
        <v>2.1713506831987344E-2</v>
      </c>
      <c r="O11" s="10">
        <f t="shared" si="4"/>
        <v>2120.997031160714</v>
      </c>
      <c r="P11" s="10">
        <f t="shared" si="5"/>
        <v>244449.49993166284</v>
      </c>
      <c r="Q11" s="10">
        <f t="shared" si="6"/>
        <v>28173334.115483817</v>
      </c>
      <c r="R11" s="10">
        <f t="shared" si="7"/>
        <v>4623.773527930357</v>
      </c>
      <c r="S11" s="10">
        <f t="shared" si="8"/>
        <v>532899.90985102498</v>
      </c>
      <c r="T11" s="11">
        <f t="shared" si="9"/>
        <v>2.4946642381927748E-2</v>
      </c>
      <c r="U11" s="10"/>
      <c r="V11" s="10" t="s">
        <v>39</v>
      </c>
      <c r="W11" s="10" cm="1">
        <f t="array" ref="W11:W12">MMULT(_xlfn.ANCHORARRAY(W8),W5:W6)</f>
        <v>0.17520340783899258</v>
      </c>
      <c r="X11" s="10">
        <f>SQRT(W8)</f>
        <v>1.3652424952065196E-2</v>
      </c>
    </row>
    <row r="12" spans="1:27" x14ac:dyDescent="0.2">
      <c r="A12" s="3">
        <v>35.229999999999997</v>
      </c>
      <c r="B12" s="3">
        <f t="shared" si="12"/>
        <v>0.02</v>
      </c>
      <c r="C12" s="3">
        <v>5</v>
      </c>
      <c r="D12" s="2">
        <v>0.1154</v>
      </c>
      <c r="E12" s="2">
        <f t="shared" si="10"/>
        <v>2.0000000000000001E-4</v>
      </c>
      <c r="F12" s="8">
        <v>1.97</v>
      </c>
      <c r="I12" s="3">
        <f t="shared" si="1"/>
        <v>102.86805027210882</v>
      </c>
      <c r="J12" s="3">
        <f t="shared" si="2"/>
        <v>0.18065614444226932</v>
      </c>
      <c r="K12" s="8">
        <f t="shared" si="3"/>
        <v>1.97</v>
      </c>
      <c r="L12" s="3">
        <f t="shared" si="11"/>
        <v>2.1713506831987344E-2</v>
      </c>
      <c r="M12" s="3">
        <f>SQRT(L12^2+(M1*J12)^2)</f>
        <v>2.1713506831987344E-2</v>
      </c>
      <c r="O12" s="10">
        <f t="shared" si="4"/>
        <v>2120.997031160714</v>
      </c>
      <c r="P12" s="10">
        <f t="shared" si="5"/>
        <v>218182.82922843387</v>
      </c>
      <c r="Q12" s="10">
        <f t="shared" si="6"/>
        <v>22444042.245581467</v>
      </c>
      <c r="R12" s="10">
        <f t="shared" si="7"/>
        <v>4178.3641513866069</v>
      </c>
      <c r="S12" s="10">
        <f t="shared" si="8"/>
        <v>429820.17358001473</v>
      </c>
      <c r="T12" s="11">
        <f t="shared" si="9"/>
        <v>0.1525617978415332</v>
      </c>
      <c r="U12" s="10"/>
      <c r="V12" s="10"/>
      <c r="W12" s="10">
        <v>1.7365114572161444E-2</v>
      </c>
      <c r="X12" s="10">
        <f>SQRT(X9)</f>
        <v>8.950778155051778E-5</v>
      </c>
    </row>
    <row r="13" spans="1:27" x14ac:dyDescent="0.2">
      <c r="A13" s="3">
        <v>54.97</v>
      </c>
      <c r="B13" s="3">
        <f t="shared" si="12"/>
        <v>0.02</v>
      </c>
      <c r="C13" s="3">
        <v>1</v>
      </c>
      <c r="D13" s="2">
        <v>6.4799999999999996E-2</v>
      </c>
      <c r="E13" s="2">
        <f t="shared" si="10"/>
        <v>2.0000000000000001E-4</v>
      </c>
      <c r="F13" s="8">
        <v>4.1100000000000003</v>
      </c>
      <c r="I13" s="3">
        <f t="shared" si="1"/>
        <v>228.8325806056788</v>
      </c>
      <c r="J13" s="3">
        <f t="shared" si="2"/>
        <v>0.70749915481994463</v>
      </c>
      <c r="K13" s="8">
        <f t="shared" si="3"/>
        <v>4.1100000000000003</v>
      </c>
      <c r="L13" s="3">
        <f t="shared" si="11"/>
        <v>2.1713506831987344E-2</v>
      </c>
      <c r="M13" s="3">
        <f>SQRT(L13^2+(M1*J13)^2)</f>
        <v>2.1713506831987344E-2</v>
      </c>
      <c r="O13" s="10">
        <f t="shared" si="4"/>
        <v>2120.997031160714</v>
      </c>
      <c r="P13" s="10">
        <f t="shared" si="5"/>
        <v>485353.2240974895</v>
      </c>
      <c r="Q13" s="10">
        <f t="shared" si="6"/>
        <v>111064630.77551486</v>
      </c>
      <c r="R13" s="10">
        <f t="shared" si="7"/>
        <v>8717.2977980705346</v>
      </c>
      <c r="S13" s="10">
        <f t="shared" si="8"/>
        <v>1994801.751040682</v>
      </c>
      <c r="T13" s="11">
        <f t="shared" si="9"/>
        <v>3.2107331370312049</v>
      </c>
      <c r="U13" s="10"/>
      <c r="V13" s="10"/>
      <c r="W13" s="10"/>
      <c r="X13" s="10"/>
    </row>
    <row r="14" spans="1:27" x14ac:dyDescent="0.2">
      <c r="A14" s="3">
        <v>54.97</v>
      </c>
      <c r="B14" s="3">
        <f t="shared" si="12"/>
        <v>0.02</v>
      </c>
      <c r="C14" s="3">
        <v>2</v>
      </c>
      <c r="D14" s="2">
        <v>7.7499999999999999E-2</v>
      </c>
      <c r="E14" s="2">
        <f t="shared" si="10"/>
        <v>2.0000000000000001E-4</v>
      </c>
      <c r="F14" s="8">
        <v>3.49</v>
      </c>
      <c r="I14" s="3">
        <f t="shared" si="1"/>
        <v>191.33356417094174</v>
      </c>
      <c r="J14" s="3">
        <f t="shared" si="2"/>
        <v>0.49498933780363863</v>
      </c>
      <c r="K14" s="8">
        <f t="shared" si="3"/>
        <v>3.49</v>
      </c>
      <c r="L14" s="3">
        <f t="shared" si="11"/>
        <v>2.1713506831987344E-2</v>
      </c>
      <c r="M14" s="3">
        <f>SQRT(L14^2+(M1*J14)^2)</f>
        <v>2.1713506831987344E-2</v>
      </c>
      <c r="O14" s="10">
        <f t="shared" si="4"/>
        <v>2120.997031160714</v>
      </c>
      <c r="P14" s="10">
        <f t="shared" si="5"/>
        <v>405817.92156796536</v>
      </c>
      <c r="Q14" s="10">
        <f t="shared" si="6"/>
        <v>77646589.338042498</v>
      </c>
      <c r="R14" s="10">
        <f t="shared" si="7"/>
        <v>7402.2796387508924</v>
      </c>
      <c r="S14" s="10">
        <f t="shared" si="8"/>
        <v>1416304.5462721994</v>
      </c>
      <c r="T14" s="11">
        <f t="shared" si="9"/>
        <v>0.12682332785624947</v>
      </c>
      <c r="U14" s="10"/>
      <c r="V14" s="10" t="s">
        <v>40</v>
      </c>
      <c r="W14" s="10">
        <f>T1/(COUNT(T3:T42)-2)</f>
        <v>0.99999999999999967</v>
      </c>
      <c r="X14" s="10">
        <f>SQRT(W14)*L1</f>
        <v>2.1713506831987341E-2</v>
      </c>
    </row>
    <row r="15" spans="1:27" x14ac:dyDescent="0.2">
      <c r="A15" s="3">
        <v>54.97</v>
      </c>
      <c r="B15" s="3">
        <f t="shared" si="12"/>
        <v>0.02</v>
      </c>
      <c r="C15" s="3">
        <v>3</v>
      </c>
      <c r="D15" s="2">
        <v>9.0200000000000002E-2</v>
      </c>
      <c r="E15" s="2">
        <f t="shared" si="10"/>
        <v>2.0000000000000001E-4</v>
      </c>
      <c r="F15" s="8">
        <v>3.05</v>
      </c>
      <c r="I15" s="3">
        <f t="shared" si="1"/>
        <v>164.39413773002201</v>
      </c>
      <c r="J15" s="3">
        <f t="shared" si="2"/>
        <v>0.36573504715389371</v>
      </c>
      <c r="K15" s="8">
        <f t="shared" si="3"/>
        <v>3.05</v>
      </c>
      <c r="L15" s="3">
        <f t="shared" si="11"/>
        <v>2.1713506831987344E-2</v>
      </c>
      <c r="M15" s="3">
        <f>SQRT(L15^2+(M1*J15)^2)</f>
        <v>2.1713506831987344E-2</v>
      </c>
      <c r="O15" s="10">
        <f t="shared" si="4"/>
        <v>2120.997031160714</v>
      </c>
      <c r="P15" s="10">
        <f t="shared" si="5"/>
        <v>348679.47806560219</v>
      </c>
      <c r="Q15" s="10">
        <f t="shared" si="6"/>
        <v>57320862.140748791</v>
      </c>
      <c r="R15" s="10">
        <f t="shared" si="7"/>
        <v>6469.0409450401776</v>
      </c>
      <c r="S15" s="10">
        <f t="shared" si="8"/>
        <v>1063472.4081000865</v>
      </c>
      <c r="T15" s="11">
        <f t="shared" si="9"/>
        <v>0.85465072675067355</v>
      </c>
      <c r="U15" s="10"/>
      <c r="V15" s="10"/>
      <c r="W15" s="10"/>
      <c r="X15" s="10"/>
      <c r="Y15" s="3">
        <v>80</v>
      </c>
      <c r="Z15" s="10">
        <f>Y15*W$12</f>
        <v>1.3892091657729155</v>
      </c>
      <c r="AA15" s="10">
        <f>Z15+W$11</f>
        <v>1.5644125736119081</v>
      </c>
    </row>
    <row r="16" spans="1:27" x14ac:dyDescent="0.2">
      <c r="A16" s="3">
        <v>54.97</v>
      </c>
      <c r="B16" s="3">
        <f t="shared" si="12"/>
        <v>0.02</v>
      </c>
      <c r="C16" s="3">
        <v>4</v>
      </c>
      <c r="D16" s="2">
        <v>0.10299999999999999</v>
      </c>
      <c r="E16" s="2">
        <f t="shared" si="10"/>
        <v>2.0000000000000001E-4</v>
      </c>
      <c r="F16" s="8">
        <v>2.68</v>
      </c>
      <c r="I16" s="3">
        <f t="shared" si="1"/>
        <v>143.96457498299014</v>
      </c>
      <c r="J16" s="3">
        <f t="shared" si="2"/>
        <v>0.28076700529486293</v>
      </c>
      <c r="K16" s="8">
        <f t="shared" si="3"/>
        <v>2.68</v>
      </c>
      <c r="L16" s="3">
        <f t="shared" si="11"/>
        <v>2.1713506831987344E-2</v>
      </c>
      <c r="M16" s="3">
        <f>SQRT(L16^2+(M1*J16)^2)</f>
        <v>2.1713506831987344E-2</v>
      </c>
      <c r="O16" s="10">
        <f t="shared" si="4"/>
        <v>2120.997031160714</v>
      </c>
      <c r="P16" s="10">
        <f t="shared" si="5"/>
        <v>305348.43613123609</v>
      </c>
      <c r="Q16" s="10">
        <f t="shared" si="6"/>
        <v>43959357.829354115</v>
      </c>
      <c r="R16" s="10">
        <f t="shared" si="7"/>
        <v>5684.272043510714</v>
      </c>
      <c r="S16" s="10">
        <f t="shared" si="8"/>
        <v>818333.80883171281</v>
      </c>
      <c r="T16" s="11">
        <f t="shared" si="9"/>
        <v>4.9588219102309414E-2</v>
      </c>
      <c r="U16" s="10"/>
      <c r="V16" s="10"/>
      <c r="W16" s="10"/>
      <c r="X16" s="10"/>
      <c r="Y16" s="3">
        <v>250</v>
      </c>
      <c r="Z16" s="10">
        <f>Y16*W$12</f>
        <v>4.3412786430403614</v>
      </c>
      <c r="AA16" s="10">
        <f>Z16+W$11</f>
        <v>4.5164820508793539</v>
      </c>
    </row>
    <row r="17" spans="1:24" x14ac:dyDescent="0.2">
      <c r="A17" s="3">
        <v>54.97</v>
      </c>
      <c r="B17" s="3">
        <f t="shared" si="12"/>
        <v>0.02</v>
      </c>
      <c r="C17" s="3">
        <v>5</v>
      </c>
      <c r="D17" s="2">
        <v>0.1154</v>
      </c>
      <c r="E17" s="2">
        <f t="shared" si="10"/>
        <v>2.0000000000000001E-4</v>
      </c>
      <c r="F17" s="8">
        <v>2.41</v>
      </c>
      <c r="I17" s="3">
        <f t="shared" si="1"/>
        <v>128.49524456887335</v>
      </c>
      <c r="J17" s="3">
        <f t="shared" si="2"/>
        <v>0.22391885865367239</v>
      </c>
      <c r="K17" s="8">
        <f t="shared" si="3"/>
        <v>2.41</v>
      </c>
      <c r="L17" s="3">
        <f t="shared" si="11"/>
        <v>2.1713506831987344E-2</v>
      </c>
      <c r="M17" s="3">
        <f>SQRT(L17^2+(M1*J17)^2)</f>
        <v>2.1713506831987344E-2</v>
      </c>
      <c r="O17" s="10">
        <f t="shared" si="4"/>
        <v>2120.997031160714</v>
      </c>
      <c r="P17" s="10">
        <f t="shared" si="5"/>
        <v>272538.03224885021</v>
      </c>
      <c r="Q17" s="10">
        <f t="shared" si="6"/>
        <v>35019841.108135499</v>
      </c>
      <c r="R17" s="10">
        <f t="shared" si="7"/>
        <v>5111.6028450973208</v>
      </c>
      <c r="S17" s="10">
        <f t="shared" si="8"/>
        <v>656816.65771972912</v>
      </c>
      <c r="T17" s="11">
        <f t="shared" si="9"/>
        <v>2.542033107846756E-2</v>
      </c>
      <c r="U17" s="10"/>
      <c r="V17" s="10"/>
      <c r="W17" s="10"/>
      <c r="X17" s="10"/>
    </row>
    <row r="18" spans="1:24" x14ac:dyDescent="0.2">
      <c r="A18" s="3">
        <v>50.42</v>
      </c>
      <c r="B18" s="3">
        <f t="shared" si="12"/>
        <v>0.02</v>
      </c>
      <c r="C18" s="3">
        <v>1</v>
      </c>
      <c r="D18" s="2">
        <v>6.4799999999999996E-2</v>
      </c>
      <c r="E18" s="2">
        <f t="shared" si="10"/>
        <v>2.0000000000000001E-4</v>
      </c>
      <c r="F18" s="8">
        <v>3.96</v>
      </c>
      <c r="I18" s="3">
        <f t="shared" si="1"/>
        <v>219.15753674168806</v>
      </c>
      <c r="J18" s="3">
        <f t="shared" si="2"/>
        <v>0.6778072914115113</v>
      </c>
      <c r="K18" s="8">
        <f t="shared" si="3"/>
        <v>3.96</v>
      </c>
      <c r="L18" s="3">
        <f t="shared" si="11"/>
        <v>2.1713506831987344E-2</v>
      </c>
      <c r="M18" s="3">
        <f>SQRT(L18^2+(M1*J18)^2)</f>
        <v>2.1713506831987344E-2</v>
      </c>
      <c r="O18" s="10">
        <f t="shared" si="4"/>
        <v>2120.997031160714</v>
      </c>
      <c r="P18" s="10">
        <f t="shared" si="5"/>
        <v>464832.48478561547</v>
      </c>
      <c r="Q18" s="10">
        <f t="shared" si="6"/>
        <v>101871542.36313368</v>
      </c>
      <c r="R18" s="10">
        <f t="shared" si="7"/>
        <v>8399.1482433964266</v>
      </c>
      <c r="S18" s="10">
        <f t="shared" si="8"/>
        <v>1840736.6397510373</v>
      </c>
      <c r="T18" s="11">
        <f t="shared" si="9"/>
        <v>0.92639670949751807</v>
      </c>
      <c r="U18" s="10"/>
      <c r="V18" s="10"/>
      <c r="W18" s="10"/>
      <c r="X18" s="10"/>
    </row>
    <row r="19" spans="1:24" x14ac:dyDescent="0.2">
      <c r="A19" s="3">
        <v>50.42</v>
      </c>
      <c r="B19" s="3">
        <f t="shared" si="12"/>
        <v>0.02</v>
      </c>
      <c r="C19" s="3">
        <v>2</v>
      </c>
      <c r="D19" s="2">
        <v>7.7499999999999999E-2</v>
      </c>
      <c r="E19" s="2">
        <f t="shared" si="10"/>
        <v>2.0000000000000001E-4</v>
      </c>
      <c r="F19" s="8">
        <v>3.37</v>
      </c>
      <c r="I19" s="3">
        <f t="shared" si="1"/>
        <v>183.24397910788886</v>
      </c>
      <c r="J19" s="3">
        <f t="shared" si="2"/>
        <v>0.47428221158366562</v>
      </c>
      <c r="K19" s="8">
        <f t="shared" si="3"/>
        <v>3.37</v>
      </c>
      <c r="L19" s="3">
        <f t="shared" si="11"/>
        <v>2.1713506831987344E-2</v>
      </c>
      <c r="M19" s="3">
        <f>SQRT(L19^2+(M1*J19)^2)</f>
        <v>2.1713506831987344E-2</v>
      </c>
      <c r="O19" s="10">
        <f t="shared" si="4"/>
        <v>2120.997031160714</v>
      </c>
      <c r="P19" s="10">
        <f t="shared" si="5"/>
        <v>388659.93566590815</v>
      </c>
      <c r="Q19" s="10">
        <f t="shared" si="6"/>
        <v>71219593.131237105</v>
      </c>
      <c r="R19" s="10">
        <f t="shared" si="7"/>
        <v>7147.7599950116064</v>
      </c>
      <c r="S19" s="10">
        <f t="shared" si="8"/>
        <v>1309783.9831941104</v>
      </c>
      <c r="T19" s="11">
        <f t="shared" si="9"/>
        <v>0.34446475359267159</v>
      </c>
      <c r="U19" s="10"/>
      <c r="V19" s="10"/>
      <c r="W19" s="10"/>
      <c r="X19" s="10"/>
    </row>
    <row r="20" spans="1:24" x14ac:dyDescent="0.2">
      <c r="A20" s="3">
        <v>50.42</v>
      </c>
      <c r="B20" s="3">
        <f t="shared" si="12"/>
        <v>0.02</v>
      </c>
      <c r="C20" s="3">
        <v>3</v>
      </c>
      <c r="D20" s="2">
        <v>9.0200000000000002E-2</v>
      </c>
      <c r="E20" s="2">
        <f t="shared" si="10"/>
        <v>2.0000000000000001E-4</v>
      </c>
      <c r="F20" s="8">
        <v>2.92</v>
      </c>
      <c r="I20" s="3">
        <f t="shared" si="1"/>
        <v>157.44355189425039</v>
      </c>
      <c r="J20" s="3">
        <f t="shared" si="2"/>
        <v>0.35049258203466721</v>
      </c>
      <c r="K20" s="8">
        <f t="shared" si="3"/>
        <v>2.92</v>
      </c>
      <c r="L20" s="3">
        <f t="shared" si="11"/>
        <v>2.1713506831987344E-2</v>
      </c>
      <c r="M20" s="3">
        <f>SQRT(L20^2+(M1*J20)^2)</f>
        <v>2.1713506831987344E-2</v>
      </c>
      <c r="O20" s="10">
        <f t="shared" si="4"/>
        <v>2120.997031160714</v>
      </c>
      <c r="P20" s="10">
        <f t="shared" si="5"/>
        <v>333937.30614310288</v>
      </c>
      <c r="Q20" s="10">
        <f t="shared" si="6"/>
        <v>52576275.589167796</v>
      </c>
      <c r="R20" s="10">
        <f t="shared" si="7"/>
        <v>6193.3113309892842</v>
      </c>
      <c r="S20" s="10">
        <f t="shared" si="8"/>
        <v>975096.9339378603</v>
      </c>
      <c r="T20" s="11">
        <f t="shared" si="9"/>
        <v>0.24607884401388508</v>
      </c>
      <c r="U20" s="10"/>
      <c r="V20" s="10"/>
      <c r="W20" s="10"/>
      <c r="X20" s="10"/>
    </row>
    <row r="21" spans="1:24" x14ac:dyDescent="0.2">
      <c r="A21" s="3">
        <v>50.42</v>
      </c>
      <c r="B21" s="3">
        <f t="shared" si="12"/>
        <v>0.02</v>
      </c>
      <c r="C21" s="3">
        <v>4</v>
      </c>
      <c r="D21" s="2">
        <v>0.10299999999999999</v>
      </c>
      <c r="E21" s="2">
        <f t="shared" si="10"/>
        <v>2.0000000000000001E-4</v>
      </c>
      <c r="F21" s="8">
        <v>2.59</v>
      </c>
      <c r="I21" s="3">
        <f t="shared" si="1"/>
        <v>137.87775127049889</v>
      </c>
      <c r="J21" s="3">
        <f t="shared" si="2"/>
        <v>0.26911674488348869</v>
      </c>
      <c r="K21" s="8">
        <f t="shared" si="3"/>
        <v>2.59</v>
      </c>
      <c r="L21" s="3">
        <f t="shared" si="11"/>
        <v>2.1713506831987344E-2</v>
      </c>
      <c r="M21" s="3">
        <f>SQRT(L21^2+(M1*J21)^2)</f>
        <v>2.1713506831987344E-2</v>
      </c>
      <c r="O21" s="10">
        <f t="shared" si="4"/>
        <v>2120.997031160714</v>
      </c>
      <c r="P21" s="10">
        <f t="shared" si="5"/>
        <v>292438.30110784352</v>
      </c>
      <c r="Q21" s="10">
        <f t="shared" si="6"/>
        <v>40320735.342114508</v>
      </c>
      <c r="R21" s="10">
        <f t="shared" si="7"/>
        <v>5493.382310706249</v>
      </c>
      <c r="S21" s="10">
        <f t="shared" si="8"/>
        <v>757415.19986931467</v>
      </c>
      <c r="T21" s="11">
        <f t="shared" si="9"/>
        <v>0.89427714949442505</v>
      </c>
      <c r="U21" s="10"/>
      <c r="V21" s="10"/>
      <c r="W21" s="10"/>
      <c r="X21" s="10"/>
    </row>
    <row r="22" spans="1:24" x14ac:dyDescent="0.2">
      <c r="A22" s="3">
        <v>50.42</v>
      </c>
      <c r="B22" s="3">
        <f t="shared" si="12"/>
        <v>0.02</v>
      </c>
      <c r="C22" s="3">
        <v>5</v>
      </c>
      <c r="D22" s="2">
        <v>0.1154</v>
      </c>
      <c r="E22" s="2">
        <f t="shared" si="10"/>
        <v>2.0000000000000001E-4</v>
      </c>
      <c r="F22" s="8">
        <v>2.33</v>
      </c>
      <c r="I22" s="3">
        <f t="shared" si="1"/>
        <v>123.06246430555794</v>
      </c>
      <c r="J22" s="3">
        <f t="shared" si="2"/>
        <v>0.2146718711267806</v>
      </c>
      <c r="K22" s="8">
        <f t="shared" si="3"/>
        <v>2.33</v>
      </c>
      <c r="L22" s="3">
        <f t="shared" si="11"/>
        <v>2.1713506831987344E-2</v>
      </c>
      <c r="M22" s="3">
        <f>SQRT(L22^2+(M1*J22)^2)</f>
        <v>2.1713506831987344E-2</v>
      </c>
      <c r="O22" s="10">
        <f t="shared" si="4"/>
        <v>2120.997031160714</v>
      </c>
      <c r="P22" s="10">
        <f t="shared" si="5"/>
        <v>261015.12143940973</v>
      </c>
      <c r="Q22" s="10">
        <f t="shared" si="6"/>
        <v>32121164.06534823</v>
      </c>
      <c r="R22" s="10">
        <f t="shared" si="7"/>
        <v>4941.9230826044641</v>
      </c>
      <c r="S22" s="10">
        <f t="shared" si="8"/>
        <v>608165.23295382468</v>
      </c>
      <c r="T22" s="11">
        <f t="shared" si="9"/>
        <v>0.67222813413107663</v>
      </c>
      <c r="U22" s="10"/>
      <c r="V22" s="10"/>
      <c r="W22" s="10"/>
      <c r="X22" s="10"/>
    </row>
    <row r="23" spans="1:24" x14ac:dyDescent="0.2">
      <c r="A23" s="3">
        <v>37.869999999999997</v>
      </c>
      <c r="B23" s="3">
        <f t="shared" si="12"/>
        <v>0.02</v>
      </c>
      <c r="C23" s="3">
        <v>1</v>
      </c>
      <c r="D23" s="2">
        <v>6.4799999999999996E-2</v>
      </c>
      <c r="E23" s="2">
        <f t="shared" si="10"/>
        <v>2.0000000000000001E-4</v>
      </c>
      <c r="F23" s="8">
        <v>3.44</v>
      </c>
      <c r="I23" s="3">
        <f t="shared" si="1"/>
        <v>189.93396842303008</v>
      </c>
      <c r="J23" s="3">
        <f t="shared" si="2"/>
        <v>0.58835753280764425</v>
      </c>
      <c r="K23" s="8">
        <f t="shared" si="3"/>
        <v>3.44</v>
      </c>
      <c r="L23" s="3">
        <f t="shared" si="11"/>
        <v>2.1713506831987344E-2</v>
      </c>
      <c r="M23" s="3">
        <f>SQRT(L23^2+(M1*J23)^2)</f>
        <v>2.1713506831987344E-2</v>
      </c>
      <c r="O23" s="10">
        <f t="shared" si="4"/>
        <v>2120.997031160714</v>
      </c>
      <c r="P23" s="10">
        <f t="shared" si="5"/>
        <v>402849.38314181962</v>
      </c>
      <c r="Q23" s="10">
        <f t="shared" si="6"/>
        <v>76514782.016895518</v>
      </c>
      <c r="R23" s="10">
        <f t="shared" si="7"/>
        <v>7296.2297871928558</v>
      </c>
      <c r="S23" s="10">
        <f t="shared" si="8"/>
        <v>1385801.8780078595</v>
      </c>
      <c r="T23" s="11">
        <f t="shared" si="9"/>
        <v>2.3701434713175602</v>
      </c>
      <c r="U23" s="10"/>
      <c r="V23" s="10"/>
      <c r="W23" s="10"/>
      <c r="X23" s="10"/>
    </row>
    <row r="24" spans="1:24" x14ac:dyDescent="0.2">
      <c r="A24" s="3">
        <v>37.869999999999997</v>
      </c>
      <c r="B24" s="3">
        <f t="shared" si="12"/>
        <v>0.02</v>
      </c>
      <c r="C24" s="3">
        <v>2</v>
      </c>
      <c r="D24" s="2">
        <v>7.7499999999999999E-2</v>
      </c>
      <c r="E24" s="2">
        <f t="shared" si="10"/>
        <v>2.0000000000000001E-4</v>
      </c>
      <c r="F24" s="8">
        <v>2.94</v>
      </c>
      <c r="I24" s="3">
        <f t="shared" si="1"/>
        <v>158.80930521048191</v>
      </c>
      <c r="J24" s="3">
        <f t="shared" si="2"/>
        <v>0.41197037108861767</v>
      </c>
      <c r="K24" s="8">
        <f t="shared" si="3"/>
        <v>2.94</v>
      </c>
      <c r="L24" s="3">
        <f t="shared" si="11"/>
        <v>2.1713506831987344E-2</v>
      </c>
      <c r="M24" s="3">
        <f>SQRT(L24^2+(M1*J24)^2)</f>
        <v>2.1713506831987344E-2</v>
      </c>
      <c r="O24" s="10">
        <f t="shared" si="4"/>
        <v>2120.997031160714</v>
      </c>
      <c r="P24" s="10">
        <f t="shared" si="5"/>
        <v>336834.06487212784</v>
      </c>
      <c r="Q24" s="10">
        <f t="shared" si="6"/>
        <v>53492383.813565016</v>
      </c>
      <c r="R24" s="10">
        <f t="shared" si="7"/>
        <v>6235.7312716124989</v>
      </c>
      <c r="S24" s="10">
        <f t="shared" si="8"/>
        <v>990292.15072405571</v>
      </c>
      <c r="T24" s="11">
        <f t="shared" si="9"/>
        <v>0.10556281367036277</v>
      </c>
      <c r="U24" s="10"/>
      <c r="V24" s="10"/>
      <c r="W24" s="10"/>
      <c r="X24" s="10"/>
    </row>
    <row r="25" spans="1:24" x14ac:dyDescent="0.2">
      <c r="A25" s="3">
        <v>37.869999999999997</v>
      </c>
      <c r="B25" s="3">
        <f t="shared" si="12"/>
        <v>0.02</v>
      </c>
      <c r="C25" s="3">
        <v>3</v>
      </c>
      <c r="D25" s="2">
        <v>9.0200000000000002E-2</v>
      </c>
      <c r="E25" s="2">
        <f t="shared" si="10"/>
        <v>2.0000000000000001E-4</v>
      </c>
      <c r="F25" s="8">
        <v>2.5499999999999998</v>
      </c>
      <c r="I25" s="3">
        <f t="shared" si="1"/>
        <v>136.4492367384961</v>
      </c>
      <c r="J25" s="3">
        <f t="shared" si="2"/>
        <v>0.30468613567701774</v>
      </c>
      <c r="K25" s="8">
        <f t="shared" si="3"/>
        <v>2.5499999999999998</v>
      </c>
      <c r="L25" s="3">
        <f t="shared" si="11"/>
        <v>2.1713506831987344E-2</v>
      </c>
      <c r="M25" s="3">
        <f>SQRT(L25^2+(M1*J25)^2)</f>
        <v>2.1713506831987344E-2</v>
      </c>
      <c r="O25" s="10">
        <f t="shared" si="4"/>
        <v>2120.997031160714</v>
      </c>
      <c r="P25" s="10">
        <f t="shared" si="5"/>
        <v>289408.42602649564</v>
      </c>
      <c r="Q25" s="10">
        <f t="shared" si="6"/>
        <v>39489558.83700484</v>
      </c>
      <c r="R25" s="10">
        <f t="shared" si="7"/>
        <v>5408.5424294598206</v>
      </c>
      <c r="S25" s="10">
        <f t="shared" si="8"/>
        <v>737991.48636756383</v>
      </c>
      <c r="T25" s="10">
        <f>O25*(K25-W$11-W$12*I25)^2</f>
        <v>6.0480662841701623E-2</v>
      </c>
      <c r="U25" s="10"/>
      <c r="V25" s="10"/>
      <c r="W25" s="10"/>
      <c r="X25" s="10"/>
    </row>
    <row r="26" spans="1:24" x14ac:dyDescent="0.2">
      <c r="A26" s="3">
        <v>37.869999999999997</v>
      </c>
      <c r="B26" s="3">
        <f t="shared" si="12"/>
        <v>0.02</v>
      </c>
      <c r="C26" s="3">
        <v>4</v>
      </c>
      <c r="D26" s="2">
        <v>0.10299999999999999</v>
      </c>
      <c r="E26" s="2">
        <f t="shared" si="10"/>
        <v>2.0000000000000001E-4</v>
      </c>
      <c r="F26" s="8">
        <v>2.25</v>
      </c>
      <c r="I26" s="3">
        <f t="shared" si="1"/>
        <v>119.49243838652767</v>
      </c>
      <c r="J26" s="3">
        <f t="shared" si="2"/>
        <v>0.23415981608593198</v>
      </c>
      <c r="K26" s="8">
        <f t="shared" si="3"/>
        <v>2.25</v>
      </c>
      <c r="L26" s="3">
        <f t="shared" si="11"/>
        <v>2.1713506831987344E-2</v>
      </c>
      <c r="M26" s="3">
        <f>SQRT(L26^2+(M1*J26)^2)</f>
        <v>2.1713506831987344E-2</v>
      </c>
      <c r="O26" s="10">
        <f t="shared" si="4"/>
        <v>2120.997031160714</v>
      </c>
      <c r="P26" s="10">
        <f t="shared" si="5"/>
        <v>253443.10706397973</v>
      </c>
      <c r="Q26" s="10">
        <f t="shared" si="6"/>
        <v>30284534.855332732</v>
      </c>
      <c r="R26" s="10">
        <f t="shared" si="7"/>
        <v>4772.2433201116064</v>
      </c>
      <c r="S26" s="10">
        <f t="shared" si="8"/>
        <v>570246.99089395429</v>
      </c>
      <c r="T26" s="11">
        <f t="shared" si="9"/>
        <v>8.7654871480187126E-5</v>
      </c>
      <c r="U26" s="10"/>
      <c r="V26" s="10"/>
      <c r="W26" s="10"/>
      <c r="X26" s="10"/>
    </row>
    <row r="27" spans="1:24" x14ac:dyDescent="0.2">
      <c r="A27" s="3">
        <v>37.869999999999997</v>
      </c>
      <c r="B27" s="3">
        <f t="shared" si="12"/>
        <v>0.02</v>
      </c>
      <c r="C27" s="3">
        <v>5</v>
      </c>
      <c r="D27" s="2">
        <v>0.1154</v>
      </c>
      <c r="E27" s="2">
        <f t="shared" si="10"/>
        <v>2.0000000000000001E-4</v>
      </c>
      <c r="F27" s="8">
        <v>2.04</v>
      </c>
      <c r="I27" s="3">
        <f t="shared" si="1"/>
        <v>106.6526963068661</v>
      </c>
      <c r="J27" s="3">
        <f t="shared" si="2"/>
        <v>0.18697321177185153</v>
      </c>
      <c r="K27" s="8">
        <f t="shared" si="3"/>
        <v>2.04</v>
      </c>
      <c r="L27" s="3">
        <f t="shared" si="11"/>
        <v>2.1713506831987344E-2</v>
      </c>
      <c r="M27" s="3">
        <f>SQRT(L27^2+(M1*J27)^2)</f>
        <v>2.1713506831987344E-2</v>
      </c>
      <c r="O27" s="10">
        <f t="shared" si="4"/>
        <v>2120.997031160714</v>
      </c>
      <c r="P27" s="10">
        <f t="shared" si="5"/>
        <v>226210.05223214824</v>
      </c>
      <c r="Q27" s="10">
        <f t="shared" si="6"/>
        <v>24125912.002275627</v>
      </c>
      <c r="R27" s="10">
        <f t="shared" si="7"/>
        <v>4326.8339435678563</v>
      </c>
      <c r="S27" s="10">
        <f t="shared" si="8"/>
        <v>461468.50655358244</v>
      </c>
      <c r="T27" s="11">
        <f t="shared" si="9"/>
        <v>0.34535195850702188</v>
      </c>
      <c r="U27" s="10"/>
      <c r="V27" s="10"/>
      <c r="W27" s="10"/>
      <c r="X27" s="10"/>
    </row>
    <row r="28" spans="1:24" x14ac:dyDescent="0.2">
      <c r="A28" s="3">
        <v>29.12</v>
      </c>
      <c r="B28" s="3">
        <f t="shared" si="12"/>
        <v>0.02</v>
      </c>
      <c r="C28" s="3">
        <v>1</v>
      </c>
      <c r="D28" s="2">
        <v>6.4799999999999996E-2</v>
      </c>
      <c r="E28" s="2">
        <f t="shared" si="10"/>
        <v>2.0000000000000001E-4</v>
      </c>
      <c r="F28" s="8">
        <v>3.07</v>
      </c>
      <c r="I28" s="3">
        <f t="shared" si="1"/>
        <v>166.55231559545732</v>
      </c>
      <c r="J28" s="3">
        <f t="shared" si="2"/>
        <v>0.51722244345072588</v>
      </c>
      <c r="K28" s="8">
        <f t="shared" si="3"/>
        <v>3.07</v>
      </c>
      <c r="L28" s="3">
        <f t="shared" si="11"/>
        <v>2.1713506831987344E-2</v>
      </c>
      <c r="M28" s="3">
        <f>SQRT(L28^2+(M1*J28)^2)</f>
        <v>2.1713506831987344E-2</v>
      </c>
      <c r="O28" s="10">
        <f t="shared" si="4"/>
        <v>2120.997031160714</v>
      </c>
      <c r="P28" s="10">
        <f t="shared" si="5"/>
        <v>353256.96691090724</v>
      </c>
      <c r="Q28" s="10">
        <f t="shared" si="6"/>
        <v>58835765.839239448</v>
      </c>
      <c r="R28" s="10">
        <f t="shared" si="7"/>
        <v>6511.4608856633913</v>
      </c>
      <c r="S28" s="10">
        <f t="shared" si="8"/>
        <v>1084498.8884164852</v>
      </c>
      <c r="T28" s="10">
        <f>O28*(K28-W$11-W$12*I28)^2</f>
        <v>1.4299909941165957E-2</v>
      </c>
      <c r="U28" s="10"/>
      <c r="V28" s="10"/>
      <c r="W28" s="10"/>
      <c r="X28" s="10"/>
    </row>
    <row r="29" spans="1:24" x14ac:dyDescent="0.2">
      <c r="A29" s="3">
        <v>29.12</v>
      </c>
      <c r="B29" s="3">
        <f t="shared" si="12"/>
        <v>0.02</v>
      </c>
      <c r="C29" s="3">
        <v>2</v>
      </c>
      <c r="D29" s="2">
        <v>7.7499999999999999E-2</v>
      </c>
      <c r="E29" s="2">
        <f t="shared" si="10"/>
        <v>2.0000000000000001E-4</v>
      </c>
      <c r="F29" s="8">
        <v>2.04</v>
      </c>
      <c r="I29" s="3">
        <f t="shared" si="1"/>
        <v>139.25922645916947</v>
      </c>
      <c r="J29" s="3">
        <f t="shared" si="2"/>
        <v>0.36254656019252485</v>
      </c>
      <c r="K29" s="12">
        <v>2.6</v>
      </c>
      <c r="L29" s="3">
        <f t="shared" si="11"/>
        <v>2.1713506831987344E-2</v>
      </c>
      <c r="M29" s="3">
        <f>SQRT(L29^2+(M1*J29)^2)</f>
        <v>2.1713506831987344E-2</v>
      </c>
      <c r="O29" s="10">
        <f t="shared" si="4"/>
        <v>2120.997031160714</v>
      </c>
      <c r="P29" s="10">
        <f t="shared" si="5"/>
        <v>295368.40588163596</v>
      </c>
      <c r="Q29" s="10">
        <f t="shared" si="6"/>
        <v>41132775.723554626</v>
      </c>
      <c r="R29" s="10">
        <f t="shared" si="7"/>
        <v>5514.5922810178563</v>
      </c>
      <c r="S29" s="10">
        <f t="shared" si="8"/>
        <v>767957.85529225355</v>
      </c>
      <c r="T29" s="10">
        <f>O29*(K29-W$11-W$12*I29)^2</f>
        <v>9.0834145515914233E-2</v>
      </c>
      <c r="U29" s="10"/>
      <c r="V29" s="10"/>
      <c r="W29" s="10"/>
      <c r="X29" s="10"/>
    </row>
    <row r="30" spans="1:24" x14ac:dyDescent="0.2">
      <c r="A30" s="3">
        <v>29.12</v>
      </c>
      <c r="B30" s="3">
        <f t="shared" si="12"/>
        <v>0.02</v>
      </c>
      <c r="C30" s="3">
        <v>3</v>
      </c>
      <c r="D30" s="2">
        <v>9.0200000000000002E-2</v>
      </c>
      <c r="E30" s="2">
        <f t="shared" si="10"/>
        <v>2.0000000000000001E-4</v>
      </c>
      <c r="F30" s="8">
        <v>2.25</v>
      </c>
      <c r="I30" s="3">
        <f t="shared" si="1"/>
        <v>119.65177439673651</v>
      </c>
      <c r="J30" s="3">
        <f t="shared" si="2"/>
        <v>0.26846628776698706</v>
      </c>
      <c r="K30" s="8">
        <f t="shared" si="3"/>
        <v>2.25</v>
      </c>
      <c r="L30" s="3">
        <f t="shared" si="11"/>
        <v>2.1713506831987344E-2</v>
      </c>
      <c r="M30" s="3">
        <f>SQRT(L30^2+(M1*J30)^2)</f>
        <v>2.1713506831987344E-2</v>
      </c>
      <c r="O30" s="10">
        <f t="shared" si="4"/>
        <v>2120.997031160714</v>
      </c>
      <c r="P30" s="10">
        <f t="shared" si="5"/>
        <v>253781.05826858967</v>
      </c>
      <c r="Q30" s="10">
        <f t="shared" si="6"/>
        <v>30365353.930118334</v>
      </c>
      <c r="R30" s="10">
        <f t="shared" si="7"/>
        <v>4772.2433201116064</v>
      </c>
      <c r="S30" s="10">
        <f t="shared" si="8"/>
        <v>571007.38110432669</v>
      </c>
      <c r="T30" s="10">
        <f>O30*(K30-W$11-W$12*I30)^2</f>
        <v>1.871135796069448E-2</v>
      </c>
      <c r="U30" s="10"/>
      <c r="V30" s="10"/>
      <c r="W30" s="10"/>
      <c r="X30" s="10"/>
    </row>
    <row r="31" spans="1:24" x14ac:dyDescent="0.2">
      <c r="A31" s="3">
        <v>29.12</v>
      </c>
      <c r="B31" s="3">
        <f t="shared" si="12"/>
        <v>0.02</v>
      </c>
      <c r="C31" s="3">
        <v>4</v>
      </c>
      <c r="D31" s="2">
        <v>0.10299999999999999</v>
      </c>
      <c r="E31" s="2">
        <f t="shared" si="10"/>
        <v>2.0000000000000001E-4</v>
      </c>
      <c r="F31" s="8">
        <v>2.0099999999999998</v>
      </c>
      <c r="I31" s="3">
        <f t="shared" si="1"/>
        <v>104.78242767558869</v>
      </c>
      <c r="J31" s="3">
        <f t="shared" si="2"/>
        <v>0.20661839980250127</v>
      </c>
      <c r="K31" s="8">
        <f t="shared" si="3"/>
        <v>2.0099999999999998</v>
      </c>
      <c r="L31" s="3">
        <f t="shared" si="11"/>
        <v>2.1713506831987344E-2</v>
      </c>
      <c r="M31" s="3">
        <f>SQRT(L31^2+(M1*J31)^2)</f>
        <v>2.1713506831987344E-2</v>
      </c>
      <c r="O31" s="10">
        <f t="shared" si="4"/>
        <v>2120.997031160714</v>
      </c>
      <c r="P31" s="10">
        <f t="shared" si="5"/>
        <v>222243.21801773584</v>
      </c>
      <c r="Q31" s="10">
        <f t="shared" si="6"/>
        <v>23287183.918333497</v>
      </c>
      <c r="R31" s="10">
        <f t="shared" si="7"/>
        <v>4263.2040326330343</v>
      </c>
      <c r="S31" s="10">
        <f t="shared" si="8"/>
        <v>446708.86821564904</v>
      </c>
      <c r="T31" s="11">
        <f t="shared" si="9"/>
        <v>0.49247096754115627</v>
      </c>
      <c r="U31" s="10"/>
      <c r="V31" s="10"/>
      <c r="W31" s="10"/>
      <c r="X31" s="10"/>
    </row>
    <row r="32" spans="1:24" x14ac:dyDescent="0.2">
      <c r="A32" s="3">
        <v>29.12</v>
      </c>
      <c r="B32" s="3">
        <f t="shared" si="12"/>
        <v>0.02</v>
      </c>
      <c r="C32" s="3">
        <v>5</v>
      </c>
      <c r="D32" s="2">
        <v>0.1154</v>
      </c>
      <c r="E32" s="2">
        <f t="shared" si="10"/>
        <v>2.0000000000000001E-4</v>
      </c>
      <c r="F32" s="8">
        <v>1.8</v>
      </c>
      <c r="I32" s="3">
        <f t="shared" si="1"/>
        <v>93.523310663653675</v>
      </c>
      <c r="J32" s="3">
        <f t="shared" si="2"/>
        <v>0.16523670123428696</v>
      </c>
      <c r="K32" s="8">
        <f t="shared" si="3"/>
        <v>1.8</v>
      </c>
      <c r="L32" s="3">
        <f t="shared" si="11"/>
        <v>2.1713506831987344E-2</v>
      </c>
      <c r="M32" s="3">
        <f>SQRT(L32^2+(M1*J32)^2)</f>
        <v>2.1713506831987344E-2</v>
      </c>
      <c r="O32" s="10">
        <f t="shared" si="4"/>
        <v>2120.997031160714</v>
      </c>
      <c r="P32" s="10">
        <f t="shared" si="5"/>
        <v>198362.66426193059</v>
      </c>
      <c r="Q32" s="10">
        <f t="shared" si="6"/>
        <v>18551533.073838565</v>
      </c>
      <c r="R32" s="10">
        <f t="shared" si="7"/>
        <v>3817.7946560892851</v>
      </c>
      <c r="S32" s="10">
        <f t="shared" si="8"/>
        <v>357052.79567147506</v>
      </c>
      <c r="T32" s="11">
        <f t="shared" si="9"/>
        <v>1.2045011636633021E-3</v>
      </c>
      <c r="U32" s="10"/>
      <c r="V32" s="10"/>
      <c r="W32" s="10"/>
      <c r="X32" s="10"/>
    </row>
    <row r="33" spans="1:24" x14ac:dyDescent="0.2">
      <c r="A33" s="3">
        <v>43.89</v>
      </c>
      <c r="B33" s="3">
        <f t="shared" si="12"/>
        <v>0.02</v>
      </c>
      <c r="C33" s="3">
        <v>1</v>
      </c>
      <c r="D33" s="2">
        <v>6.4799999999999996E-2</v>
      </c>
      <c r="E33" s="2">
        <f t="shared" si="10"/>
        <v>2.0000000000000001E-4</v>
      </c>
      <c r="F33" s="8">
        <v>3.78</v>
      </c>
      <c r="I33" s="3">
        <f t="shared" si="1"/>
        <v>204.47385277841835</v>
      </c>
      <c r="J33" s="3">
        <f t="shared" si="2"/>
        <v>0.63280937886761224</v>
      </c>
      <c r="K33" s="8">
        <f t="shared" si="3"/>
        <v>3.78</v>
      </c>
      <c r="L33" s="3">
        <f t="shared" si="11"/>
        <v>2.1713506831987344E-2</v>
      </c>
      <c r="M33" s="3">
        <f>SQRT(L33^2+(M1*J33)^2)</f>
        <v>2.1713506831987344E-2</v>
      </c>
      <c r="O33" s="10">
        <f t="shared" si="4"/>
        <v>2120.997031160714</v>
      </c>
      <c r="P33" s="10">
        <f t="shared" si="5"/>
        <v>433688.43469301821</v>
      </c>
      <c r="Q33" s="10">
        <f t="shared" si="6"/>
        <v>88677945.147122905</v>
      </c>
      <c r="R33" s="10">
        <f t="shared" si="7"/>
        <v>8017.3687777874984</v>
      </c>
      <c r="S33" s="10">
        <f t="shared" si="8"/>
        <v>1639342.2831396088</v>
      </c>
      <c r="T33" s="11">
        <f t="shared" si="9"/>
        <v>6.2042472649288252</v>
      </c>
      <c r="U33" s="10"/>
      <c r="V33" s="10"/>
      <c r="W33" s="10"/>
      <c r="X33" s="10"/>
    </row>
    <row r="34" spans="1:24" x14ac:dyDescent="0.2">
      <c r="A34" s="3">
        <v>43.89</v>
      </c>
      <c r="B34" s="3">
        <f t="shared" si="12"/>
        <v>0.02</v>
      </c>
      <c r="C34" s="3">
        <v>2</v>
      </c>
      <c r="D34" s="2">
        <v>7.7499999999999999E-2</v>
      </c>
      <c r="E34" s="2">
        <f t="shared" si="10"/>
        <v>2.0000000000000001E-4</v>
      </c>
      <c r="F34" s="8">
        <v>3.15</v>
      </c>
      <c r="I34" s="3">
        <f t="shared" si="1"/>
        <v>170.96652464569686</v>
      </c>
      <c r="J34" s="3">
        <f t="shared" si="2"/>
        <v>0.44292017359230634</v>
      </c>
      <c r="K34" s="8">
        <f t="shared" si="3"/>
        <v>3.15</v>
      </c>
      <c r="L34" s="3">
        <f t="shared" si="11"/>
        <v>2.1713506831987344E-2</v>
      </c>
      <c r="M34" s="3">
        <f>SQRT(L34^2+(M1*J34)^2)</f>
        <v>2.1713506831987344E-2</v>
      </c>
      <c r="O34" s="10">
        <f t="shared" si="4"/>
        <v>2120.997031160714</v>
      </c>
      <c r="P34" s="10">
        <f t="shared" si="5"/>
        <v>362619.49120138807</v>
      </c>
      <c r="Q34" s="10">
        <f t="shared" si="6"/>
        <v>61995794.179492168</v>
      </c>
      <c r="R34" s="10">
        <f t="shared" si="7"/>
        <v>6681.140648156249</v>
      </c>
      <c r="S34" s="10">
        <f t="shared" si="8"/>
        <v>1142251.3972843725</v>
      </c>
      <c r="T34" s="11">
        <f t="shared" si="9"/>
        <v>7.4919678398412168E-2</v>
      </c>
      <c r="U34" s="10"/>
      <c r="V34" s="10"/>
      <c r="W34" s="10"/>
      <c r="X34" s="10"/>
    </row>
    <row r="35" spans="1:24" x14ac:dyDescent="0.2">
      <c r="A35" s="3">
        <v>43.89</v>
      </c>
      <c r="B35" s="3">
        <f t="shared" si="12"/>
        <v>0.02</v>
      </c>
      <c r="C35" s="3">
        <v>3</v>
      </c>
      <c r="D35" s="2">
        <v>9.0200000000000002E-2</v>
      </c>
      <c r="E35" s="2">
        <f t="shared" si="10"/>
        <v>2.0000000000000001E-4</v>
      </c>
      <c r="F35" s="8">
        <v>2.74</v>
      </c>
      <c r="I35" s="3">
        <f t="shared" si="1"/>
        <v>146.8947412421453</v>
      </c>
      <c r="J35" s="3">
        <f t="shared" si="2"/>
        <v>0.32742402221066436</v>
      </c>
      <c r="K35" s="8">
        <f t="shared" si="3"/>
        <v>2.74</v>
      </c>
      <c r="L35" s="3">
        <f t="shared" si="11"/>
        <v>2.1713506831987344E-2</v>
      </c>
      <c r="M35" s="3">
        <f>SQRT(L35^2+(M1*J35)^2)</f>
        <v>2.1713506831987344E-2</v>
      </c>
      <c r="O35" s="10">
        <f t="shared" si="4"/>
        <v>2120.997031160714</v>
      </c>
      <c r="P35" s="10">
        <f t="shared" si="5"/>
        <v>311563.31006771146</v>
      </c>
      <c r="Q35" s="10">
        <f t="shared" si="6"/>
        <v>45767011.812942758</v>
      </c>
      <c r="R35" s="10">
        <f t="shared" si="7"/>
        <v>5811.531865380357</v>
      </c>
      <c r="S35" s="10">
        <f t="shared" si="8"/>
        <v>853683.46958552953</v>
      </c>
      <c r="T35" s="11">
        <f t="shared" si="9"/>
        <v>0.41290403871131581</v>
      </c>
      <c r="U35" s="10"/>
      <c r="V35" s="10"/>
      <c r="W35" s="10"/>
      <c r="X35" s="10"/>
    </row>
    <row r="36" spans="1:24" x14ac:dyDescent="0.2">
      <c r="A36" s="3">
        <v>43.89</v>
      </c>
      <c r="B36" s="3">
        <f t="shared" si="12"/>
        <v>0.02</v>
      </c>
      <c r="C36" s="3">
        <v>4</v>
      </c>
      <c r="D36" s="2">
        <v>0.10299999999999999</v>
      </c>
      <c r="E36" s="2">
        <f t="shared" si="10"/>
        <v>2.0000000000000001E-4</v>
      </c>
      <c r="F36" s="8">
        <v>2.41</v>
      </c>
      <c r="I36" s="3">
        <f t="shared" si="1"/>
        <v>128.63986077710203</v>
      </c>
      <c r="J36" s="3">
        <f t="shared" si="2"/>
        <v>0.25149983589911595</v>
      </c>
      <c r="K36" s="8">
        <f t="shared" si="3"/>
        <v>2.41</v>
      </c>
      <c r="L36" s="3">
        <f t="shared" si="11"/>
        <v>2.1713506831987344E-2</v>
      </c>
      <c r="M36" s="3">
        <f>SQRT(L36^2+(M1*J36)^2)</f>
        <v>2.1713506831987344E-2</v>
      </c>
      <c r="O36" s="10">
        <f t="shared" si="4"/>
        <v>2120.997031160714</v>
      </c>
      <c r="P36" s="10">
        <f t="shared" si="5"/>
        <v>272844.76279716101</v>
      </c>
      <c r="Q36" s="10">
        <f t="shared" si="6"/>
        <v>35098712.299988218</v>
      </c>
      <c r="R36" s="10">
        <f t="shared" si="7"/>
        <v>5111.6028450973208</v>
      </c>
      <c r="S36" s="10">
        <f t="shared" si="8"/>
        <v>657555.87834115792</v>
      </c>
      <c r="T36" s="11">
        <f t="shared" si="9"/>
        <v>1.9169057208260521E-3</v>
      </c>
      <c r="U36" s="10"/>
      <c r="V36" s="10"/>
      <c r="W36" s="10"/>
      <c r="X36" s="10"/>
    </row>
    <row r="37" spans="1:24" x14ac:dyDescent="0.2">
      <c r="A37" s="3">
        <v>43.89</v>
      </c>
      <c r="B37" s="3">
        <f t="shared" si="12"/>
        <v>0.02</v>
      </c>
      <c r="C37" s="3">
        <v>5</v>
      </c>
      <c r="D37" s="2">
        <v>0.1154</v>
      </c>
      <c r="E37" s="2">
        <f t="shared" si="10"/>
        <v>2.0000000000000001E-4</v>
      </c>
      <c r="F37" s="8">
        <v>2.1800000000000002</v>
      </c>
      <c r="I37" s="3">
        <f t="shared" si="1"/>
        <v>114.81720675945847</v>
      </c>
      <c r="J37" s="3">
        <f t="shared" si="2"/>
        <v>0.20070217037834498</v>
      </c>
      <c r="K37" s="8">
        <f t="shared" si="3"/>
        <v>2.1800000000000002</v>
      </c>
      <c r="L37" s="3">
        <f t="shared" si="11"/>
        <v>2.1713506831987344E-2</v>
      </c>
      <c r="M37" s="3">
        <f>SQRT(L37^2+(M1*J37)^2)</f>
        <v>2.1713506831987344E-2</v>
      </c>
      <c r="O37" s="10">
        <f t="shared" si="4"/>
        <v>2120.997031160714</v>
      </c>
      <c r="P37" s="10">
        <f t="shared" si="5"/>
        <v>243526.95466297728</v>
      </c>
      <c r="Q37" s="10">
        <f t="shared" si="6"/>
        <v>27961084.705040332</v>
      </c>
      <c r="R37" s="10">
        <f t="shared" si="7"/>
        <v>4623.773527930357</v>
      </c>
      <c r="S37" s="10">
        <f t="shared" si="8"/>
        <v>530888.76116529049</v>
      </c>
      <c r="T37" s="11">
        <f t="shared" si="9"/>
        <v>0.25583131858550129</v>
      </c>
      <c r="U37" s="10"/>
      <c r="V37" s="10"/>
      <c r="W37" s="10"/>
      <c r="X37" s="10"/>
    </row>
    <row r="38" spans="1:24" x14ac:dyDescent="0.2">
      <c r="A38" s="3">
        <v>22.05</v>
      </c>
      <c r="B38" s="3">
        <f t="shared" si="12"/>
        <v>0.02</v>
      </c>
      <c r="C38" s="3">
        <v>1</v>
      </c>
      <c r="D38" s="2">
        <v>6.4799999999999996E-2</v>
      </c>
      <c r="E38" s="2">
        <f t="shared" si="10"/>
        <v>2.0000000000000001E-4</v>
      </c>
      <c r="F38" s="8">
        <v>2.63</v>
      </c>
      <c r="I38" s="3">
        <f t="shared" si="1"/>
        <v>144.93033187498639</v>
      </c>
      <c r="J38" s="3">
        <f t="shared" si="2"/>
        <v>0.45211905001808739</v>
      </c>
      <c r="K38" s="8">
        <f t="shared" si="3"/>
        <v>2.63</v>
      </c>
      <c r="L38" s="3">
        <f t="shared" si="11"/>
        <v>2.1713506831987344E-2</v>
      </c>
      <c r="M38" s="3">
        <f>SQRT(L38^2+(M1*J38)^2)</f>
        <v>2.1713506831987344E-2</v>
      </c>
      <c r="O38" s="10">
        <f t="shared" si="4"/>
        <v>2120.997031160714</v>
      </c>
      <c r="P38" s="10">
        <f t="shared" si="5"/>
        <v>307396.80363198312</v>
      </c>
      <c r="Q38" s="10">
        <f t="shared" si="6"/>
        <v>44551120.767693333</v>
      </c>
      <c r="R38" s="10">
        <f t="shared" si="7"/>
        <v>5578.2221919526773</v>
      </c>
      <c r="S38" s="10">
        <f t="shared" si="8"/>
        <v>808453.59355211561</v>
      </c>
      <c r="T38" s="11">
        <f t="shared" si="9"/>
        <v>8.1360856447454566</v>
      </c>
      <c r="U38" s="10"/>
      <c r="V38" s="10"/>
      <c r="W38" s="10"/>
      <c r="X38" s="10"/>
    </row>
    <row r="39" spans="1:24" x14ac:dyDescent="0.2">
      <c r="A39" s="3">
        <v>22.05</v>
      </c>
      <c r="B39" s="3">
        <f t="shared" si="12"/>
        <v>0.02</v>
      </c>
      <c r="C39" s="3">
        <v>2</v>
      </c>
      <c r="D39" s="2">
        <v>7.7499999999999999E-2</v>
      </c>
      <c r="E39" s="2">
        <f t="shared" si="10"/>
        <v>2.0000000000000001E-4</v>
      </c>
      <c r="F39" s="8">
        <v>2.23</v>
      </c>
      <c r="I39" s="3">
        <f t="shared" si="1"/>
        <v>121.18045813547249</v>
      </c>
      <c r="J39" s="3">
        <f t="shared" si="2"/>
        <v>0.31751604268985295</v>
      </c>
      <c r="K39" s="8">
        <f t="shared" si="3"/>
        <v>2.23</v>
      </c>
      <c r="L39" s="3">
        <f t="shared" si="11"/>
        <v>2.1713506831987344E-2</v>
      </c>
      <c r="M39" s="3">
        <f>SQRT(L39^2+(M1*J39)^2)</f>
        <v>2.1713506831987344E-2</v>
      </c>
      <c r="O39" s="10">
        <f t="shared" si="4"/>
        <v>2120.997031160714</v>
      </c>
      <c r="P39" s="10">
        <f t="shared" si="5"/>
        <v>257023.39194003234</v>
      </c>
      <c r="Q39" s="10">
        <f t="shared" si="6"/>
        <v>31146212.386826225</v>
      </c>
      <c r="R39" s="10">
        <f t="shared" si="7"/>
        <v>4729.8233794883918</v>
      </c>
      <c r="S39" s="10">
        <f t="shared" si="8"/>
        <v>573162.16402627213</v>
      </c>
      <c r="T39" s="11">
        <f t="shared" si="9"/>
        <v>5.200322101805936</v>
      </c>
      <c r="U39" s="10"/>
      <c r="V39" s="10"/>
      <c r="W39" s="10"/>
      <c r="X39" s="10"/>
    </row>
    <row r="40" spans="1:24" x14ac:dyDescent="0.2">
      <c r="A40" s="3">
        <v>22.05</v>
      </c>
      <c r="B40" s="3">
        <f t="shared" si="12"/>
        <v>0.02</v>
      </c>
      <c r="C40" s="3">
        <v>3</v>
      </c>
      <c r="D40" s="2">
        <v>9.0200000000000002E-2</v>
      </c>
      <c r="E40" s="2">
        <f t="shared" si="10"/>
        <v>2.0000000000000001E-4</v>
      </c>
      <c r="F40" s="8">
        <v>1.96</v>
      </c>
      <c r="I40" s="3">
        <f t="shared" si="1"/>
        <v>104.11846458424742</v>
      </c>
      <c r="J40" s="3">
        <f t="shared" si="2"/>
        <v>0.2356408642669067</v>
      </c>
      <c r="K40" s="8">
        <f t="shared" si="3"/>
        <v>1.96</v>
      </c>
      <c r="L40" s="3">
        <f t="shared" si="11"/>
        <v>2.1713506831987344E-2</v>
      </c>
      <c r="M40" s="3">
        <f>SQRT(L40^2+(M1*J40)^2)</f>
        <v>2.1713506831987344E-2</v>
      </c>
      <c r="O40" s="10">
        <f t="shared" si="4"/>
        <v>2120.997031160714</v>
      </c>
      <c r="P40" s="10">
        <f t="shared" si="5"/>
        <v>220834.9542722007</v>
      </c>
      <c r="Q40" s="10">
        <f t="shared" si="6"/>
        <v>22992996.365354028</v>
      </c>
      <c r="R40" s="10">
        <f t="shared" si="7"/>
        <v>4157.1541810749995</v>
      </c>
      <c r="S40" s="10">
        <f t="shared" si="8"/>
        <v>432836.51037351339</v>
      </c>
      <c r="T40" s="11">
        <f t="shared" si="9"/>
        <v>1.1448036251114269</v>
      </c>
      <c r="U40" s="10"/>
      <c r="V40" s="10"/>
      <c r="W40" s="10"/>
      <c r="X40" s="10"/>
    </row>
    <row r="41" spans="1:24" x14ac:dyDescent="0.2">
      <c r="A41" s="3">
        <v>22.05</v>
      </c>
      <c r="B41" s="3">
        <f t="shared" si="12"/>
        <v>0.02</v>
      </c>
      <c r="C41" s="3">
        <v>4</v>
      </c>
      <c r="D41" s="2">
        <v>0.10299999999999999</v>
      </c>
      <c r="E41" s="2">
        <f t="shared" si="10"/>
        <v>2.0000000000000001E-4</v>
      </c>
      <c r="F41" s="8">
        <v>1.75</v>
      </c>
      <c r="I41" s="3">
        <f t="shared" si="1"/>
        <v>91.179470927175899</v>
      </c>
      <c r="J41" s="3">
        <f t="shared" si="2"/>
        <v>0.18181239672305646</v>
      </c>
      <c r="K41" s="8">
        <f t="shared" si="3"/>
        <v>1.75</v>
      </c>
      <c r="L41" s="3">
        <f t="shared" si="11"/>
        <v>2.1713506831987344E-2</v>
      </c>
      <c r="M41" s="3">
        <f>SQRT(L41^2+(M1*J41)^2)</f>
        <v>2.1713506831987344E-2</v>
      </c>
      <c r="O41" s="10">
        <f t="shared" si="4"/>
        <v>2120.997031160714</v>
      </c>
      <c r="P41" s="10">
        <f t="shared" si="5"/>
        <v>193391.3871393447</v>
      </c>
      <c r="Q41" s="10">
        <f t="shared" si="6"/>
        <v>17633324.3612381</v>
      </c>
      <c r="R41" s="10">
        <f t="shared" si="7"/>
        <v>3711.7448045312494</v>
      </c>
      <c r="S41" s="10">
        <f t="shared" si="8"/>
        <v>338434.92749385326</v>
      </c>
      <c r="T41" s="11">
        <f t="shared" si="9"/>
        <v>0.15488220078617229</v>
      </c>
      <c r="U41" s="10"/>
      <c r="V41" s="10"/>
      <c r="W41" s="10"/>
      <c r="X41" s="10"/>
    </row>
    <row r="42" spans="1:24" x14ac:dyDescent="0.2">
      <c r="A42" s="3">
        <v>22.05</v>
      </c>
      <c r="B42" s="3">
        <f t="shared" si="12"/>
        <v>0.02</v>
      </c>
      <c r="C42" s="3">
        <v>5</v>
      </c>
      <c r="D42" s="2">
        <v>0.1154</v>
      </c>
      <c r="E42" s="2">
        <f t="shared" si="10"/>
        <v>2.0000000000000001E-4</v>
      </c>
      <c r="F42" s="8">
        <v>1.57</v>
      </c>
      <c r="I42" s="3">
        <f t="shared" si="1"/>
        <v>81.382023444533075</v>
      </c>
      <c r="J42" s="3">
        <f t="shared" si="2"/>
        <v>0.14579241500146897</v>
      </c>
      <c r="K42" s="8">
        <f t="shared" si="3"/>
        <v>1.57</v>
      </c>
      <c r="L42" s="3">
        <f t="shared" si="11"/>
        <v>2.1713506831987344E-2</v>
      </c>
      <c r="M42" s="3">
        <f>SQRT(L42^2+(M1*J42)^2)</f>
        <v>2.1713506831987344E-2</v>
      </c>
      <c r="O42" s="10">
        <f t="shared" si="4"/>
        <v>2120.997031160714</v>
      </c>
      <c r="P42" s="10">
        <f t="shared" si="5"/>
        <v>172611.03011570626</v>
      </c>
      <c r="Q42" s="10">
        <f t="shared" si="6"/>
        <v>14047434.899661412</v>
      </c>
      <c r="R42" s="10">
        <f t="shared" si="7"/>
        <v>3329.9653389223208</v>
      </c>
      <c r="S42" s="10">
        <f t="shared" si="8"/>
        <v>270999.31728165882</v>
      </c>
      <c r="T42" s="11">
        <f t="shared" si="9"/>
        <v>0.71898803560965119</v>
      </c>
      <c r="U42" s="10"/>
      <c r="V42" s="10"/>
      <c r="W42" s="10"/>
      <c r="X42" s="10"/>
    </row>
    <row r="43" spans="1:24" x14ac:dyDescent="0.2"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I_E</vt:lpstr>
      <vt:lpstr>Helmholtz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Allen Winger</dc:creator>
  <cp:lastModifiedBy>Microsoft Office User</cp:lastModifiedBy>
  <dcterms:created xsi:type="dcterms:W3CDTF">2022-02-03T19:31:05Z</dcterms:created>
  <dcterms:modified xsi:type="dcterms:W3CDTF">2022-02-11T00:21:45Z</dcterms:modified>
</cp:coreProperties>
</file>