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6\Documents\Github\RotatingMirror\"/>
    </mc:Choice>
  </mc:AlternateContent>
  <xr:revisionPtr revIDLastSave="0" documentId="13_ncr:1_{35638B5C-AF79-4301-8A93-81ED43D21D95}" xr6:coauthVersionLast="47" xr6:coauthVersionMax="47" xr10:uidLastSave="{00000000-0000-0000-0000-000000000000}"/>
  <bookViews>
    <workbookView xWindow="57480" yWindow="4980" windowWidth="38640" windowHeight="21120" activeTab="1" xr2:uid="{BD642745-4F03-C046-B85D-5FCAB931A52C}"/>
  </bookViews>
  <sheets>
    <sheet name="First Attempt" sheetId="1" r:id="rId1"/>
    <sheet name="Re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2" i="2" l="1"/>
  <c r="L4" i="2"/>
  <c r="L5" i="2" l="1"/>
  <c r="L6" i="2"/>
  <c r="L7" i="2"/>
  <c r="L8" i="2"/>
  <c r="L9" i="2"/>
  <c r="L10" i="2"/>
  <c r="K5" i="2"/>
  <c r="K6" i="2"/>
  <c r="K7" i="2"/>
  <c r="K8" i="2"/>
  <c r="K9" i="2"/>
  <c r="K10" i="2"/>
  <c r="K4" i="2"/>
  <c r="S2" i="1" a="1"/>
  <c r="S2" i="1" s="1"/>
  <c r="AA5" i="2"/>
  <c r="AA6" i="2"/>
  <c r="AA7" i="2"/>
  <c r="AA8" i="2"/>
  <c r="AA9" i="2"/>
  <c r="AA10" i="2"/>
  <c r="AA4" i="2"/>
  <c r="J3" i="1"/>
  <c r="B4" i="2"/>
  <c r="B5" i="2"/>
  <c r="B6" i="2"/>
  <c r="B7" i="2"/>
  <c r="B8" i="2"/>
  <c r="B9" i="2"/>
  <c r="B10" i="2"/>
  <c r="B3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S22" i="2" s="1" a="1"/>
  <c r="S22" i="2" s="1"/>
  <c r="D4" i="2"/>
  <c r="J4" i="2" s="1" a="1"/>
  <c r="J4" i="2" s="1"/>
  <c r="F3" i="2"/>
  <c r="D3" i="2"/>
  <c r="F1" i="2"/>
  <c r="E1" i="2"/>
  <c r="AH28" i="1"/>
  <c r="M4" i="2" l="1"/>
  <c r="N4" i="2" s="1"/>
  <c r="P4" i="2" s="1"/>
  <c r="I4" i="2" a="1"/>
  <c r="I4" i="2" s="1"/>
  <c r="X4" i="2" a="1"/>
  <c r="X4" i="2" s="1"/>
  <c r="M9" i="2"/>
  <c r="N9" i="2" s="1"/>
  <c r="P9" i="2" s="1"/>
  <c r="M8" i="2"/>
  <c r="N8" i="2" s="1"/>
  <c r="P8" i="2" s="1"/>
  <c r="M6" i="2"/>
  <c r="N6" i="2" s="1"/>
  <c r="P6" i="2" s="1"/>
  <c r="M7" i="2"/>
  <c r="N7" i="2" s="1"/>
  <c r="M5" i="2"/>
  <c r="N5" i="2" s="1"/>
  <c r="P5" i="2" s="1"/>
  <c r="Y4" i="2" a="1"/>
  <c r="Y4" i="2" s="1"/>
  <c r="M10" i="2"/>
  <c r="N10" i="2" s="1"/>
  <c r="O4" i="2" l="1"/>
  <c r="O7" i="2"/>
  <c r="O9" i="2"/>
  <c r="O8" i="2"/>
  <c r="O6" i="2"/>
  <c r="O5" i="2"/>
  <c r="P7" i="2"/>
  <c r="O10" i="2"/>
  <c r="P10" i="2"/>
  <c r="T2" i="2" l="1" a="1"/>
  <c r="T2" i="2" s="1"/>
  <c r="T8" i="2" s="1" a="1"/>
  <c r="T8" i="2" s="1"/>
  <c r="T5" i="2" a="1"/>
  <c r="T5" i="2" s="1"/>
  <c r="Z4" i="2" l="1"/>
  <c r="AB4" i="2" s="1"/>
  <c r="AC4" i="2" s="1"/>
  <c r="T28" i="2"/>
  <c r="Z10" i="2" s="1"/>
  <c r="AB10" i="2" s="1"/>
  <c r="AC10" i="2" s="1"/>
  <c r="AE10" i="2" s="1"/>
  <c r="T11" i="2" a="1"/>
  <c r="T11" i="2" s="1"/>
  <c r="Q4" i="2" s="1"/>
  <c r="T27" i="2"/>
  <c r="Z9" i="2" s="1"/>
  <c r="AB9" i="2" s="1"/>
  <c r="AC9" i="2" s="1"/>
  <c r="AD9" i="2" s="1"/>
  <c r="T26" i="2"/>
  <c r="Z8" i="2" s="1"/>
  <c r="AB8" i="2" s="1"/>
  <c r="AC8" i="2" s="1"/>
  <c r="AD8" i="2" s="1"/>
  <c r="T25" i="2"/>
  <c r="Z7" i="2" s="1"/>
  <c r="AB7" i="2" s="1"/>
  <c r="AC7" i="2" s="1"/>
  <c r="AE7" i="2" s="1"/>
  <c r="T24" i="2"/>
  <c r="Z6" i="2" s="1"/>
  <c r="AB6" i="2" s="1"/>
  <c r="AC6" i="2" s="1"/>
  <c r="AD6" i="2" s="1"/>
  <c r="T23" i="2"/>
  <c r="Z5" i="2" s="1"/>
  <c r="AB5" i="2" s="1"/>
  <c r="AC5" i="2" s="1"/>
  <c r="AE5" i="2" s="1"/>
  <c r="AD4" i="2" l="1"/>
  <c r="AE4" i="2"/>
  <c r="Q9" i="2"/>
  <c r="AE9" i="2"/>
  <c r="AE8" i="2"/>
  <c r="AD10" i="2"/>
  <c r="AD7" i="2"/>
  <c r="AE6" i="2"/>
  <c r="AD5" i="2"/>
  <c r="Q6" i="2"/>
  <c r="Q5" i="2"/>
  <c r="Q7" i="2"/>
  <c r="Q8" i="2"/>
  <c r="Q10" i="2"/>
  <c r="T14" i="2" l="1"/>
  <c r="T16" i="2" s="1"/>
  <c r="AI2" i="2" a="1"/>
  <c r="AI2" i="2" s="1"/>
  <c r="AI8" i="2" s="1" a="1"/>
  <c r="AJ12" i="2" s="1"/>
  <c r="AI5" i="2" a="1"/>
  <c r="AI5" i="2" s="1"/>
  <c r="AI8" i="2" l="1"/>
  <c r="AJ11" i="2"/>
  <c r="AI11" i="2" a="1"/>
  <c r="Y7" i="1"/>
  <c r="Y8" i="1"/>
  <c r="Y9" i="1"/>
  <c r="Y10" i="1"/>
  <c r="D4" i="1"/>
  <c r="X4" i="1" s="1"/>
  <c r="D5" i="1"/>
  <c r="X5" i="1" s="1"/>
  <c r="Z5" i="1" s="1"/>
  <c r="D6" i="1"/>
  <c r="X6" i="1" s="1"/>
  <c r="Z6" i="1" s="1"/>
  <c r="D7" i="1"/>
  <c r="X7" i="1" s="1"/>
  <c r="Z7" i="1" s="1"/>
  <c r="D8" i="1"/>
  <c r="X8" i="1" s="1"/>
  <c r="Z8" i="1" s="1"/>
  <c r="D9" i="1"/>
  <c r="X9" i="1" s="1"/>
  <c r="Z9" i="1" s="1"/>
  <c r="D10" i="1"/>
  <c r="X10" i="1" s="1"/>
  <c r="Z10" i="1" s="1"/>
  <c r="D3" i="1"/>
  <c r="X3" i="1" s="1"/>
  <c r="Z3" i="1" s="1"/>
  <c r="B5" i="1"/>
  <c r="Y5" i="1" s="1"/>
  <c r="B6" i="1"/>
  <c r="Y6" i="1" s="1"/>
  <c r="B7" i="1"/>
  <c r="B8" i="1"/>
  <c r="B9" i="1"/>
  <c r="B10" i="1"/>
  <c r="B3" i="1"/>
  <c r="B4" i="1"/>
  <c r="Y4" i="1" s="1"/>
  <c r="H10" i="1"/>
  <c r="H3" i="1"/>
  <c r="H4" i="1"/>
  <c r="H5" i="1"/>
  <c r="H6" i="1"/>
  <c r="H7" i="1"/>
  <c r="H8" i="1"/>
  <c r="H9" i="1"/>
  <c r="AH20" i="2" l="1"/>
  <c r="AI20" i="2" s="1"/>
  <c r="AI11" i="2"/>
  <c r="AI31" i="2" s="1"/>
  <c r="AA9" i="1"/>
  <c r="AA8" i="1"/>
  <c r="AA3" i="1"/>
  <c r="AA6" i="1"/>
  <c r="Y3" i="1"/>
  <c r="AA4" i="1"/>
  <c r="AB3" i="1"/>
  <c r="AC3" i="1" s="1"/>
  <c r="Z4" i="1"/>
  <c r="AB6" i="1"/>
  <c r="AB9" i="1"/>
  <c r="AC9" i="1" s="1"/>
  <c r="AB8" i="1"/>
  <c r="AA10" i="1"/>
  <c r="AB10" i="1" s="1"/>
  <c r="AA5" i="1"/>
  <c r="AB5" i="1" s="1"/>
  <c r="AA7" i="1"/>
  <c r="AB7" i="1" s="1"/>
  <c r="K6" i="1"/>
  <c r="J4" i="1"/>
  <c r="J5" i="1"/>
  <c r="J6" i="1"/>
  <c r="J7" i="1"/>
  <c r="J8" i="1"/>
  <c r="J9" i="1"/>
  <c r="J10" i="1"/>
  <c r="I4" i="1"/>
  <c r="K4" i="1" s="1"/>
  <c r="I5" i="1"/>
  <c r="K5" i="1" s="1"/>
  <c r="I6" i="1"/>
  <c r="I7" i="1"/>
  <c r="K7" i="1" s="1"/>
  <c r="I8" i="1"/>
  <c r="K8" i="1" s="1"/>
  <c r="I9" i="1"/>
  <c r="K9" i="1" s="1"/>
  <c r="I10" i="1"/>
  <c r="K10" i="1" s="1"/>
  <c r="I3" i="1"/>
  <c r="K3" i="1" s="1"/>
  <c r="E1" i="1"/>
  <c r="F1" i="1"/>
  <c r="F10" i="1"/>
  <c r="F9" i="1"/>
  <c r="F8" i="1"/>
  <c r="F7" i="1"/>
  <c r="F6" i="1"/>
  <c r="F5" i="1"/>
  <c r="F4" i="1"/>
  <c r="F3" i="1"/>
  <c r="AI30" i="2" l="1"/>
  <c r="AF4" i="2"/>
  <c r="AF5" i="2"/>
  <c r="AF10" i="2"/>
  <c r="AF8" i="2"/>
  <c r="AF6" i="2"/>
  <c r="AF9" i="2"/>
  <c r="AF7" i="2"/>
  <c r="AH23" i="2"/>
  <c r="L6" i="1"/>
  <c r="M6" i="1" s="1"/>
  <c r="AD3" i="1"/>
  <c r="AB4" i="1"/>
  <c r="AC4" i="1" s="1"/>
  <c r="AD4" i="1" s="1"/>
  <c r="L5" i="1"/>
  <c r="M5" i="1" s="1"/>
  <c r="N5" i="1" s="1"/>
  <c r="L3" i="1"/>
  <c r="M3" i="1" s="1"/>
  <c r="O3" i="1" s="1"/>
  <c r="L4" i="1"/>
  <c r="M4" i="1" s="1"/>
  <c r="N4" i="1" s="1"/>
  <c r="L10" i="1"/>
  <c r="L8" i="1"/>
  <c r="M8" i="1" s="1"/>
  <c r="N8" i="1" s="1"/>
  <c r="L9" i="1"/>
  <c r="M9" i="1" s="1"/>
  <c r="N9" i="1" s="1"/>
  <c r="L7" i="1"/>
  <c r="M7" i="1" s="1"/>
  <c r="N7" i="1" s="1"/>
  <c r="AE9" i="1"/>
  <c r="AD9" i="1"/>
  <c r="AC7" i="1"/>
  <c r="AE3" i="1"/>
  <c r="AC5" i="1"/>
  <c r="AC8" i="1"/>
  <c r="AC6" i="1"/>
  <c r="AC10" i="1"/>
  <c r="N6" i="1"/>
  <c r="O6" i="1"/>
  <c r="O5" i="1"/>
  <c r="M10" i="1"/>
  <c r="AI14" i="2" l="1"/>
  <c r="AI16" i="2" s="1"/>
  <c r="N3" i="1"/>
  <c r="O4" i="1"/>
  <c r="AE4" i="1"/>
  <c r="O9" i="1"/>
  <c r="O7" i="1"/>
  <c r="O8" i="1"/>
  <c r="AD6" i="1"/>
  <c r="AE6" i="1"/>
  <c r="AD5" i="1"/>
  <c r="AI2" i="1" s="1" a="1"/>
  <c r="AI2" i="1" s="1"/>
  <c r="AE5" i="1"/>
  <c r="AD10" i="1"/>
  <c r="AE10" i="1"/>
  <c r="AE8" i="1"/>
  <c r="AD8" i="1"/>
  <c r="AD7" i="1"/>
  <c r="AE7" i="1"/>
  <c r="N10" i="1"/>
  <c r="S8" i="1" s="1" a="1"/>
  <c r="O10" i="1"/>
  <c r="AI5" i="1" l="1" a="1"/>
  <c r="AI5" i="1" s="1"/>
  <c r="S5" i="1" a="1"/>
  <c r="S5" i="1" s="1"/>
  <c r="AI8" i="1" a="1"/>
  <c r="AI8" i="1" s="1"/>
  <c r="S8" i="1"/>
  <c r="T11" i="1" s="1"/>
  <c r="T12" i="1"/>
  <c r="S11" i="1" a="1"/>
  <c r="AJ12" i="1" l="1"/>
  <c r="AJ11" i="1"/>
  <c r="AI11" i="1" a="1"/>
  <c r="S11" i="1"/>
  <c r="R28" i="1" s="1"/>
  <c r="S23" i="1"/>
  <c r="S22" i="1"/>
  <c r="AI11" i="1" l="1"/>
  <c r="R31" i="1"/>
  <c r="P5" i="1"/>
  <c r="P3" i="1"/>
  <c r="P7" i="1"/>
  <c r="P4" i="1"/>
  <c r="P9" i="1"/>
  <c r="P6" i="1"/>
  <c r="P8" i="1"/>
  <c r="P10" i="1"/>
  <c r="AI23" i="1" l="1"/>
  <c r="AH31" i="1"/>
  <c r="AI22" i="1"/>
  <c r="AF5" i="1"/>
  <c r="AF6" i="1"/>
  <c r="AF4" i="1"/>
  <c r="AF10" i="1"/>
  <c r="AF9" i="1"/>
  <c r="AF7" i="1"/>
  <c r="AF8" i="1"/>
  <c r="AF3" i="1"/>
  <c r="S14" i="1"/>
  <c r="S16" i="1" s="1"/>
  <c r="AI14" i="1" l="1"/>
  <c r="AI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<sst xmlns="http://schemas.openxmlformats.org/spreadsheetml/2006/main" count="96" uniqueCount="32">
  <si>
    <t xml:space="preserve">Dot Distance </t>
  </si>
  <si>
    <t>Hz</t>
  </si>
  <si>
    <t>Volts</t>
  </si>
  <si>
    <t>Percentage</t>
  </si>
  <si>
    <t>x</t>
  </si>
  <si>
    <t>y</t>
  </si>
  <si>
    <t>sigma x</t>
  </si>
  <si>
    <t>simga</t>
  </si>
  <si>
    <t>1/sigma</t>
  </si>
  <si>
    <t>x/sigma</t>
  </si>
  <si>
    <t>y/sigma</t>
  </si>
  <si>
    <t>chi^2</t>
  </si>
  <si>
    <t>alpha</t>
  </si>
  <si>
    <t>beta</t>
  </si>
  <si>
    <t>epsilon</t>
  </si>
  <si>
    <t>fit</t>
  </si>
  <si>
    <t>reduced chi^2</t>
  </si>
  <si>
    <t>sigma y</t>
  </si>
  <si>
    <t>scaling factor</t>
  </si>
  <si>
    <t>Measurement of C</t>
  </si>
  <si>
    <t>Formula</t>
  </si>
  <si>
    <t>Accepted Value</t>
  </si>
  <si>
    <t>Diff</t>
  </si>
  <si>
    <t>8*pi*l^2*f/x</t>
  </si>
  <si>
    <t>l</t>
  </si>
  <si>
    <t>Adj Dot Dis</t>
  </si>
  <si>
    <t>y=mx+b</t>
  </si>
  <si>
    <t>x=y-b/m</t>
  </si>
  <si>
    <t>Hz Corrected</t>
  </si>
  <si>
    <t>% Error</t>
  </si>
  <si>
    <t>Calculating Sigma x</t>
  </si>
  <si>
    <t>Fit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</si>
</sst>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000"/>
    <numFmt numFmtId="165" formatCode="0.0000E+00"/>
    <numFmt numFmtId="166" formatCode="_(* #,##0.00000_);_(* \(#,##0.00000\);_(* &quot;-&quot;??_);_(@_)"/>
    <numFmt numFmtId="169" formatCode="0.000E+00"/>
    <numFmt numFmtId="170" formatCode="0.0"/>
    <numFmt numFmtId="172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5" fontId="0" fillId="0" borderId="0" xfId="1" applyNumberFormat="1" applyFont="1"/>
    <xf numFmtId="169" fontId="0" fillId="0" borderId="0" xfId="0" applyNumberFormat="1"/>
    <xf numFmtId="1" fontId="0" fillId="0" borderId="0" xfId="0" applyNumberFormat="1"/>
    <xf numFmtId="170" fontId="0" fillId="0" borderId="0" xfId="0" applyNumberFormat="1"/>
    <xf numFmtId="2" fontId="0" fillId="0" borderId="0" xfId="0" applyNumberFormat="1"/>
    <xf numFmtId="17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Attempt'!$A$3:$A$10</c:f>
              <c:numCache>
                <c:formatCode>General</c:formatCode>
                <c:ptCount val="8"/>
                <c:pt idx="0">
                  <c:v>5.69</c:v>
                </c:pt>
                <c:pt idx="1">
                  <c:v>5.46</c:v>
                </c:pt>
                <c:pt idx="2">
                  <c:v>5.2</c:v>
                </c:pt>
                <c:pt idx="3">
                  <c:v>4.92</c:v>
                </c:pt>
                <c:pt idx="4">
                  <c:v>4.7</c:v>
                </c:pt>
                <c:pt idx="5">
                  <c:v>4.55</c:v>
                </c:pt>
                <c:pt idx="6">
                  <c:v>4.5199999999999996</c:v>
                </c:pt>
                <c:pt idx="7">
                  <c:v>4.37</c:v>
                </c:pt>
              </c:numCache>
            </c:numRef>
          </c:xVal>
          <c:yVal>
            <c:numRef>
              <c:f>'First Attempt'!$C$3:$C$10</c:f>
              <c:numCache>
                <c:formatCode>General</c:formatCode>
                <c:ptCount val="8"/>
                <c:pt idx="0">
                  <c:v>230</c:v>
                </c:pt>
                <c:pt idx="1">
                  <c:v>420</c:v>
                </c:pt>
                <c:pt idx="2">
                  <c:v>571</c:v>
                </c:pt>
                <c:pt idx="3">
                  <c:v>684</c:v>
                </c:pt>
                <c:pt idx="4">
                  <c:v>787</c:v>
                </c:pt>
                <c:pt idx="5">
                  <c:v>864</c:v>
                </c:pt>
                <c:pt idx="6">
                  <c:v>934</c:v>
                </c:pt>
                <c:pt idx="7">
                  <c:v>1030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F-4B6C-8C39-891E523DD9B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'First Attempt'!$R$22:$R$23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xVal>
          <c:yVal>
            <c:numRef>
              <c:f>'First Attempt'!$S$22:$S$23</c:f>
              <c:numCache>
                <c:formatCode>General</c:formatCode>
                <c:ptCount val="2"/>
                <c:pt idx="0">
                  <c:v>1212.9265283810892</c:v>
                </c:pt>
                <c:pt idx="1">
                  <c:v>84.603182917035156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5F-4B6C-8C39-891E523DD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365120"/>
        <c:axId val="1622363456"/>
      </c:scatterChart>
      <c:valAx>
        <c:axId val="1622365120"/>
        <c:scaling>
          <c:orientation val="minMax"/>
          <c:max val="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363456"/>
        <c:crosses val="autoZero"/>
        <c:crossBetween val="midCat"/>
      </c:valAx>
      <c:valAx>
        <c:axId val="1622363456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36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Attempt'!$X$3:$X$10</c:f>
              <c:numCache>
                <c:formatCode>General</c:formatCode>
                <c:ptCount val="8"/>
                <c:pt idx="0">
                  <c:v>115</c:v>
                </c:pt>
                <c:pt idx="1">
                  <c:v>210</c:v>
                </c:pt>
                <c:pt idx="2">
                  <c:v>285.5</c:v>
                </c:pt>
                <c:pt idx="3">
                  <c:v>342</c:v>
                </c:pt>
                <c:pt idx="4">
                  <c:v>393.5</c:v>
                </c:pt>
                <c:pt idx="5">
                  <c:v>432</c:v>
                </c:pt>
                <c:pt idx="6">
                  <c:v>467</c:v>
                </c:pt>
                <c:pt idx="7">
                  <c:v>515</c:v>
                </c:pt>
              </c:numCache>
            </c:numRef>
          </c:xVal>
          <c:yVal>
            <c:numRef>
              <c:f>'First Attempt'!$Y$3:$Y$10</c:f>
              <c:numCache>
                <c:formatCode>General</c:formatCode>
                <c:ptCount val="8"/>
                <c:pt idx="0">
                  <c:v>5.6900000000000006E-3</c:v>
                </c:pt>
                <c:pt idx="1">
                  <c:v>5.4599999999999996E-3</c:v>
                </c:pt>
                <c:pt idx="2">
                  <c:v>5.1999999999999998E-3</c:v>
                </c:pt>
                <c:pt idx="3">
                  <c:v>4.9199999999999999E-3</c:v>
                </c:pt>
                <c:pt idx="4">
                  <c:v>4.7000000000000002E-3</c:v>
                </c:pt>
                <c:pt idx="5">
                  <c:v>4.5500000000000002E-3</c:v>
                </c:pt>
                <c:pt idx="6">
                  <c:v>4.5199999999999997E-3</c:v>
                </c:pt>
                <c:pt idx="7">
                  <c:v>4.3699999999999998E-3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3-45FA-B42F-B7F620F511A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'First Attempt'!$AH$22:$AH$23</c:f>
              <c:numCache>
                <c:formatCode>General</c:formatCode>
                <c:ptCount val="2"/>
                <c:pt idx="0">
                  <c:v>100</c:v>
                </c:pt>
                <c:pt idx="1">
                  <c:v>525</c:v>
                </c:pt>
              </c:numCache>
            </c:numRef>
          </c:xVal>
          <c:yVal>
            <c:numRef>
              <c:f>'First Attempt'!$AI$22:$AI$23</c:f>
              <c:numCache>
                <c:formatCode>General</c:formatCode>
                <c:ptCount val="2"/>
                <c:pt idx="0">
                  <c:v>5.7868351514583707E-3</c:v>
                </c:pt>
                <c:pt idx="1">
                  <c:v>4.2986695614692511E-3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A3-45FA-B42F-B7F620F51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310495"/>
        <c:axId val="1435309663"/>
      </c:scatterChart>
      <c:valAx>
        <c:axId val="14353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09663"/>
        <c:crosses val="autoZero"/>
        <c:crossBetween val="midCat"/>
      </c:valAx>
      <c:valAx>
        <c:axId val="14353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x/f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Redo!$AB$4:$AB$10</c:f>
                <c:numCache>
                  <c:formatCode>General</c:formatCode>
                  <c:ptCount val="7"/>
                  <c:pt idx="0">
                    <c:v>4.7307828253851672E-5</c:v>
                  </c:pt>
                  <c:pt idx="1">
                    <c:v>4.4365620551124944E-5</c:v>
                  </c:pt>
                  <c:pt idx="2">
                    <c:v>4.302738100652471E-5</c:v>
                  </c:pt>
                  <c:pt idx="3">
                    <c:v>4.2601880592920605E-5</c:v>
                  </c:pt>
                  <c:pt idx="4">
                    <c:v>4.305350866100301E-5</c:v>
                  </c:pt>
                  <c:pt idx="5">
                    <c:v>4.4416286093855674E-5</c:v>
                  </c:pt>
                  <c:pt idx="6">
                    <c:v>4.6591056477655203E-5</c:v>
                  </c:pt>
                </c:numCache>
              </c:numRef>
            </c:plus>
            <c:minus>
              <c:numRef>
                <c:f>Redo!$AB$4:$AB$10</c:f>
                <c:numCache>
                  <c:formatCode>General</c:formatCode>
                  <c:ptCount val="7"/>
                  <c:pt idx="0">
                    <c:v>4.7307828253851672E-5</c:v>
                  </c:pt>
                  <c:pt idx="1">
                    <c:v>4.4365620551124944E-5</c:v>
                  </c:pt>
                  <c:pt idx="2">
                    <c:v>4.302738100652471E-5</c:v>
                  </c:pt>
                  <c:pt idx="3">
                    <c:v>4.2601880592920605E-5</c:v>
                  </c:pt>
                  <c:pt idx="4">
                    <c:v>4.305350866100301E-5</c:v>
                  </c:pt>
                  <c:pt idx="5">
                    <c:v>4.4416286093855674E-5</c:v>
                  </c:pt>
                  <c:pt idx="6">
                    <c:v>4.6591056477655203E-5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Redo!$X$4:$X$10</c:f>
              <c:numCache>
                <c:formatCode>General</c:formatCode>
                <c:ptCount val="7"/>
                <c:pt idx="0">
                  <c:v>210</c:v>
                </c:pt>
                <c:pt idx="1">
                  <c:v>285.5</c:v>
                </c:pt>
                <c:pt idx="2">
                  <c:v>342</c:v>
                </c:pt>
                <c:pt idx="3">
                  <c:v>393.5</c:v>
                </c:pt>
                <c:pt idx="4">
                  <c:v>432</c:v>
                </c:pt>
                <c:pt idx="5">
                  <c:v>467</c:v>
                </c:pt>
                <c:pt idx="6">
                  <c:v>515</c:v>
                </c:pt>
              </c:numCache>
            </c:numRef>
          </c:xVal>
          <c:yVal>
            <c:numRef>
              <c:f>Redo!$Y$4:$Y$10</c:f>
              <c:numCache>
                <c:formatCode>General</c:formatCode>
                <c:ptCount val="7"/>
                <c:pt idx="0">
                  <c:v>2.2000000000000063E-4</c:v>
                </c:pt>
                <c:pt idx="1">
                  <c:v>4.900000000000002E-4</c:v>
                </c:pt>
                <c:pt idx="2">
                  <c:v>7.700000000000005E-4</c:v>
                </c:pt>
                <c:pt idx="3">
                  <c:v>9.9000000000000021E-4</c:v>
                </c:pt>
                <c:pt idx="4">
                  <c:v>1.1200000000000001E-3</c:v>
                </c:pt>
                <c:pt idx="5">
                  <c:v>1.1900000000000003E-3</c:v>
                </c:pt>
                <c:pt idx="6">
                  <c:v>1.3500000000000005E-3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1-4B73-8F59-7B6DACD09EE1}"/>
            </c:ext>
          </c:extLst>
        </c:ser>
        <c:ser>
          <c:idx val="1"/>
          <c:order val="1"/>
          <c:tx>
            <c:v>Trend Line</c:v>
          </c:tx>
          <c:spPr>
            <a:ln w="25400" cap="rnd">
              <a:noFill/>
              <a:round/>
            </a:ln>
            <a:effectLst>
              <a:glow>
                <a:schemeClr val="bg1">
                  <a:alpha val="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glow>
                  <a:schemeClr val="bg1">
                    <a:alpha val="0"/>
                  </a:schemeClr>
                </a:glo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Redo!$AH$30:$AH$31</c:f>
              <c:numCache>
                <c:formatCode>General</c:formatCode>
                <c:ptCount val="2"/>
                <c:pt idx="0">
                  <c:v>200</c:v>
                </c:pt>
                <c:pt idx="1">
                  <c:v>550</c:v>
                </c:pt>
              </c:numCache>
            </c:numRef>
          </c:xVal>
          <c:yVal>
            <c:numRef>
              <c:f>Redo!$AI$30:$AI$31</c:f>
              <c:numCache>
                <c:formatCode>General</c:formatCode>
                <c:ptCount val="2"/>
                <c:pt idx="0">
                  <c:v>2.0263257439149195E-4</c:v>
                </c:pt>
                <c:pt idx="1">
                  <c:v>1.5315483033446686E-3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E1-4B73-8F59-7B6DACD09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4214927"/>
        <c:axId val="1444215759"/>
      </c:scatterChart>
      <c:valAx>
        <c:axId val="1444214927"/>
        <c:scaling>
          <c:orientation val="minMax"/>
          <c:max val="55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Rotational</a:t>
                </a:r>
                <a:r>
                  <a:rPr lang="en-US" baseline="0"/>
                  <a:t> Frequency [Hz]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215759"/>
        <c:crosses val="autoZero"/>
        <c:crossBetween val="midCat"/>
      </c:valAx>
      <c:valAx>
        <c:axId val="144421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214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18</xdr:row>
      <xdr:rowOff>184150</xdr:rowOff>
    </xdr:from>
    <xdr:to>
      <xdr:col>12</xdr:col>
      <xdr:colOff>171450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BBDF7-323B-4515-9154-36F92BE88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323850</xdr:colOff>
      <xdr:row>18</xdr:row>
      <xdr:rowOff>146050</xdr:rowOff>
    </xdr:from>
    <xdr:to>
      <xdr:col>30</xdr:col>
      <xdr:colOff>165100</xdr:colOff>
      <xdr:row>43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5C3914-129E-9D20-C11F-509786985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859895</xdr:colOff>
      <xdr:row>13</xdr:row>
      <xdr:rowOff>107422</xdr:rowOff>
    </xdr:from>
    <xdr:to>
      <xdr:col>31</xdr:col>
      <xdr:colOff>23812</xdr:colOff>
      <xdr:row>32</xdr:row>
      <xdr:rowOff>58210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C0549-A6FC-2B66-A7B3-A88236168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56AD-68BD-444D-81E6-4ED9B0B9A6BA}">
  <dimension ref="A1:AK31"/>
  <sheetViews>
    <sheetView workbookViewId="0">
      <selection activeCell="Q27" sqref="Q27:R31"/>
    </sheetView>
  </sheetViews>
  <sheetFormatPr defaultColWidth="10.6640625" defaultRowHeight="15.5" x14ac:dyDescent="0.35"/>
  <cols>
    <col min="1" max="1" width="12" bestFit="1" customWidth="1"/>
    <col min="2" max="2" width="12" customWidth="1"/>
    <col min="12" max="12" width="11.75" bestFit="1" customWidth="1"/>
    <col min="16" max="16" width="12.25" bestFit="1" customWidth="1"/>
    <col min="19" max="19" width="11.75" bestFit="1" customWidth="1"/>
    <col min="32" max="32" width="9.25" bestFit="1" customWidth="1"/>
    <col min="34" max="34" width="12.33203125" bestFit="1" customWidth="1"/>
    <col min="35" max="35" width="11.75" bestFit="1" customWidth="1"/>
  </cols>
  <sheetData>
    <row r="1" spans="1:36" x14ac:dyDescent="0.35">
      <c r="A1">
        <v>0.05</v>
      </c>
      <c r="C1">
        <v>0.5</v>
      </c>
      <c r="E1">
        <f>0.01</f>
        <v>0.01</v>
      </c>
      <c r="F1">
        <f>0.01*120</f>
        <v>1.2</v>
      </c>
      <c r="H1">
        <v>0.05</v>
      </c>
      <c r="I1">
        <v>0.5</v>
      </c>
      <c r="L1">
        <v>-564.16167273190331</v>
      </c>
      <c r="X1">
        <v>0.05</v>
      </c>
      <c r="Y1">
        <v>0.5</v>
      </c>
      <c r="AB1">
        <v>-1.8858891862411168E-6</v>
      </c>
    </row>
    <row r="2" spans="1:36" x14ac:dyDescent="0.35">
      <c r="A2" t="s">
        <v>0</v>
      </c>
      <c r="B2" t="s">
        <v>25</v>
      </c>
      <c r="C2" t="s">
        <v>1</v>
      </c>
      <c r="D2" t="s">
        <v>1</v>
      </c>
      <c r="E2" t="s">
        <v>3</v>
      </c>
      <c r="F2" t="s">
        <v>2</v>
      </c>
      <c r="H2" t="s">
        <v>4</v>
      </c>
      <c r="I2" t="s">
        <v>5</v>
      </c>
      <c r="J2" t="s">
        <v>6</v>
      </c>
      <c r="K2" t="s">
        <v>17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R2" t="s">
        <v>12</v>
      </c>
      <c r="S2" cm="1">
        <f t="array" ref="S2:T3">MMULT(TRANSPOSE(M3:N10),M3:N10)</f>
        <v>6.2243737506022976</v>
      </c>
      <c r="T2">
        <v>31.702584509274249</v>
      </c>
      <c r="X2" t="s">
        <v>4</v>
      </c>
      <c r="Y2" t="s">
        <v>5</v>
      </c>
      <c r="Z2" t="s">
        <v>6</v>
      </c>
      <c r="AA2" t="s">
        <v>17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H2" t="s">
        <v>12</v>
      </c>
      <c r="AI2" cm="1">
        <f t="array" ref="AI2:AJ3">MMULT(TRANSPOSE(AC3:AD10),AC3:AD10)</f>
        <v>1.9810836746999999E-8</v>
      </c>
      <c r="AJ2">
        <v>5.9049193487877587E-6</v>
      </c>
    </row>
    <row r="3" spans="1:36" x14ac:dyDescent="0.35">
      <c r="A3">
        <v>5.69</v>
      </c>
      <c r="B3">
        <f>(A3)/1000</f>
        <v>5.6900000000000006E-3</v>
      </c>
      <c r="C3">
        <v>230</v>
      </c>
      <c r="D3">
        <f>C3/2</f>
        <v>115</v>
      </c>
      <c r="E3">
        <v>0.2</v>
      </c>
      <c r="F3">
        <f t="shared" ref="F3:F10" si="0">120*E3</f>
        <v>24</v>
      </c>
      <c r="H3">
        <f t="shared" ref="H3:H10" si="1">A3</f>
        <v>5.69</v>
      </c>
      <c r="I3">
        <f>C3</f>
        <v>230</v>
      </c>
      <c r="J3">
        <f>SQRT(((1/(H3^2))*$H$1)^2)</f>
        <v>1.5443490723095123E-3</v>
      </c>
      <c r="K3">
        <f>SQRT(((1/(I3^2))*$I$1)^2)</f>
        <v>9.451795841209829E-6</v>
      </c>
      <c r="L3">
        <f>SQRT(K3^2+($L$1*J3)^2)</f>
        <v>0.87126255596736601</v>
      </c>
      <c r="M3">
        <f>1/L3</f>
        <v>1.1477596427746126</v>
      </c>
      <c r="N3">
        <f>H3*M3</f>
        <v>6.5307523673875458</v>
      </c>
      <c r="O3">
        <f>I3*M3</f>
        <v>263.98471783816092</v>
      </c>
      <c r="P3" s="2">
        <f>L3*(I3-S$11-S$12*H3)^2</f>
        <v>757.87194359039734</v>
      </c>
      <c r="S3">
        <v>31.702584509274249</v>
      </c>
      <c r="T3">
        <v>162.78854349698386</v>
      </c>
      <c r="X3">
        <f>D3</f>
        <v>115</v>
      </c>
      <c r="Y3">
        <f t="shared" ref="Y3:Y10" si="2">B3</f>
        <v>5.6900000000000006E-3</v>
      </c>
      <c r="Z3">
        <f>SQRT(((1/(X3^2))*$H$1)^2)</f>
        <v>3.7807183364839316E-6</v>
      </c>
      <c r="AA3">
        <f>SQRT(((1/(Y3^2))*$I$1)^2)</f>
        <v>15443.490723095118</v>
      </c>
      <c r="AB3">
        <f>SQRT(AA3^2+($AB$1*Z3)^2)</f>
        <v>15443.490723095118</v>
      </c>
      <c r="AC3">
        <f>1/AB3</f>
        <v>6.475220000000002E-5</v>
      </c>
      <c r="AD3">
        <f>X3*AC3</f>
        <v>7.4465030000000019E-3</v>
      </c>
      <c r="AE3">
        <f>Y3*AC3</f>
        <v>3.6844001800000015E-7</v>
      </c>
      <c r="AF3" s="2">
        <f>AB3*(Y3-AI$11-AI$12*X3)^2</f>
        <v>3.032365257273029E-5</v>
      </c>
      <c r="AI3">
        <v>5.9049193487877587E-6</v>
      </c>
      <c r="AJ3">
        <v>2.0979508712111244E-3</v>
      </c>
    </row>
    <row r="4" spans="1:36" x14ac:dyDescent="0.35">
      <c r="A4">
        <v>5.46</v>
      </c>
      <c r="B4">
        <f>(A4)/1000</f>
        <v>5.4599999999999996E-3</v>
      </c>
      <c r="C4">
        <v>420</v>
      </c>
      <c r="D4">
        <f t="shared" ref="D4:D10" si="3">C4/2</f>
        <v>210</v>
      </c>
      <c r="E4">
        <v>0.3</v>
      </c>
      <c r="F4">
        <f t="shared" si="0"/>
        <v>36</v>
      </c>
      <c r="H4">
        <f t="shared" si="1"/>
        <v>5.46</v>
      </c>
      <c r="I4">
        <f t="shared" ref="I4:I10" si="4">C4</f>
        <v>420</v>
      </c>
      <c r="J4">
        <f t="shared" ref="J4:J10" si="5">SQRT(((1/(H4^2))*$H$1)^2)</f>
        <v>1.6771994793972817E-3</v>
      </c>
      <c r="K4">
        <f t="shared" ref="K4:K10" si="6">SQRT(((1/(I4^2))*$I$1)^2)</f>
        <v>2.834467120181406E-6</v>
      </c>
      <c r="L4">
        <f t="shared" ref="L4:L9" si="7">SQRT(K4^2+($L$1*J4)^2)</f>
        <v>0.94621166380609334</v>
      </c>
      <c r="M4">
        <f t="shared" ref="M4:M10" si="8">1/L4</f>
        <v>1.0568459872683724</v>
      </c>
      <c r="N4">
        <f t="shared" ref="N4:N10" si="9">H4*M4</f>
        <v>5.7703790904853136</v>
      </c>
      <c r="O4">
        <f t="shared" ref="O4:O10" si="10">I4*M4</f>
        <v>443.87531465271644</v>
      </c>
      <c r="P4" s="2">
        <f>L4*(I4-S$11-S$12*H4)^2</f>
        <v>894.67397406883629</v>
      </c>
      <c r="X4">
        <f t="shared" ref="X4:X10" si="11">D4</f>
        <v>210</v>
      </c>
      <c r="Y4">
        <f t="shared" si="2"/>
        <v>5.4599999999999996E-3</v>
      </c>
      <c r="Z4">
        <f t="shared" ref="Z4:Z10" si="12">SQRT(((1/(X4^2))*$H$1)^2)</f>
        <v>1.1337868480725623E-6</v>
      </c>
      <c r="AA4">
        <f t="shared" ref="AA4:AA10" si="13">SQRT(((1/(Y4^2))*$I$1)^2)</f>
        <v>16771.994793972819</v>
      </c>
      <c r="AB4">
        <f t="shared" ref="AB4:AB10" si="14">SQRT(AA4^2+($AB$1*Z4)^2)</f>
        <v>16771.994793972819</v>
      </c>
      <c r="AC4">
        <f t="shared" ref="AC4:AC10" si="15">1/AB4</f>
        <v>5.9623199999999988E-5</v>
      </c>
      <c r="AD4">
        <f t="shared" ref="AD4:AD10" si="16">X4*AC4</f>
        <v>1.2520871999999997E-2</v>
      </c>
      <c r="AE4">
        <f t="shared" ref="AE4:AE10" si="17">Y4*AC4</f>
        <v>3.2554267199999989E-7</v>
      </c>
      <c r="AF4" s="2">
        <f t="shared" ref="AF4:AF10" si="18">AB4*(Y4-AI$11-AI$12*X4)^2</f>
        <v>5.7078778740333474E-5</v>
      </c>
    </row>
    <row r="5" spans="1:36" x14ac:dyDescent="0.35">
      <c r="A5">
        <v>5.2</v>
      </c>
      <c r="B5">
        <f t="shared" ref="B5:B10" si="19">(A5)/1000</f>
        <v>5.1999999999999998E-3</v>
      </c>
      <c r="C5">
        <v>571</v>
      </c>
      <c r="D5">
        <f t="shared" si="3"/>
        <v>285.5</v>
      </c>
      <c r="E5">
        <v>0.4</v>
      </c>
      <c r="F5">
        <f t="shared" si="0"/>
        <v>48</v>
      </c>
      <c r="H5">
        <f t="shared" si="1"/>
        <v>5.2</v>
      </c>
      <c r="I5">
        <f t="shared" si="4"/>
        <v>571</v>
      </c>
      <c r="J5">
        <f t="shared" si="5"/>
        <v>1.8491124260355029E-3</v>
      </c>
      <c r="K5">
        <f t="shared" si="6"/>
        <v>1.5335494615707841E-6</v>
      </c>
      <c r="L5">
        <f t="shared" si="7"/>
        <v>1.0431983593426641</v>
      </c>
      <c r="M5">
        <f t="shared" si="8"/>
        <v>0.95859046464578024</v>
      </c>
      <c r="N5">
        <f t="shared" si="9"/>
        <v>4.9846704161580577</v>
      </c>
      <c r="O5">
        <f t="shared" si="10"/>
        <v>547.35515531274052</v>
      </c>
      <c r="P5" s="2">
        <f>L5*(I5-S$11-S$12*H5)^2</f>
        <v>1282.8503115457456</v>
      </c>
      <c r="R5" t="s">
        <v>13</v>
      </c>
      <c r="S5" cm="1">
        <f t="array" ref="S5:S6">MMULT(TRANSPOSE(M3:N10),O3:O10)</f>
        <v>3710.5373653803235</v>
      </c>
      <c r="X5">
        <f t="shared" si="11"/>
        <v>285.5</v>
      </c>
      <c r="Y5">
        <f t="shared" si="2"/>
        <v>5.1999999999999998E-3</v>
      </c>
      <c r="Z5">
        <f t="shared" si="12"/>
        <v>6.1341978462831369E-7</v>
      </c>
      <c r="AA5">
        <f t="shared" si="13"/>
        <v>18491.124260355031</v>
      </c>
      <c r="AB5">
        <f t="shared" si="14"/>
        <v>18491.124260355031</v>
      </c>
      <c r="AC5">
        <f t="shared" si="15"/>
        <v>5.4079999999999997E-5</v>
      </c>
      <c r="AD5">
        <f t="shared" si="16"/>
        <v>1.543984E-2</v>
      </c>
      <c r="AE5">
        <f t="shared" si="17"/>
        <v>2.8121599999999997E-7</v>
      </c>
      <c r="AF5" s="2">
        <f t="shared" si="18"/>
        <v>7.2706398794010447E-5</v>
      </c>
      <c r="AH5" t="s">
        <v>13</v>
      </c>
      <c r="AI5" cm="1">
        <f t="array" ref="AI5:AI6">MMULT(TRANSPOSE(AC3:AD10),AE3:AE10)</f>
        <v>1.0090247651216838E-10</v>
      </c>
    </row>
    <row r="6" spans="1:36" x14ac:dyDescent="0.35">
      <c r="A6">
        <v>4.92</v>
      </c>
      <c r="B6">
        <f t="shared" si="19"/>
        <v>4.9199999999999999E-3</v>
      </c>
      <c r="C6">
        <v>684</v>
      </c>
      <c r="D6">
        <f t="shared" si="3"/>
        <v>342</v>
      </c>
      <c r="E6">
        <v>0.5</v>
      </c>
      <c r="F6">
        <f t="shared" si="0"/>
        <v>60</v>
      </c>
      <c r="H6">
        <f t="shared" si="1"/>
        <v>4.92</v>
      </c>
      <c r="I6">
        <f t="shared" si="4"/>
        <v>684</v>
      </c>
      <c r="J6">
        <f t="shared" si="5"/>
        <v>2.0655694361821669E-3</v>
      </c>
      <c r="K6">
        <f t="shared" si="6"/>
        <v>1.0687049006531924E-6</v>
      </c>
      <c r="L6">
        <f t="shared" si="7"/>
        <v>1.1653151082609157</v>
      </c>
      <c r="M6">
        <f t="shared" si="8"/>
        <v>0.8581369905109808</v>
      </c>
      <c r="N6">
        <f t="shared" si="9"/>
        <v>4.2220339933140254</v>
      </c>
      <c r="O6">
        <f t="shared" si="10"/>
        <v>586.96570150951084</v>
      </c>
      <c r="P6" s="2">
        <f t="shared" ref="P6:P10" si="20">L6*(I6-S$11-S$12*H6)^2</f>
        <v>114.16153531277658</v>
      </c>
      <c r="S6">
        <v>18155.381195396076</v>
      </c>
      <c r="X6">
        <f t="shared" si="11"/>
        <v>342</v>
      </c>
      <c r="Y6">
        <f t="shared" si="2"/>
        <v>4.9199999999999999E-3</v>
      </c>
      <c r="Z6">
        <f t="shared" si="12"/>
        <v>4.2748196026127698E-7</v>
      </c>
      <c r="AA6">
        <f t="shared" si="13"/>
        <v>20655.694361821668</v>
      </c>
      <c r="AB6">
        <f t="shared" si="14"/>
        <v>20655.694361821668</v>
      </c>
      <c r="AC6">
        <f t="shared" si="15"/>
        <v>4.8412799999999998E-5</v>
      </c>
      <c r="AD6">
        <f t="shared" si="16"/>
        <v>1.65571776E-2</v>
      </c>
      <c r="AE6">
        <f t="shared" si="17"/>
        <v>2.3819097599999998E-7</v>
      </c>
      <c r="AF6" s="2">
        <f t="shared" si="18"/>
        <v>7.8190485382321875E-6</v>
      </c>
      <c r="AI6">
        <v>2.889232775439429E-8</v>
      </c>
    </row>
    <row r="7" spans="1:36" x14ac:dyDescent="0.35">
      <c r="A7">
        <v>4.7</v>
      </c>
      <c r="B7">
        <f t="shared" si="19"/>
        <v>4.7000000000000002E-3</v>
      </c>
      <c r="C7">
        <v>787</v>
      </c>
      <c r="D7">
        <f t="shared" si="3"/>
        <v>393.5</v>
      </c>
      <c r="E7">
        <v>0.6</v>
      </c>
      <c r="F7">
        <f t="shared" si="0"/>
        <v>72</v>
      </c>
      <c r="H7">
        <f t="shared" si="1"/>
        <v>4.7</v>
      </c>
      <c r="I7">
        <f t="shared" si="4"/>
        <v>787</v>
      </c>
      <c r="J7">
        <f t="shared" si="5"/>
        <v>2.2634676324128559E-3</v>
      </c>
      <c r="K7">
        <f t="shared" si="6"/>
        <v>8.0727320870111351E-7</v>
      </c>
      <c r="L7">
        <f t="shared" si="7"/>
        <v>1.2769616856768127</v>
      </c>
      <c r="M7">
        <f t="shared" si="8"/>
        <v>0.78310885222055981</v>
      </c>
      <c r="N7">
        <f t="shared" si="9"/>
        <v>3.6806116054366314</v>
      </c>
      <c r="O7">
        <f t="shared" si="10"/>
        <v>616.30666669758057</v>
      </c>
      <c r="P7" s="2">
        <f t="shared" si="20"/>
        <v>1228.2179402674203</v>
      </c>
      <c r="X7">
        <f t="shared" si="11"/>
        <v>393.5</v>
      </c>
      <c r="Y7">
        <f t="shared" si="2"/>
        <v>4.7000000000000002E-3</v>
      </c>
      <c r="Z7">
        <f t="shared" si="12"/>
        <v>3.2290928348044542E-7</v>
      </c>
      <c r="AA7">
        <f t="shared" si="13"/>
        <v>22634.676324128566</v>
      </c>
      <c r="AB7">
        <f t="shared" si="14"/>
        <v>22634.676324128566</v>
      </c>
      <c r="AC7">
        <f t="shared" si="15"/>
        <v>4.4180000000000001E-5</v>
      </c>
      <c r="AD7">
        <f t="shared" si="16"/>
        <v>1.738483E-2</v>
      </c>
      <c r="AE7">
        <f t="shared" si="17"/>
        <v>2.0764600000000001E-7</v>
      </c>
      <c r="AF7" s="2">
        <f t="shared" si="18"/>
        <v>7.9126869315557284E-5</v>
      </c>
    </row>
    <row r="8" spans="1:36" x14ac:dyDescent="0.35">
      <c r="A8">
        <v>4.55</v>
      </c>
      <c r="B8">
        <f t="shared" si="19"/>
        <v>4.5500000000000002E-3</v>
      </c>
      <c r="C8">
        <v>864</v>
      </c>
      <c r="D8">
        <f t="shared" si="3"/>
        <v>432</v>
      </c>
      <c r="E8">
        <v>0.7</v>
      </c>
      <c r="F8">
        <f t="shared" si="0"/>
        <v>84</v>
      </c>
      <c r="H8">
        <f t="shared" si="1"/>
        <v>4.55</v>
      </c>
      <c r="I8">
        <f t="shared" si="4"/>
        <v>864</v>
      </c>
      <c r="J8">
        <f t="shared" si="5"/>
        <v>2.415167250332086E-3</v>
      </c>
      <c r="K8">
        <f t="shared" si="6"/>
        <v>6.6979595336076813E-7</v>
      </c>
      <c r="L8">
        <f t="shared" si="7"/>
        <v>1.3625447958748256</v>
      </c>
      <c r="M8">
        <f t="shared" si="8"/>
        <v>0.73392082449512952</v>
      </c>
      <c r="N8">
        <f t="shared" si="9"/>
        <v>3.3393397514528393</v>
      </c>
      <c r="O8">
        <f t="shared" si="10"/>
        <v>634.10759236379192</v>
      </c>
      <c r="P8" s="2">
        <f t="shared" si="20"/>
        <v>2034.0951385802541</v>
      </c>
      <c r="R8" t="s">
        <v>14</v>
      </c>
      <c r="S8" cm="1">
        <f t="array" ref="S8:T9">MINVERSE(_xlfn.ANCHORARRAY(S2))</f>
        <v>19.845309556901935</v>
      </c>
      <c r="T8">
        <v>-3.8648149914311891</v>
      </c>
      <c r="X8">
        <f t="shared" si="11"/>
        <v>432</v>
      </c>
      <c r="Y8">
        <f t="shared" si="2"/>
        <v>4.5500000000000002E-3</v>
      </c>
      <c r="Z8">
        <f t="shared" si="12"/>
        <v>2.6791838134430728E-7</v>
      </c>
      <c r="AA8">
        <f t="shared" si="13"/>
        <v>24151.672503320853</v>
      </c>
      <c r="AB8">
        <f t="shared" si="14"/>
        <v>24151.672503320853</v>
      </c>
      <c r="AC8">
        <f t="shared" si="15"/>
        <v>4.1405000000000001E-5</v>
      </c>
      <c r="AD8">
        <f t="shared" si="16"/>
        <v>1.788696E-2</v>
      </c>
      <c r="AE8">
        <f t="shared" si="17"/>
        <v>1.8839275E-7</v>
      </c>
      <c r="AF8" s="2">
        <f t="shared" si="18"/>
        <v>1.3338365349001042E-4</v>
      </c>
      <c r="AH8" t="s">
        <v>14</v>
      </c>
      <c r="AI8" cm="1">
        <f t="array" ref="AI8:AJ9">MINVERSE(_xlfn.ANCHORARRAY(AI2))</f>
        <v>313403459.78922004</v>
      </c>
      <c r="AJ8">
        <v>-882109.38543953979</v>
      </c>
    </row>
    <row r="9" spans="1:36" x14ac:dyDescent="0.35">
      <c r="A9">
        <v>4.5199999999999996</v>
      </c>
      <c r="B9">
        <f t="shared" si="19"/>
        <v>4.5199999999999997E-3</v>
      </c>
      <c r="C9">
        <v>934</v>
      </c>
      <c r="D9">
        <f t="shared" si="3"/>
        <v>467</v>
      </c>
      <c r="E9">
        <v>0.8</v>
      </c>
      <c r="F9">
        <f t="shared" si="0"/>
        <v>96</v>
      </c>
      <c r="H9">
        <f t="shared" si="1"/>
        <v>4.5199999999999996</v>
      </c>
      <c r="I9">
        <f t="shared" si="4"/>
        <v>934</v>
      </c>
      <c r="J9">
        <f t="shared" si="5"/>
        <v>2.4473333855431129E-3</v>
      </c>
      <c r="K9">
        <f t="shared" si="6"/>
        <v>5.7316049869548672E-7</v>
      </c>
      <c r="L9">
        <f t="shared" si="7"/>
        <v>1.3806916965207534</v>
      </c>
      <c r="M9">
        <f t="shared" si="8"/>
        <v>0.72427465343633923</v>
      </c>
      <c r="N9">
        <f t="shared" si="9"/>
        <v>3.2737214335322529</v>
      </c>
      <c r="O9">
        <f t="shared" si="10"/>
        <v>676.47252630954085</v>
      </c>
      <c r="P9" s="2">
        <f t="shared" si="20"/>
        <v>287.79497091356234</v>
      </c>
      <c r="S9">
        <v>-3.8648149914311891</v>
      </c>
      <c r="T9">
        <v>0.75880415921803468</v>
      </c>
      <c r="X9">
        <f t="shared" si="11"/>
        <v>467</v>
      </c>
      <c r="Y9">
        <f t="shared" si="2"/>
        <v>4.5199999999999997E-3</v>
      </c>
      <c r="Z9">
        <f t="shared" si="12"/>
        <v>2.2926419947819469E-7</v>
      </c>
      <c r="AA9">
        <f t="shared" si="13"/>
        <v>24473.333855431127</v>
      </c>
      <c r="AB9">
        <f t="shared" si="14"/>
        <v>24473.333855431127</v>
      </c>
      <c r="AC9">
        <f t="shared" si="15"/>
        <v>4.0860799999999993E-5</v>
      </c>
      <c r="AD9">
        <f t="shared" si="16"/>
        <v>1.9081993599999996E-2</v>
      </c>
      <c r="AE9">
        <f t="shared" si="17"/>
        <v>1.8469081599999996E-7</v>
      </c>
      <c r="AF9" s="2">
        <f t="shared" si="18"/>
        <v>8.1418668561056741E-6</v>
      </c>
      <c r="AI9">
        <v>-882109.38543953968</v>
      </c>
      <c r="AJ9">
        <v>2959.4519409527225</v>
      </c>
    </row>
    <row r="10" spans="1:36" x14ac:dyDescent="0.35">
      <c r="A10">
        <v>4.37</v>
      </c>
      <c r="B10">
        <f t="shared" si="19"/>
        <v>4.3699999999999998E-3</v>
      </c>
      <c r="C10">
        <v>1030</v>
      </c>
      <c r="D10">
        <f t="shared" si="3"/>
        <v>515</v>
      </c>
      <c r="E10">
        <v>0.9</v>
      </c>
      <c r="F10">
        <f t="shared" si="0"/>
        <v>108</v>
      </c>
      <c r="H10">
        <f t="shared" si="1"/>
        <v>4.37</v>
      </c>
      <c r="I10">
        <f t="shared" si="4"/>
        <v>1030</v>
      </c>
      <c r="J10">
        <f t="shared" si="5"/>
        <v>2.618225994794967E-3</v>
      </c>
      <c r="K10">
        <f t="shared" si="6"/>
        <v>4.712979545668772E-7</v>
      </c>
      <c r="L10">
        <f>SQRT(K10^2+($L$1*J10)^2)</f>
        <v>1.4771027568137551</v>
      </c>
      <c r="M10">
        <f t="shared" si="8"/>
        <v>0.6770009705736999</v>
      </c>
      <c r="N10">
        <f t="shared" si="9"/>
        <v>2.9584942414070685</v>
      </c>
      <c r="O10">
        <f t="shared" si="10"/>
        <v>697.31099969091088</v>
      </c>
      <c r="P10" s="2">
        <f t="shared" si="20"/>
        <v>984.23192423074386</v>
      </c>
      <c r="X10">
        <f t="shared" si="11"/>
        <v>515</v>
      </c>
      <c r="Y10">
        <f t="shared" si="2"/>
        <v>4.3699999999999998E-3</v>
      </c>
      <c r="Z10">
        <f t="shared" si="12"/>
        <v>1.8851918182675089E-7</v>
      </c>
      <c r="AA10">
        <f t="shared" si="13"/>
        <v>26182.259947949671</v>
      </c>
      <c r="AB10">
        <f t="shared" si="14"/>
        <v>26182.259947949671</v>
      </c>
      <c r="AC10">
        <f t="shared" si="15"/>
        <v>3.8193799999999993E-5</v>
      </c>
      <c r="AD10">
        <f t="shared" si="16"/>
        <v>1.9669806999999997E-2</v>
      </c>
      <c r="AE10">
        <f t="shared" si="17"/>
        <v>1.6690690599999995E-7</v>
      </c>
      <c r="AF10" s="2">
        <f t="shared" si="18"/>
        <v>3.4528197545116995E-5</v>
      </c>
    </row>
    <row r="11" spans="1:36" x14ac:dyDescent="0.35">
      <c r="R11" t="s">
        <v>15</v>
      </c>
      <c r="S11" cm="1">
        <f t="array" ref="S11:S12">MMULT(_xlfn.ANCHORARRAY(S8),_xlfn.ANCHORARRAY(S5))</f>
        <v>3469.5732193091972</v>
      </c>
      <c r="T11">
        <f>SQRT(S8)</f>
        <v>4.4548074657500001</v>
      </c>
      <c r="AH11" t="s">
        <v>15</v>
      </c>
      <c r="AI11" cm="1">
        <f t="array" ref="AI11:AI12">MMULT(_xlfn.ANCHORARRAY(AI8),_xlfn.ANCHORARRAY(AI5))</f>
        <v>6.1369917608675752E-3</v>
      </c>
      <c r="AJ11">
        <f>SQRT(AI8)</f>
        <v>17703.204788659594</v>
      </c>
    </row>
    <row r="12" spans="1:36" x14ac:dyDescent="0.35">
      <c r="S12">
        <v>-564.161672732027</v>
      </c>
      <c r="T12">
        <f>SQRT(T9)</f>
        <v>0.8710936569726786</v>
      </c>
      <c r="AI12">
        <v>-3.5015660940920459E-6</v>
      </c>
      <c r="AJ12">
        <f>SQRT(AJ9)</f>
        <v>54.40084503895801</v>
      </c>
    </row>
    <row r="14" spans="1:36" x14ac:dyDescent="0.35">
      <c r="R14" s="1" t="s">
        <v>16</v>
      </c>
      <c r="S14">
        <f>+SUM(P3:P10)/(COUNT(P3:P10)-2)</f>
        <v>1263.9829564182894</v>
      </c>
      <c r="AH14" s="1" t="s">
        <v>16</v>
      </c>
      <c r="AI14">
        <f>+SUM(AF4:AF10)/(COUNT(AF4:AF10)-2)</f>
        <v>7.8556962655873308E-5</v>
      </c>
    </row>
    <row r="16" spans="1:36" x14ac:dyDescent="0.35">
      <c r="R16" s="1" t="s">
        <v>18</v>
      </c>
      <c r="S16">
        <f>SQRT(S14)</f>
        <v>35.552537974359716</v>
      </c>
      <c r="AH16" s="1" t="s">
        <v>18</v>
      </c>
      <c r="AI16">
        <f>SQRT(AI14)</f>
        <v>8.8632365790310089E-3</v>
      </c>
    </row>
    <row r="22" spans="17:37" x14ac:dyDescent="0.35">
      <c r="R22">
        <v>4</v>
      </c>
      <c r="S22">
        <f>R22*S12+S11</f>
        <v>1212.9265283810892</v>
      </c>
      <c r="AH22">
        <v>100</v>
      </c>
      <c r="AI22">
        <f>AH22*AI12+AI11</f>
        <v>5.7868351514583707E-3</v>
      </c>
    </row>
    <row r="23" spans="17:37" x14ac:dyDescent="0.35">
      <c r="R23">
        <v>6</v>
      </c>
      <c r="S23">
        <f>R23*S12+S11</f>
        <v>84.603182917035156</v>
      </c>
      <c r="AH23">
        <v>525</v>
      </c>
      <c r="AI23">
        <f>AH23*AI12+AI11</f>
        <v>4.2986695614692511E-3</v>
      </c>
    </row>
    <row r="25" spans="17:37" x14ac:dyDescent="0.35">
      <c r="AK25" t="s">
        <v>26</v>
      </c>
    </row>
    <row r="26" spans="17:37" x14ac:dyDescent="0.35">
      <c r="AK26" t="s">
        <v>27</v>
      </c>
    </row>
    <row r="27" spans="17:37" x14ac:dyDescent="0.35">
      <c r="Q27" t="s">
        <v>24</v>
      </c>
      <c r="R27">
        <v>9.5</v>
      </c>
      <c r="AG27" t="s">
        <v>24</v>
      </c>
      <c r="AH27">
        <v>9.5</v>
      </c>
    </row>
    <row r="28" spans="17:37" x14ac:dyDescent="0.35">
      <c r="Q28" s="1" t="s">
        <v>19</v>
      </c>
      <c r="R28">
        <f>8*PI()*R27^2*H4/(I4-S11)/S12</f>
        <v>7.1984181289070194E-3</v>
      </c>
      <c r="AG28" s="1" t="s">
        <v>19</v>
      </c>
      <c r="AH28">
        <f>8*PI()*AH27^2*X5/((Y5-Y3)-AI11)/AI12</f>
        <v>27907081704301.004</v>
      </c>
    </row>
    <row r="29" spans="17:37" x14ac:dyDescent="0.35">
      <c r="Q29" s="1" t="s">
        <v>20</v>
      </c>
      <c r="R29" t="s">
        <v>23</v>
      </c>
      <c r="AG29" s="1" t="s">
        <v>20</v>
      </c>
      <c r="AH29" t="s">
        <v>23</v>
      </c>
    </row>
    <row r="30" spans="17:37" x14ac:dyDescent="0.35">
      <c r="Q30" s="1" t="s">
        <v>21</v>
      </c>
      <c r="R30">
        <v>299792458</v>
      </c>
      <c r="AG30" s="1" t="s">
        <v>21</v>
      </c>
      <c r="AH30">
        <v>299792458</v>
      </c>
    </row>
    <row r="31" spans="17:37" x14ac:dyDescent="0.35">
      <c r="Q31" s="1" t="s">
        <v>22</v>
      </c>
      <c r="R31">
        <f>R30/R28</f>
        <v>41646991412.753532</v>
      </c>
      <c r="AG31" s="1" t="s">
        <v>22</v>
      </c>
      <c r="AH31">
        <f>AH30/AH28</f>
        <v>1.0742522674945134E-5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D34D-7E6B-44CF-8997-35BDC96247A6}">
  <dimension ref="A1:AJ31"/>
  <sheetViews>
    <sheetView tabSelected="1" topLeftCell="M1" zoomScale="120" zoomScaleNormal="120" workbookViewId="0">
      <selection activeCell="AI11" sqref="AI11"/>
    </sheetView>
  </sheetViews>
  <sheetFormatPr defaultRowHeight="15.5" x14ac:dyDescent="0.35"/>
  <cols>
    <col min="1" max="1" width="12.4140625" bestFit="1" customWidth="1"/>
    <col min="4" max="4" width="11.25" bestFit="1" customWidth="1"/>
    <col min="5" max="5" width="9.9140625" bestFit="1" customWidth="1"/>
    <col min="12" max="12" width="9.75" bestFit="1" customWidth="1"/>
    <col min="17" max="17" width="11.75" bestFit="1" customWidth="1"/>
    <col min="19" max="20" width="11.75" bestFit="1" customWidth="1"/>
    <col min="21" max="21" width="12.58203125" bestFit="1" customWidth="1"/>
    <col min="27" max="27" width="9.25" bestFit="1" customWidth="1"/>
    <col min="32" max="32" width="12.1640625" bestFit="1" customWidth="1"/>
    <col min="34" max="34" width="10.58203125" bestFit="1" customWidth="1"/>
    <col min="35" max="35" width="12.1640625" customWidth="1"/>
    <col min="36" max="36" width="11.08203125" bestFit="1" customWidth="1"/>
  </cols>
  <sheetData>
    <row r="1" spans="1:36" x14ac:dyDescent="0.35">
      <c r="A1">
        <v>0.05</v>
      </c>
      <c r="C1">
        <v>0.5</v>
      </c>
      <c r="E1">
        <f>0.01</f>
        <v>0.01</v>
      </c>
      <c r="F1">
        <f>0.01*120</f>
        <v>1.2</v>
      </c>
    </row>
    <row r="2" spans="1:36" x14ac:dyDescent="0.35">
      <c r="A2" t="s">
        <v>0</v>
      </c>
      <c r="B2" t="s">
        <v>25</v>
      </c>
      <c r="C2" t="s">
        <v>1</v>
      </c>
      <c r="D2" t="s">
        <v>28</v>
      </c>
      <c r="E2" t="s">
        <v>3</v>
      </c>
      <c r="F2" t="s">
        <v>2</v>
      </c>
      <c r="K2">
        <v>1</v>
      </c>
      <c r="L2">
        <v>8.0404753879684776</v>
      </c>
      <c r="M2">
        <v>4.0714285714285765</v>
      </c>
      <c r="S2" t="s">
        <v>12</v>
      </c>
      <c r="T2" cm="1">
        <f t="array" ref="T2:U3">MMULT(TRANSPOSE(N4:O10),N4:O10)</f>
        <v>8.6179540833975957E-2</v>
      </c>
      <c r="U2">
        <v>6.1901533044747294</v>
      </c>
      <c r="X2">
        <v>0.05</v>
      </c>
      <c r="Y2">
        <v>0.5</v>
      </c>
      <c r="AA2" s="6">
        <v>4.0556536674537102E-5</v>
      </c>
      <c r="AB2">
        <v>3.8081905536780898E-6</v>
      </c>
      <c r="AH2" t="s">
        <v>12</v>
      </c>
      <c r="AI2" cm="1">
        <f t="array" ref="AI2:AJ3">MMULT(TRANSPOSE(AC4:AD10),AC4:AD10)</f>
        <v>3553061806.7092543</v>
      </c>
      <c r="AJ2">
        <v>1347450135779.7776</v>
      </c>
    </row>
    <row r="3" spans="1:36" x14ac:dyDescent="0.35">
      <c r="A3">
        <v>5.69</v>
      </c>
      <c r="B3">
        <f>(A$3-A3)/1000</f>
        <v>0</v>
      </c>
      <c r="C3">
        <v>230</v>
      </c>
      <c r="D3">
        <f>C3/2</f>
        <v>115</v>
      </c>
      <c r="E3">
        <v>0.2</v>
      </c>
      <c r="F3">
        <f t="shared" ref="F3:F10" si="0">120*E3</f>
        <v>24</v>
      </c>
      <c r="I3" t="s">
        <v>4</v>
      </c>
      <c r="J3" t="s">
        <v>5</v>
      </c>
      <c r="K3" t="s">
        <v>6</v>
      </c>
      <c r="L3" t="s">
        <v>17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T3">
        <v>6.1901533044747294</v>
      </c>
      <c r="U3">
        <v>497.6883256797683</v>
      </c>
      <c r="X3" t="s">
        <v>4</v>
      </c>
      <c r="Y3" t="s">
        <v>5</v>
      </c>
      <c r="Z3" t="s">
        <v>6</v>
      </c>
      <c r="AA3" t="s">
        <v>17</v>
      </c>
      <c r="AB3" t="s">
        <v>7</v>
      </c>
      <c r="AC3" t="s">
        <v>8</v>
      </c>
      <c r="AD3" t="s">
        <v>9</v>
      </c>
      <c r="AE3" t="s">
        <v>10</v>
      </c>
      <c r="AF3" t="s">
        <v>11</v>
      </c>
      <c r="AI3">
        <v>1347450135779.7776</v>
      </c>
      <c r="AJ3">
        <v>543021773761956.5</v>
      </c>
    </row>
    <row r="4" spans="1:36" x14ac:dyDescent="0.35">
      <c r="A4">
        <v>5.47</v>
      </c>
      <c r="B4">
        <f t="shared" ref="B4:B10" si="1">(A$3-A4)/1000</f>
        <v>2.2000000000000063E-4</v>
      </c>
      <c r="C4">
        <v>420</v>
      </c>
      <c r="D4">
        <f t="shared" ref="D4:D10" si="2">C4/2</f>
        <v>210</v>
      </c>
      <c r="E4">
        <v>0.27</v>
      </c>
      <c r="F4">
        <f t="shared" si="0"/>
        <v>32.400000000000006</v>
      </c>
      <c r="I4" cm="1">
        <f t="array" ref="I4:I10">F4:F10</f>
        <v>32.400000000000006</v>
      </c>
      <c r="J4" cm="1">
        <f t="array" ref="J4:J10">D4:D10</f>
        <v>210</v>
      </c>
      <c r="K4">
        <f>K$2</f>
        <v>1</v>
      </c>
      <c r="L4">
        <f>L$2</f>
        <v>8.0404753879684776</v>
      </c>
      <c r="M4">
        <f>SQRT(L4^2+($M$2*K4)^2)</f>
        <v>9.0125343315169566</v>
      </c>
      <c r="N4">
        <f>1/M4</f>
        <v>0.1109565814915108</v>
      </c>
      <c r="O4">
        <f>N4*I4</f>
        <v>3.5949932403249507</v>
      </c>
      <c r="P4">
        <f>J4*N4</f>
        <v>23.30088211321727</v>
      </c>
      <c r="Q4">
        <f>(J4-T$11-T$12*I4)^2/M4^2</f>
        <v>1.7139568190866161</v>
      </c>
      <c r="X4" cm="1">
        <f t="array" ref="X4:X10">D4:D10</f>
        <v>210</v>
      </c>
      <c r="Y4" cm="1">
        <f t="array" ref="Y4:Y10">B4:B10</f>
        <v>2.2000000000000063E-4</v>
      </c>
      <c r="Z4">
        <f>T22</f>
        <v>6.3955978560284255</v>
      </c>
      <c r="AA4">
        <f t="shared" ref="AA4:AA10" si="3">AA$2</f>
        <v>4.0556536674537102E-5</v>
      </c>
      <c r="AB4">
        <f>SQRT(AA4^2+($AB$2*Z4)^2)</f>
        <v>4.7307828253851672E-5</v>
      </c>
      <c r="AC4">
        <f>1/AB4</f>
        <v>21138.150638284325</v>
      </c>
      <c r="AD4">
        <f>X4*AC4</f>
        <v>4439011.6340397084</v>
      </c>
      <c r="AE4">
        <f>Y4*AC4</f>
        <v>4.6503931404225654</v>
      </c>
      <c r="AF4">
        <f>(Y4-AI$11-AI$12*X4)^2/AB4^2</f>
        <v>0.1896425021548005</v>
      </c>
    </row>
    <row r="5" spans="1:36" x14ac:dyDescent="0.35">
      <c r="A5">
        <v>5.2</v>
      </c>
      <c r="B5">
        <f t="shared" si="1"/>
        <v>4.900000000000002E-4</v>
      </c>
      <c r="C5">
        <v>571</v>
      </c>
      <c r="D5">
        <f t="shared" si="2"/>
        <v>285.5</v>
      </c>
      <c r="E5">
        <v>0.4</v>
      </c>
      <c r="F5">
        <f t="shared" si="0"/>
        <v>48</v>
      </c>
      <c r="I5">
        <v>48</v>
      </c>
      <c r="J5">
        <v>285.5</v>
      </c>
      <c r="K5">
        <f t="shared" ref="K5:L10" si="4">K$2</f>
        <v>1</v>
      </c>
      <c r="L5">
        <f t="shared" si="4"/>
        <v>8.0404753879684776</v>
      </c>
      <c r="M5">
        <f t="shared" ref="M5:M10" si="5">SQRT(L5^2+($M$2*K5)^2)</f>
        <v>9.0125343315169566</v>
      </c>
      <c r="N5">
        <f t="shared" ref="N5:N10" si="6">1/M5</f>
        <v>0.1109565814915108</v>
      </c>
      <c r="O5">
        <f t="shared" ref="O5:O10" si="7">N5*I5</f>
        <v>5.325915911592519</v>
      </c>
      <c r="P5">
        <f t="shared" ref="P5:P10" si="8">J5*N5</f>
        <v>31.678104015826335</v>
      </c>
      <c r="Q5">
        <f t="shared" ref="Q5:Q10" si="9">(J5-T$11-T$12*I5)^2/M5^2</f>
        <v>4.711352220851036E-2</v>
      </c>
      <c r="S5" t="s">
        <v>13</v>
      </c>
      <c r="T5" cm="1">
        <f t="array" ref="T5:T6">MMULT(TRANSPOSE(N4:O10),P4:P10)</f>
        <v>32.563555072266624</v>
      </c>
      <c r="X5">
        <v>285.5</v>
      </c>
      <c r="Y5">
        <v>4.900000000000002E-4</v>
      </c>
      <c r="Z5">
        <f t="shared" ref="Z5:Z10" si="10">T23</f>
        <v>4.7228277400695839</v>
      </c>
      <c r="AA5">
        <f t="shared" si="3"/>
        <v>4.0556536674537102E-5</v>
      </c>
      <c r="AB5">
        <f t="shared" ref="AB4:AB10" si="11">SQRT(AA5^2+($AB$2*Z5)^2)</f>
        <v>4.4365620551124944E-5</v>
      </c>
      <c r="AC5">
        <f t="shared" ref="AC5:AC10" si="12">1/AB5</f>
        <v>22539.975494034734</v>
      </c>
      <c r="AD5">
        <f t="shared" ref="AD5:AD10" si="13">X5*AC5</f>
        <v>6435163.0035469169</v>
      </c>
      <c r="AE5">
        <f t="shared" ref="AE5:AE10" si="14">Y5*AC5</f>
        <v>11.044587992077025</v>
      </c>
      <c r="AF5">
        <f t="shared" ref="AF5:AF10" si="15">(Y5-AI$11-AI$12*X5)^2/AB5^2</f>
        <v>0.70562200861712521</v>
      </c>
      <c r="AH5" t="s">
        <v>13</v>
      </c>
      <c r="AI5" cm="1">
        <f t="array" ref="AI5:AI6">MMULT(TRANSPOSE(AC4:AD10),AE4:AE10)</f>
        <v>3137976.7329858691</v>
      </c>
    </row>
    <row r="6" spans="1:36" x14ac:dyDescent="0.35">
      <c r="A6">
        <v>4.92</v>
      </c>
      <c r="B6">
        <f t="shared" si="1"/>
        <v>7.700000000000005E-4</v>
      </c>
      <c r="C6">
        <v>684</v>
      </c>
      <c r="D6">
        <f t="shared" si="2"/>
        <v>342</v>
      </c>
      <c r="E6">
        <v>0.5</v>
      </c>
      <c r="F6">
        <f t="shared" si="0"/>
        <v>60</v>
      </c>
      <c r="I6">
        <v>60</v>
      </c>
      <c r="J6">
        <v>342</v>
      </c>
      <c r="K6">
        <f t="shared" si="4"/>
        <v>1</v>
      </c>
      <c r="L6">
        <f t="shared" si="4"/>
        <v>8.0404753879684776</v>
      </c>
      <c r="M6">
        <f t="shared" si="5"/>
        <v>9.0125343315169566</v>
      </c>
      <c r="N6">
        <f t="shared" si="6"/>
        <v>0.1109565814915108</v>
      </c>
      <c r="O6">
        <f t="shared" si="7"/>
        <v>6.6573948894906483</v>
      </c>
      <c r="P6">
        <f t="shared" si="8"/>
        <v>37.947150870096692</v>
      </c>
      <c r="Q6">
        <f t="shared" si="9"/>
        <v>1.4789379082288725</v>
      </c>
      <c r="T6">
        <v>2548.9987606065788</v>
      </c>
      <c r="X6">
        <v>342</v>
      </c>
      <c r="Y6">
        <v>7.700000000000005E-4</v>
      </c>
      <c r="Z6">
        <f t="shared" si="10"/>
        <v>3.7736827150972205</v>
      </c>
      <c r="AA6">
        <f t="shared" si="3"/>
        <v>4.0556536674537102E-5</v>
      </c>
      <c r="AB6">
        <f t="shared" si="11"/>
        <v>4.302738100652471E-5</v>
      </c>
      <c r="AC6">
        <f t="shared" si="12"/>
        <v>23241.014828403317</v>
      </c>
      <c r="AD6">
        <f t="shared" si="13"/>
        <v>7948427.0713139344</v>
      </c>
      <c r="AE6">
        <f t="shared" si="14"/>
        <v>17.895581417870567</v>
      </c>
      <c r="AF6">
        <f t="shared" si="15"/>
        <v>0.42976805423647663</v>
      </c>
      <c r="AI6">
        <v>1311610548.2565107</v>
      </c>
    </row>
    <row r="7" spans="1:36" x14ac:dyDescent="0.35">
      <c r="A7">
        <v>4.7</v>
      </c>
      <c r="B7">
        <f t="shared" si="1"/>
        <v>9.9000000000000021E-4</v>
      </c>
      <c r="C7">
        <v>787</v>
      </c>
      <c r="D7">
        <f t="shared" si="2"/>
        <v>393.5</v>
      </c>
      <c r="E7">
        <v>0.62</v>
      </c>
      <c r="F7">
        <f t="shared" si="0"/>
        <v>74.400000000000006</v>
      </c>
      <c r="I7">
        <v>74.400000000000006</v>
      </c>
      <c r="J7">
        <v>393.5</v>
      </c>
      <c r="K7">
        <f t="shared" si="4"/>
        <v>1</v>
      </c>
      <c r="L7">
        <f t="shared" si="4"/>
        <v>8.0404753879684776</v>
      </c>
      <c r="M7">
        <f t="shared" si="5"/>
        <v>9.0125343315169566</v>
      </c>
      <c r="N7">
        <f t="shared" si="6"/>
        <v>0.1109565814915108</v>
      </c>
      <c r="O7">
        <f t="shared" si="7"/>
        <v>8.2551696629684042</v>
      </c>
      <c r="P7">
        <f t="shared" si="8"/>
        <v>43.661414816909499</v>
      </c>
      <c r="Q7">
        <f t="shared" si="9"/>
        <v>0.36771481196152561</v>
      </c>
      <c r="X7">
        <v>393.5</v>
      </c>
      <c r="Y7">
        <v>9.9000000000000021E-4</v>
      </c>
      <c r="Z7">
        <f t="shared" si="10"/>
        <v>3.4246611567469736</v>
      </c>
      <c r="AA7">
        <f t="shared" si="3"/>
        <v>4.0556536674537102E-5</v>
      </c>
      <c r="AB7">
        <f t="shared" si="11"/>
        <v>4.2601880592920605E-5</v>
      </c>
      <c r="AC7">
        <f t="shared" si="12"/>
        <v>23473.142173122182</v>
      </c>
      <c r="AD7">
        <f t="shared" si="13"/>
        <v>9236681.4451235794</v>
      </c>
      <c r="AE7">
        <f t="shared" si="14"/>
        <v>23.238410751390965</v>
      </c>
      <c r="AF7">
        <f t="shared" si="15"/>
        <v>1.5283313413421442</v>
      </c>
    </row>
    <row r="8" spans="1:36" x14ac:dyDescent="0.35">
      <c r="A8">
        <v>4.57</v>
      </c>
      <c r="B8">
        <f t="shared" si="1"/>
        <v>1.1200000000000001E-3</v>
      </c>
      <c r="C8">
        <v>864</v>
      </c>
      <c r="D8">
        <f t="shared" si="2"/>
        <v>432</v>
      </c>
      <c r="E8">
        <v>0.7</v>
      </c>
      <c r="F8">
        <f t="shared" si="0"/>
        <v>84</v>
      </c>
      <c r="I8">
        <v>84</v>
      </c>
      <c r="J8">
        <v>432</v>
      </c>
      <c r="K8">
        <f t="shared" si="4"/>
        <v>1</v>
      </c>
      <c r="L8">
        <f t="shared" si="4"/>
        <v>8.0404753879684776</v>
      </c>
      <c r="M8">
        <f t="shared" si="5"/>
        <v>9.0125343315169566</v>
      </c>
      <c r="N8">
        <f t="shared" si="6"/>
        <v>0.1109565814915108</v>
      </c>
      <c r="O8">
        <f t="shared" si="7"/>
        <v>9.3203528452869069</v>
      </c>
      <c r="P8">
        <f t="shared" si="8"/>
        <v>47.933243204332669</v>
      </c>
      <c r="Q8">
        <f t="shared" si="9"/>
        <v>0.43855303223436087</v>
      </c>
      <c r="S8" t="s">
        <v>14</v>
      </c>
      <c r="T8" cm="1">
        <f t="array" ref="T8:U9">MINVERSE(_xlfn.ANCHORARRAY(T2))</f>
        <v>108.84253860287406</v>
      </c>
      <c r="U8">
        <v>-1.3537629179461945</v>
      </c>
      <c r="X8">
        <v>432</v>
      </c>
      <c r="Y8">
        <v>1.1200000000000001E-3</v>
      </c>
      <c r="Z8">
        <f t="shared" si="10"/>
        <v>3.79417530516228</v>
      </c>
      <c r="AA8">
        <f t="shared" si="3"/>
        <v>4.0556536674537102E-5</v>
      </c>
      <c r="AB8">
        <f t="shared" si="11"/>
        <v>4.305350866100301E-5</v>
      </c>
      <c r="AC8">
        <f t="shared" si="12"/>
        <v>23226.910676986929</v>
      </c>
      <c r="AD8">
        <f t="shared" si="13"/>
        <v>10034025.412458353</v>
      </c>
      <c r="AE8">
        <f t="shared" si="14"/>
        <v>26.014139958225364</v>
      </c>
      <c r="AF8">
        <f t="shared" si="15"/>
        <v>0.71818908017857319</v>
      </c>
      <c r="AH8" t="s">
        <v>14</v>
      </c>
      <c r="AI8" cm="1">
        <f t="array" ref="AI8:AJ9">MINVERSE(_xlfn.ANCHORARRAY(AI2))</f>
        <v>4.7730601376856664E-9</v>
      </c>
      <c r="AJ8">
        <v>-1.1843835443381216E-11</v>
      </c>
    </row>
    <row r="9" spans="1:36" x14ac:dyDescent="0.35">
      <c r="A9">
        <v>4.5</v>
      </c>
      <c r="B9">
        <f t="shared" si="1"/>
        <v>1.1900000000000003E-3</v>
      </c>
      <c r="C9">
        <v>934</v>
      </c>
      <c r="D9">
        <f t="shared" si="2"/>
        <v>467</v>
      </c>
      <c r="E9">
        <v>0.8</v>
      </c>
      <c r="F9">
        <f t="shared" si="0"/>
        <v>96</v>
      </c>
      <c r="I9">
        <v>96</v>
      </c>
      <c r="J9">
        <v>467</v>
      </c>
      <c r="K9">
        <f t="shared" si="4"/>
        <v>1</v>
      </c>
      <c r="L9">
        <f t="shared" si="4"/>
        <v>8.0404753879684776</v>
      </c>
      <c r="M9">
        <f t="shared" si="5"/>
        <v>9.0125343315169566</v>
      </c>
      <c r="N9">
        <f t="shared" si="6"/>
        <v>0.1109565814915108</v>
      </c>
      <c r="O9">
        <f t="shared" si="7"/>
        <v>10.651831823185038</v>
      </c>
      <c r="P9">
        <f t="shared" si="8"/>
        <v>51.816723556535543</v>
      </c>
      <c r="Q9">
        <f t="shared" si="9"/>
        <v>0.52457242135329341</v>
      </c>
      <c r="T9">
        <v>-1.3537629179461945</v>
      </c>
      <c r="U9">
        <v>1.8847136884692448E-2</v>
      </c>
      <c r="X9">
        <v>467</v>
      </c>
      <c r="Y9">
        <v>1.1900000000000003E-3</v>
      </c>
      <c r="Z9">
        <f t="shared" si="10"/>
        <v>4.7555516910796278</v>
      </c>
      <c r="AA9">
        <f t="shared" si="3"/>
        <v>4.0556536674537102E-5</v>
      </c>
      <c r="AB9">
        <f t="shared" si="11"/>
        <v>4.4416286093855674E-5</v>
      </c>
      <c r="AC9">
        <f t="shared" si="12"/>
        <v>22514.264202254744</v>
      </c>
      <c r="AD9">
        <f t="shared" si="13"/>
        <v>10514161.382452965</v>
      </c>
      <c r="AE9">
        <f t="shared" si="14"/>
        <v>26.791974400683152</v>
      </c>
      <c r="AF9">
        <f t="shared" si="15"/>
        <v>0.35342886858563349</v>
      </c>
      <c r="AI9">
        <v>-1.1843835443381215E-11</v>
      </c>
      <c r="AJ9">
        <v>3.1230750765017459E-14</v>
      </c>
    </row>
    <row r="10" spans="1:36" x14ac:dyDescent="0.35">
      <c r="A10">
        <v>4.34</v>
      </c>
      <c r="B10">
        <f t="shared" si="1"/>
        <v>1.3500000000000005E-3</v>
      </c>
      <c r="C10">
        <v>1030</v>
      </c>
      <c r="D10">
        <f t="shared" si="2"/>
        <v>515</v>
      </c>
      <c r="E10">
        <v>0.9</v>
      </c>
      <c r="F10">
        <f t="shared" si="0"/>
        <v>108</v>
      </c>
      <c r="I10">
        <v>108</v>
      </c>
      <c r="J10">
        <v>515</v>
      </c>
      <c r="K10">
        <f t="shared" si="4"/>
        <v>1</v>
      </c>
      <c r="L10">
        <f t="shared" si="4"/>
        <v>8.0404753879684776</v>
      </c>
      <c r="M10">
        <f t="shared" si="5"/>
        <v>9.0125343315169566</v>
      </c>
      <c r="N10">
        <f t="shared" si="6"/>
        <v>0.1109565814915108</v>
      </c>
      <c r="O10">
        <f t="shared" si="7"/>
        <v>11.983310801083167</v>
      </c>
      <c r="P10">
        <f t="shared" si="8"/>
        <v>57.142639468128067</v>
      </c>
      <c r="Q10">
        <f t="shared" si="9"/>
        <v>0.4466853696296082</v>
      </c>
      <c r="X10">
        <v>515</v>
      </c>
      <c r="Y10">
        <v>1.3500000000000005E-3</v>
      </c>
      <c r="Z10">
        <f t="shared" si="10"/>
        <v>6.0218562710802699</v>
      </c>
      <c r="AA10">
        <f t="shared" si="3"/>
        <v>4.0556536674537102E-5</v>
      </c>
      <c r="AB10">
        <f t="shared" si="11"/>
        <v>4.6591056477655203E-5</v>
      </c>
      <c r="AC10">
        <f t="shared" si="12"/>
        <v>21463.34673650498</v>
      </c>
      <c r="AD10">
        <f t="shared" si="13"/>
        <v>11053623.569300065</v>
      </c>
      <c r="AE10">
        <f t="shared" si="14"/>
        <v>28.975518094281735</v>
      </c>
      <c r="AF10">
        <f t="shared" si="15"/>
        <v>1.090638258829677</v>
      </c>
    </row>
    <row r="11" spans="1:36" x14ac:dyDescent="0.35">
      <c r="S11" t="s">
        <v>15</v>
      </c>
      <c r="T11" cm="1">
        <f t="array" ref="T11:T12">MMULT(_xlfn.ANCHORARRAY(T8),_xlfn.ANCHORARRAY(T5))</f>
        <v>93.559999999999491</v>
      </c>
      <c r="AH11" t="s">
        <v>15</v>
      </c>
      <c r="AI11" cm="1">
        <f t="array" ref="AI11:AI12">MMULT(_xlfn.ANCHORARRAY(AI8),_xlfn.ANCHORARRAY(AI5))</f>
        <v>-5.5674784215318032E-4</v>
      </c>
      <c r="AJ11">
        <f>SQRT(AI8)</f>
        <v>6.9087337028471914E-5</v>
      </c>
    </row>
    <row r="12" spans="1:36" x14ac:dyDescent="0.35">
      <c r="A12" s="9"/>
      <c r="B12" s="7"/>
      <c r="C12" s="8"/>
      <c r="T12">
        <v>3.9579952267303256</v>
      </c>
      <c r="AI12">
        <v>3.7969020827233616E-6</v>
      </c>
      <c r="AJ12">
        <f>SQRT(AJ9)</f>
        <v>1.7672224185149264E-7</v>
      </c>
    </row>
    <row r="13" spans="1:36" x14ac:dyDescent="0.35">
      <c r="A13" s="9"/>
      <c r="B13" s="7"/>
      <c r="C13" s="8"/>
    </row>
    <row r="14" spans="1:36" x14ac:dyDescent="0.35">
      <c r="A14" s="9"/>
      <c r="B14" s="7"/>
      <c r="C14" s="8"/>
      <c r="E14" s="4"/>
      <c r="S14" s="1" t="s">
        <v>16</v>
      </c>
      <c r="T14">
        <f>+SUM(Q4:Q10)/(COUNT(Q4:Q10)-2)</f>
        <v>1.0035067769405575</v>
      </c>
      <c r="AH14" s="1" t="s">
        <v>16</v>
      </c>
      <c r="AI14">
        <f>+SUM(AF4:AF10)/(COUNT(AF4:AF10)-2)</f>
        <v>1.003124022788886</v>
      </c>
    </row>
    <row r="15" spans="1:36" x14ac:dyDescent="0.35">
      <c r="A15" s="9"/>
      <c r="B15" s="7"/>
      <c r="C15" s="8"/>
      <c r="E15" s="4"/>
    </row>
    <row r="16" spans="1:36" x14ac:dyDescent="0.35">
      <c r="A16" s="9"/>
      <c r="B16" s="7"/>
      <c r="C16" s="8"/>
      <c r="E16" s="4"/>
      <c r="S16" s="1" t="s">
        <v>18</v>
      </c>
      <c r="T16">
        <f>SQRT(T14)*L2</f>
        <v>8.0545611267305883</v>
      </c>
      <c r="AH16" s="1" t="s">
        <v>18</v>
      </c>
      <c r="AI16">
        <f>SQRT(AI14)*AA2</f>
        <v>4.0619837047541047E-5</v>
      </c>
    </row>
    <row r="17" spans="1:36" x14ac:dyDescent="0.35">
      <c r="A17" s="9"/>
      <c r="B17" s="7"/>
      <c r="C17" s="8"/>
      <c r="E17" s="4"/>
    </row>
    <row r="18" spans="1:36" x14ac:dyDescent="0.35">
      <c r="A18" s="9"/>
      <c r="B18" s="7"/>
      <c r="C18" s="8"/>
      <c r="E18" s="4"/>
    </row>
    <row r="19" spans="1:36" x14ac:dyDescent="0.35">
      <c r="A19" s="9"/>
      <c r="B19" s="7"/>
      <c r="C19" s="8"/>
      <c r="E19" s="4"/>
      <c r="AG19" t="s">
        <v>24</v>
      </c>
      <c r="AH19">
        <v>9.5</v>
      </c>
    </row>
    <row r="20" spans="1:36" x14ac:dyDescent="0.35">
      <c r="S20" s="1" t="s">
        <v>30</v>
      </c>
      <c r="AG20" s="1" t="s">
        <v>19</v>
      </c>
      <c r="AH20" s="3">
        <f>8*PI()*AH19^2*AI12^(-1)/2</f>
        <v>298694810.46307659</v>
      </c>
      <c r="AI20" s="5">
        <f>AH20*SQRT((AJ12/(AI12*4))^2+2*(0.002/AH19)^2)</f>
        <v>3476735.2391166384</v>
      </c>
      <c r="AJ20" s="3"/>
    </row>
    <row r="21" spans="1:36" x14ac:dyDescent="0.35">
      <c r="A21" s="9"/>
      <c r="S21" t="s">
        <v>4</v>
      </c>
      <c r="T21" t="s">
        <v>6</v>
      </c>
      <c r="AG21" s="1" t="s">
        <v>20</v>
      </c>
      <c r="AH21" s="3" t="s">
        <v>23</v>
      </c>
    </row>
    <row r="22" spans="1:36" x14ac:dyDescent="0.35">
      <c r="S22" s="8" cm="1">
        <f t="array" ref="S22:S28">F4:F10</f>
        <v>32.400000000000006</v>
      </c>
      <c r="T22" s="10">
        <f>SQRT($T$8+S22^2*$U$9+2*S22*$U$8)</f>
        <v>6.3955978560284255</v>
      </c>
      <c r="AG22" s="1" t="s">
        <v>21</v>
      </c>
      <c r="AH22" s="3">
        <v>299792458</v>
      </c>
    </row>
    <row r="23" spans="1:36" x14ac:dyDescent="0.35">
      <c r="S23" s="8">
        <v>48</v>
      </c>
      <c r="T23" s="10">
        <f t="shared" ref="T23:T28" si="16">SQRT($T$8+S23^2*$U$9+2*S23*$U$8)</f>
        <v>4.7228277400695839</v>
      </c>
      <c r="AG23" s="1" t="s">
        <v>29</v>
      </c>
      <c r="AH23">
        <f>(AH22-AH20)/AH20*100</f>
        <v>0.36748128808186814</v>
      </c>
    </row>
    <row r="24" spans="1:36" x14ac:dyDescent="0.35">
      <c r="S24" s="8">
        <v>60</v>
      </c>
      <c r="T24" s="10">
        <f t="shared" si="16"/>
        <v>3.7736827150972205</v>
      </c>
    </row>
    <row r="25" spans="1:36" x14ac:dyDescent="0.35">
      <c r="S25" s="8">
        <v>74.400000000000006</v>
      </c>
      <c r="T25" s="10">
        <f t="shared" si="16"/>
        <v>3.4246611567469736</v>
      </c>
    </row>
    <row r="26" spans="1:36" x14ac:dyDescent="0.35">
      <c r="S26" s="8">
        <v>84</v>
      </c>
      <c r="T26" s="10">
        <f t="shared" si="16"/>
        <v>3.79417530516228</v>
      </c>
    </row>
    <row r="27" spans="1:36" x14ac:dyDescent="0.35">
      <c r="S27" s="8">
        <v>96</v>
      </c>
      <c r="T27" s="10">
        <f t="shared" si="16"/>
        <v>4.7555516910796278</v>
      </c>
    </row>
    <row r="28" spans="1:36" x14ac:dyDescent="0.35">
      <c r="S28" s="7">
        <v>108</v>
      </c>
      <c r="T28" s="10">
        <f t="shared" si="16"/>
        <v>6.0218562710802699</v>
      </c>
    </row>
    <row r="29" spans="1:36" x14ac:dyDescent="0.35">
      <c r="AH29" t="s">
        <v>31</v>
      </c>
    </row>
    <row r="30" spans="1:36" x14ac:dyDescent="0.35">
      <c r="AH30">
        <v>200</v>
      </c>
      <c r="AI30">
        <f>AH30*AI12+AI11</f>
        <v>2.0263257439149195E-4</v>
      </c>
    </row>
    <row r="31" spans="1:36" x14ac:dyDescent="0.35">
      <c r="AH31">
        <v>550</v>
      </c>
      <c r="AI31">
        <f>AH31*AI12+AI11</f>
        <v>1.5315483033446686E-3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Attempt</vt:lpstr>
      <vt:lpstr>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Corbin Rochlle</cp:lastModifiedBy>
  <dcterms:created xsi:type="dcterms:W3CDTF">2022-04-21T19:46:50Z</dcterms:created>
  <dcterms:modified xsi:type="dcterms:W3CDTF">2022-05-06T04:36:30Z</dcterms:modified>
</cp:coreProperties>
</file>