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Lab-Katers_Pendulum\"/>
    </mc:Choice>
  </mc:AlternateContent>
  <xr:revisionPtr revIDLastSave="0" documentId="13_ncr:1_{9A3C9D5E-A426-4D0B-9BE9-4DC7D956DF6E}" xr6:coauthVersionLast="47" xr6:coauthVersionMax="47" xr10:uidLastSave="{00000000-0000-0000-0000-000000000000}"/>
  <bookViews>
    <workbookView xWindow="57480" yWindow="4980" windowWidth="38640" windowHeight="21120" activeTab="1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E5" i="2"/>
  <c r="Q27" i="20"/>
  <c r="G5" i="8"/>
  <c r="F5" i="8"/>
  <c r="C5" i="8"/>
  <c r="E5" i="8"/>
  <c r="D5" i="8"/>
  <c r="N14" i="3"/>
  <c r="I19" i="20"/>
  <c r="I20" i="20"/>
  <c r="I21" i="20"/>
  <c r="I22" i="20"/>
  <c r="I23" i="20"/>
  <c r="I24" i="20"/>
  <c r="I25" i="20"/>
  <c r="I26" i="20"/>
  <c r="I5" i="20"/>
  <c r="I6" i="20"/>
  <c r="I7" i="20"/>
  <c r="I8" i="20"/>
  <c r="I10" i="20"/>
  <c r="I11" i="20"/>
  <c r="I18" i="20"/>
  <c r="N14" i="14"/>
  <c r="B6" i="20"/>
  <c r="B9" i="20"/>
  <c r="B7" i="20"/>
  <c r="B14" i="20"/>
  <c r="B8" i="2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5" i="10"/>
  <c r="M8" i="9" a="1"/>
  <c r="M8" i="9" s="1"/>
  <c r="M5" i="9" a="1"/>
  <c r="M5" i="9" s="1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5" i="9"/>
  <c r="J5" i="9" s="1"/>
  <c r="I5" i="9"/>
  <c r="H5" i="9"/>
  <c r="E5" i="9"/>
  <c r="C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5" i="9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AV30" i="20"/>
  <c r="AV29" i="20"/>
  <c r="AU16" i="20"/>
  <c r="AU15" i="20"/>
  <c r="AQ24" i="20" l="1"/>
  <c r="AO30" i="20"/>
  <c r="AO29" i="20"/>
  <c r="AC31" i="20"/>
  <c r="AC32" i="20"/>
  <c r="AC33" i="20"/>
  <c r="AC34" i="20"/>
  <c r="AD34" i="20" s="1"/>
  <c r="AC35" i="20"/>
  <c r="AC36" i="20"/>
  <c r="AE36" i="20" s="1"/>
  <c r="AC30" i="20"/>
  <c r="AD30" i="20" s="1"/>
  <c r="AE31" i="20"/>
  <c r="AD31" i="20"/>
  <c r="AF31" i="20"/>
  <c r="AE32" i="20"/>
  <c r="AE33" i="20"/>
  <c r="AF34" i="20"/>
  <c r="AF35" i="20"/>
  <c r="AQ6" i="20"/>
  <c r="AO16" i="20"/>
  <c r="AO15" i="20"/>
  <c r="AC17" i="20"/>
  <c r="AD17" i="20" s="1"/>
  <c r="AC18" i="20"/>
  <c r="AC19" i="20"/>
  <c r="AC20" i="20"/>
  <c r="AC21" i="20"/>
  <c r="AD21" i="20" s="1"/>
  <c r="AC22" i="20"/>
  <c r="AE22" i="20" s="1"/>
  <c r="AC23" i="20"/>
  <c r="AC24" i="20"/>
  <c r="AC16" i="20"/>
  <c r="AD16" i="20" s="1"/>
  <c r="AC4" i="20"/>
  <c r="AC5" i="20"/>
  <c r="AC6" i="20"/>
  <c r="AC7" i="20"/>
  <c r="AC8" i="20"/>
  <c r="AC9" i="20"/>
  <c r="AC10" i="20"/>
  <c r="AE10" i="20" s="1"/>
  <c r="AC11" i="20"/>
  <c r="AF11" i="20" s="1"/>
  <c r="AC3" i="20"/>
  <c r="AE3" i="20" s="1"/>
  <c r="AF18" i="20"/>
  <c r="AF19" i="20"/>
  <c r="AF23" i="20"/>
  <c r="AE35" i="20" l="1"/>
  <c r="AE34" i="20"/>
  <c r="AD35" i="20"/>
  <c r="AF33" i="20"/>
  <c r="AD33" i="20"/>
  <c r="AF32" i="20"/>
  <c r="AD32" i="20"/>
  <c r="AJ32" i="20" s="1" a="1"/>
  <c r="AF30" i="20"/>
  <c r="AD36" i="20"/>
  <c r="AE30" i="20"/>
  <c r="AF36" i="20"/>
  <c r="AF16" i="20"/>
  <c r="AE16" i="20"/>
  <c r="AE21" i="20"/>
  <c r="AF22" i="20"/>
  <c r="AE17" i="20"/>
  <c r="AF21" i="20"/>
  <c r="AF17" i="20"/>
  <c r="AE20" i="20"/>
  <c r="AF20" i="20"/>
  <c r="AD20" i="20"/>
  <c r="AD19" i="20"/>
  <c r="AD18" i="20"/>
  <c r="AE19" i="20"/>
  <c r="AE18" i="20"/>
  <c r="AD23" i="20"/>
  <c r="AD22" i="20"/>
  <c r="AE23" i="20"/>
  <c r="AE7" i="20"/>
  <c r="AD9" i="20"/>
  <c r="AD6" i="20"/>
  <c r="AF5" i="20"/>
  <c r="AE4" i="20"/>
  <c r="AF8" i="20"/>
  <c r="AE8" i="20"/>
  <c r="AD8" i="20"/>
  <c r="AF10" i="20"/>
  <c r="AD3" i="20"/>
  <c r="AD10" i="20"/>
  <c r="AE11" i="20"/>
  <c r="AF3" i="20"/>
  <c r="AF4" i="20"/>
  <c r="AD11" i="20"/>
  <c r="AJ33" i="20" l="1"/>
  <c r="AJ32" i="20"/>
  <c r="AJ29" i="20" a="1"/>
  <c r="AE5" i="20"/>
  <c r="AF24" i="20"/>
  <c r="AE24" i="20"/>
  <c r="AJ18" i="20" s="1" a="1"/>
  <c r="AD24" i="20"/>
  <c r="AD4" i="20"/>
  <c r="AE6" i="20"/>
  <c r="AF6" i="20"/>
  <c r="AD5" i="20"/>
  <c r="AF7" i="20"/>
  <c r="AD7" i="20"/>
  <c r="AE9" i="20"/>
  <c r="AF9" i="20"/>
  <c r="AK29" i="20" l="1"/>
  <c r="AK30" i="20"/>
  <c r="AJ29" i="20"/>
  <c r="AJ30" i="20"/>
  <c r="AJ18" i="20"/>
  <c r="AJ19" i="20"/>
  <c r="AJ15" i="20" a="1"/>
  <c r="AJ5" i="20" a="1"/>
  <c r="AJ5" i="20" s="1"/>
  <c r="AJ2" i="20" a="1"/>
  <c r="AJ2" i="20" s="1"/>
  <c r="AJ35" i="20" l="1" a="1"/>
  <c r="AJ16" i="20"/>
  <c r="AJ15" i="20"/>
  <c r="AK16" i="20"/>
  <c r="AK15" i="20"/>
  <c r="AJ6" i="20"/>
  <c r="AJ3" i="20"/>
  <c r="AK2" i="20"/>
  <c r="AK3" i="20"/>
  <c r="AJ36" i="20" l="1"/>
  <c r="AJ35" i="20"/>
  <c r="AK35" i="20"/>
  <c r="AK36" i="20"/>
  <c r="AJ21" i="20" a="1"/>
  <c r="AJ8" i="20" a="1"/>
  <c r="AK9" i="20" s="1"/>
  <c r="AO3" i="20" s="1"/>
  <c r="AN29" i="20" l="1" a="1"/>
  <c r="AN29" i="20" s="1"/>
  <c r="AJ22" i="20"/>
  <c r="AK21" i="20"/>
  <c r="AK22" i="20"/>
  <c r="AJ21" i="20"/>
  <c r="AN15" i="20" s="1" a="1"/>
  <c r="AK8" i="20"/>
  <c r="AJ9" i="20"/>
  <c r="AJ8" i="20"/>
  <c r="AO2" i="20" s="1"/>
  <c r="AN30" i="20" l="1"/>
  <c r="AG31" i="20" s="1"/>
  <c r="AN2" i="20" a="1"/>
  <c r="AN2" i="20" s="1"/>
  <c r="AN15" i="20"/>
  <c r="AN16" i="20"/>
  <c r="AG30" i="20" l="1"/>
  <c r="AG34" i="20"/>
  <c r="AG33" i="20"/>
  <c r="AG32" i="20"/>
  <c r="AG35" i="20"/>
  <c r="AG36" i="20"/>
  <c r="AG18" i="20"/>
  <c r="AG19" i="20"/>
  <c r="AG20" i="20"/>
  <c r="AG22" i="20"/>
  <c r="AG23" i="20"/>
  <c r="AG24" i="20"/>
  <c r="AG17" i="20"/>
  <c r="AG16" i="20"/>
  <c r="AG21" i="20"/>
  <c r="AN3" i="20"/>
  <c r="AG3" i="20" s="1"/>
  <c r="AN32" i="20" l="1"/>
  <c r="AN33" i="20" s="1"/>
  <c r="AN18" i="20"/>
  <c r="AN19" i="20" s="1"/>
  <c r="AG10" i="20"/>
  <c r="AG7" i="20"/>
  <c r="AG8" i="20"/>
  <c r="AG4" i="20"/>
  <c r="AG11" i="20"/>
  <c r="AG6" i="20"/>
  <c r="AG5" i="20"/>
  <c r="AG9" i="20"/>
  <c r="AN5" i="20" l="1"/>
  <c r="AN6" i="20" s="1"/>
  <c r="J22" i="20" l="1"/>
  <c r="J23" i="20"/>
  <c r="J19" i="20"/>
  <c r="K19" i="20" s="1"/>
  <c r="J20" i="20"/>
  <c r="L20" i="20" s="1"/>
  <c r="J24" i="20"/>
  <c r="L24" i="20" s="1"/>
  <c r="J25" i="20"/>
  <c r="L25" i="20" s="1"/>
  <c r="J26" i="20"/>
  <c r="L26" i="20" s="1"/>
  <c r="J18" i="20"/>
  <c r="L18" i="20" s="1"/>
  <c r="K7" i="20"/>
  <c r="K8" i="20"/>
  <c r="G4" i="20"/>
  <c r="G5" i="20"/>
  <c r="G7" i="20"/>
  <c r="G8" i="20"/>
  <c r="L8" i="20" s="1"/>
  <c r="H26" i="20"/>
  <c r="H25" i="20"/>
  <c r="H24" i="20"/>
  <c r="H23" i="20"/>
  <c r="H22" i="20"/>
  <c r="H21" i="20"/>
  <c r="J21" i="20" s="1"/>
  <c r="H20" i="20"/>
  <c r="H19" i="20"/>
  <c r="H18" i="20"/>
  <c r="H8" i="20"/>
  <c r="H7" i="20"/>
  <c r="H6" i="20"/>
  <c r="H5" i="20"/>
  <c r="H4" i="20"/>
  <c r="I4" i="20" s="1"/>
  <c r="G19" i="20"/>
  <c r="G20" i="20"/>
  <c r="G21" i="20"/>
  <c r="G22" i="20"/>
  <c r="G23" i="20"/>
  <c r="G24" i="20"/>
  <c r="G25" i="20"/>
  <c r="G26" i="20"/>
  <c r="G18" i="20"/>
  <c r="N14" i="19"/>
  <c r="N14" i="18"/>
  <c r="N14" i="17"/>
  <c r="N14" i="16"/>
  <c r="N14" i="15"/>
  <c r="N14" i="13"/>
  <c r="N14" i="12"/>
  <c r="N14" i="11"/>
  <c r="N14" i="7"/>
  <c r="N14" i="6"/>
  <c r="N14" i="5"/>
  <c r="N14" i="4"/>
  <c r="C25" i="1"/>
  <c r="C24" i="1"/>
  <c r="C23" i="1"/>
  <c r="C22" i="1"/>
  <c r="C21" i="1"/>
  <c r="C20" i="1"/>
  <c r="C19" i="1"/>
  <c r="C18" i="1"/>
  <c r="C17" i="1"/>
  <c r="C26" i="1"/>
  <c r="B26" i="1"/>
  <c r="B25" i="1"/>
  <c r="B24" i="1"/>
  <c r="B23" i="1"/>
  <c r="B22" i="1"/>
  <c r="B21" i="1"/>
  <c r="B20" i="1"/>
  <c r="B19" i="1"/>
  <c r="B18" i="1"/>
  <c r="B17" i="1"/>
  <c r="C10" i="20"/>
  <c r="C9" i="20"/>
  <c r="C8" i="20"/>
  <c r="C7" i="20"/>
  <c r="C6" i="20"/>
  <c r="C5" i="20"/>
  <c r="C4" i="20"/>
  <c r="C3" i="20"/>
  <c r="C2" i="20"/>
  <c r="B4" i="20"/>
  <c r="B3" i="20"/>
  <c r="M17" i="6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70" i="9"/>
  <c r="E70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K18" i="20" l="1"/>
  <c r="K26" i="20"/>
  <c r="K25" i="20"/>
  <c r="L19" i="20"/>
  <c r="L22" i="20"/>
  <c r="K22" i="20"/>
  <c r="K23" i="20"/>
  <c r="L23" i="20"/>
  <c r="L21" i="20"/>
  <c r="K21" i="20"/>
  <c r="K20" i="20"/>
  <c r="K24" i="20"/>
  <c r="K6" i="20"/>
  <c r="L7" i="20"/>
  <c r="L5" i="20"/>
  <c r="L4" i="20"/>
  <c r="K5" i="20"/>
  <c r="K4" i="20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G63" i="10"/>
  <c r="H63" i="10" s="1"/>
  <c r="G79" i="10"/>
  <c r="H79" i="10" s="1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G17" i="10"/>
  <c r="I17" i="10" s="1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I9" i="9"/>
  <c r="J17" i="9"/>
  <c r="I16" i="9"/>
  <c r="I11" i="9"/>
  <c r="J15" i="9"/>
  <c r="J10" i="9"/>
  <c r="H44" i="9"/>
  <c r="H23" i="9"/>
  <c r="H18" i="9"/>
  <c r="J14" i="9"/>
  <c r="H77" i="9"/>
  <c r="H30" i="9"/>
  <c r="H46" i="9"/>
  <c r="H62" i="9"/>
  <c r="H78" i="9"/>
  <c r="H31" i="9"/>
  <c r="I42" i="9"/>
  <c r="H47" i="9"/>
  <c r="H63" i="9"/>
  <c r="H79" i="9"/>
  <c r="H57" i="9"/>
  <c r="H20" i="9"/>
  <c r="H68" i="9"/>
  <c r="H26" i="9"/>
  <c r="H42" i="9"/>
  <c r="H58" i="9"/>
  <c r="H74" i="9"/>
  <c r="H76" i="9"/>
  <c r="H41" i="9"/>
  <c r="H73" i="9"/>
  <c r="H36" i="9"/>
  <c r="H84" i="9"/>
  <c r="H21" i="9"/>
  <c r="H37" i="9"/>
  <c r="H53" i="9"/>
  <c r="H69" i="9"/>
  <c r="H85" i="9"/>
  <c r="I7" i="9"/>
  <c r="H25" i="9"/>
  <c r="I36" i="9"/>
  <c r="H32" i="9"/>
  <c r="H48" i="9"/>
  <c r="H64" i="9"/>
  <c r="H80" i="9"/>
  <c r="J12" i="9"/>
  <c r="H27" i="9"/>
  <c r="H43" i="9"/>
  <c r="H59" i="9"/>
  <c r="H75" i="9"/>
  <c r="H52" i="9"/>
  <c r="H22" i="9"/>
  <c r="H38" i="9"/>
  <c r="I49" i="9"/>
  <c r="H54" i="9"/>
  <c r="H70" i="9"/>
  <c r="H86" i="9"/>
  <c r="H33" i="9"/>
  <c r="H49" i="9"/>
  <c r="H65" i="9"/>
  <c r="H81" i="9"/>
  <c r="H39" i="9"/>
  <c r="H28" i="9"/>
  <c r="I34" i="9"/>
  <c r="H87" i="9"/>
  <c r="H50" i="9"/>
  <c r="H66" i="9"/>
  <c r="H29" i="9"/>
  <c r="H24" i="9"/>
  <c r="H40" i="9"/>
  <c r="H56" i="9"/>
  <c r="H72" i="9"/>
  <c r="H60" i="9"/>
  <c r="H55" i="9"/>
  <c r="H71" i="9"/>
  <c r="H34" i="9"/>
  <c r="H82" i="9"/>
  <c r="H45" i="9"/>
  <c r="H61" i="9"/>
  <c r="H19" i="9"/>
  <c r="H35" i="9"/>
  <c r="H51" i="9"/>
  <c r="H67" i="9"/>
  <c r="H83" i="9"/>
  <c r="J6" i="8"/>
  <c r="H5" i="8"/>
  <c r="I13" i="8"/>
  <c r="H28" i="8"/>
  <c r="H44" i="8"/>
  <c r="I55" i="8"/>
  <c r="H60" i="8"/>
  <c r="H76" i="8"/>
  <c r="H74" i="8"/>
  <c r="H69" i="8"/>
  <c r="H55" i="8"/>
  <c r="H71" i="8"/>
  <c r="H18" i="8"/>
  <c r="H34" i="8"/>
  <c r="H50" i="8"/>
  <c r="H66" i="8"/>
  <c r="H82" i="8"/>
  <c r="H39" i="8"/>
  <c r="H29" i="8"/>
  <c r="H45" i="8"/>
  <c r="H61" i="8"/>
  <c r="H77" i="8"/>
  <c r="I15" i="8"/>
  <c r="H58" i="8"/>
  <c r="J10" i="8"/>
  <c r="H24" i="8"/>
  <c r="H40" i="8"/>
  <c r="H56" i="8"/>
  <c r="H72" i="8"/>
  <c r="H88" i="8"/>
  <c r="H42" i="8"/>
  <c r="H21" i="8"/>
  <c r="H9" i="8"/>
  <c r="H19" i="8"/>
  <c r="H35" i="8"/>
  <c r="H51" i="8"/>
  <c r="H67" i="8"/>
  <c r="H83" i="8"/>
  <c r="H31" i="8"/>
  <c r="H85" i="8"/>
  <c r="H30" i="8"/>
  <c r="H46" i="8"/>
  <c r="H62" i="8"/>
  <c r="H78" i="8"/>
  <c r="H11" i="8"/>
  <c r="H25" i="8"/>
  <c r="H41" i="8"/>
  <c r="H57" i="8"/>
  <c r="H73" i="8"/>
  <c r="H37" i="8"/>
  <c r="H23" i="8"/>
  <c r="H87" i="8"/>
  <c r="H20" i="8"/>
  <c r="H36" i="8"/>
  <c r="H52" i="8"/>
  <c r="H68" i="8"/>
  <c r="H84" i="8"/>
  <c r="H47" i="8"/>
  <c r="H26" i="8"/>
  <c r="H53" i="8"/>
  <c r="H48" i="8"/>
  <c r="H64" i="8"/>
  <c r="H27" i="8"/>
  <c r="H43" i="8"/>
  <c r="H59" i="8"/>
  <c r="H75" i="8"/>
  <c r="H79" i="8"/>
  <c r="H16" i="8"/>
  <c r="H32" i="8"/>
  <c r="H80" i="8"/>
  <c r="H22" i="8"/>
  <c r="H38" i="8"/>
  <c r="H54" i="8"/>
  <c r="H70" i="8"/>
  <c r="H86" i="8"/>
  <c r="H63" i="8"/>
  <c r="J17" i="8"/>
  <c r="H33" i="8"/>
  <c r="H49" i="8"/>
  <c r="H65" i="8"/>
  <c r="H81" i="8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J7" i="10"/>
  <c r="I67" i="10"/>
  <c r="I83" i="10"/>
  <c r="J6" i="10"/>
  <c r="J8" i="10"/>
  <c r="J23" i="10"/>
  <c r="J25" i="10"/>
  <c r="J41" i="10"/>
  <c r="J43" i="10"/>
  <c r="J47" i="10"/>
  <c r="J49" i="10"/>
  <c r="J57" i="10"/>
  <c r="J71" i="10"/>
  <c r="J77" i="10"/>
  <c r="J83" i="10"/>
  <c r="J87" i="10"/>
  <c r="J9" i="10"/>
  <c r="J16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J86" i="10" l="1"/>
  <c r="J18" i="10"/>
  <c r="J76" i="10"/>
  <c r="J55" i="10"/>
  <c r="J13" i="10"/>
  <c r="I44" i="10"/>
  <c r="J10" i="10"/>
  <c r="I76" i="10"/>
  <c r="I74" i="10"/>
  <c r="I49" i="10"/>
  <c r="I58" i="10"/>
  <c r="J33" i="10"/>
  <c r="J69" i="10"/>
  <c r="I77" i="10"/>
  <c r="I40" i="10"/>
  <c r="O20" i="20" a="1"/>
  <c r="O20" i="20" s="1"/>
  <c r="O17" i="20" a="1"/>
  <c r="O17" i="20" s="1"/>
  <c r="O23" i="20" s="1" a="1"/>
  <c r="P27" i="20" s="1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8" i="10" l="1" a="1"/>
  <c r="M8" i="10" s="1"/>
  <c r="M5" i="10" a="1"/>
  <c r="M5" i="10" s="1"/>
  <c r="M11" i="10" s="1" a="1"/>
  <c r="N11" i="10" s="1"/>
  <c r="O23" i="20"/>
  <c r="M5" i="19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11" i="9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I5" i="2"/>
  <c r="O26" i="20" l="1" a="1"/>
  <c r="P26" i="20"/>
  <c r="N6" i="19"/>
  <c r="M5" i="19"/>
  <c r="M8" i="19"/>
  <c r="N5" i="19"/>
  <c r="M8" i="17"/>
  <c r="N5" i="17"/>
  <c r="N6" i="17"/>
  <c r="M6" i="17"/>
  <c r="N5" i="8"/>
  <c r="M6" i="8"/>
  <c r="M5" i="8"/>
  <c r="M11" i="8" s="1" a="1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4" i="10" s="1"/>
  <c r="H11" i="20" s="1"/>
  <c r="K11" i="20" s="1"/>
  <c r="N12" i="10"/>
  <c r="M8" i="8"/>
  <c r="M9" i="8"/>
  <c r="M11" i="6" a="1"/>
  <c r="M5" i="5"/>
  <c r="N5" i="5"/>
  <c r="M6" i="5"/>
  <c r="M11" i="3" a="1"/>
  <c r="M12" i="3" s="1"/>
  <c r="M12" i="9"/>
  <c r="N12" i="9"/>
  <c r="N11" i="9"/>
  <c r="M11" i="9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M14" i="9" l="1" a="1"/>
  <c r="M14" i="9" s="1"/>
  <c r="N14" i="9"/>
  <c r="H10" i="20" s="1"/>
  <c r="K10" i="20" s="1"/>
  <c r="O26" i="20"/>
  <c r="T27" i="20" s="1"/>
  <c r="N12" i="19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4" i="8" s="1"/>
  <c r="H9" i="20" s="1"/>
  <c r="N12" i="8"/>
  <c r="P14" i="8" s="1"/>
  <c r="N11" i="8"/>
  <c r="M11" i="6"/>
  <c r="N12" i="6"/>
  <c r="N11" i="6"/>
  <c r="M12" i="6"/>
  <c r="M11" i="5" a="1"/>
  <c r="M14" i="4" a="1"/>
  <c r="M15" i="4" s="1"/>
  <c r="M14" i="3" a="1"/>
  <c r="M14" i="3" s="1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I9" i="20" l="1"/>
  <c r="K9" i="20" s="1"/>
  <c r="G10" i="20"/>
  <c r="M15" i="9"/>
  <c r="K12" i="9" s="1"/>
  <c r="L10" i="20"/>
  <c r="T26" i="20"/>
  <c r="M25" i="20"/>
  <c r="M20" i="20"/>
  <c r="M21" i="20"/>
  <c r="M22" i="20"/>
  <c r="M23" i="20"/>
  <c r="M18" i="20"/>
  <c r="M19" i="20"/>
  <c r="M26" i="20"/>
  <c r="M24" i="20"/>
  <c r="M15" i="19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B10" i="20" s="1"/>
  <c r="G11" i="20" s="1"/>
  <c r="L11" i="20" s="1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K17" i="9" l="1"/>
  <c r="K5" i="9"/>
  <c r="O29" i="20"/>
  <c r="R29" i="20" s="1"/>
  <c r="M14" i="18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M14" i="6"/>
  <c r="M15" i="6"/>
  <c r="M14" i="5" a="1"/>
  <c r="M17" i="19"/>
  <c r="M17" i="17"/>
  <c r="M17" i="9"/>
  <c r="Q18" i="9" s="1"/>
  <c r="M17" i="7"/>
  <c r="M17" i="4"/>
  <c r="M17" i="3"/>
  <c r="M11" i="2"/>
  <c r="N14" i="2" s="1"/>
  <c r="H3" i="20" s="1"/>
  <c r="I3" i="20" s="1"/>
  <c r="J3" i="20" s="1"/>
  <c r="M12" i="2"/>
  <c r="N12" i="2"/>
  <c r="N11" i="2"/>
  <c r="G9" i="20" l="1"/>
  <c r="L9" i="20" s="1"/>
  <c r="B5" i="20"/>
  <c r="G6" i="20" s="1"/>
  <c r="L6" i="20" s="1"/>
  <c r="M17" i="14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B2" i="20" s="1"/>
  <c r="G3" i="20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  <c r="J4" i="20" l="1"/>
  <c r="J11" i="20"/>
  <c r="J8" i="20" l="1"/>
  <c r="J7" i="20"/>
  <c r="J9" i="20"/>
  <c r="J6" i="20"/>
  <c r="J10" i="20"/>
  <c r="J5" i="20"/>
  <c r="K3" i="20"/>
  <c r="L3" i="20"/>
  <c r="O5" i="20" l="1" a="1"/>
  <c r="O5" i="20" s="1"/>
  <c r="O2" i="20" a="1"/>
  <c r="O2" i="20" s="1"/>
  <c r="O8" i="20" s="1" a="1"/>
  <c r="O8" i="20" l="1"/>
  <c r="P12" i="20"/>
  <c r="Q12" i="20"/>
  <c r="O11" i="20" a="1"/>
  <c r="P11" i="20"/>
  <c r="V38" i="20" l="1"/>
  <c r="V35" i="20"/>
  <c r="O11" i="20"/>
  <c r="T12" i="20" s="1"/>
  <c r="T11" i="20" l="1"/>
  <c r="U34" i="20"/>
  <c r="U35" i="20" s="1"/>
  <c r="U38" i="20" s="1"/>
  <c r="W40" i="20" s="1"/>
  <c r="W41" i="20" s="1"/>
  <c r="M3" i="20"/>
  <c r="M7" i="20"/>
  <c r="M6" i="20"/>
  <c r="M5" i="20"/>
  <c r="M9" i="20"/>
  <c r="M11" i="20"/>
  <c r="M4" i="20"/>
  <c r="M8" i="20"/>
  <c r="M10" i="20"/>
  <c r="O14" i="20" l="1"/>
  <c r="R14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<sst xmlns="http://schemas.openxmlformats.org/spreadsheetml/2006/main" count="454" uniqueCount="76">
  <si>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</si>
  <si>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</si>
  <si>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</si>
  <si>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</si>
  <si>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</si>
  <si>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</si>
  <si>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</si>
  <si>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</si>
  <si>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</si>
  <si>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</si>
  <si>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</si>
  <si>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</si>
  <si>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</si>
  <si>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</si>
  <si>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</si>
  <si>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</si>
  <si>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</si>
  <si>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</si>
  <si>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</si>
  <si>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</si>
  <si>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</si>
  <si>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</si>
  <si>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</si>
  <si>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</si>
  <si>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</si>
  <si>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</si>
  <si>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</si>
  <si>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</si>
  <si>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</si>
  <si>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</si>
  <si>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</si>
  <si>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</si>
  <si>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</si>
  <si>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</si>
  <si>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</si>
  <si>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</si>
  <si>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</si>
  <si>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</si>
  <si>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</si>
  <si>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</si>
  <si>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</si>
  <si>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</si>
  <si>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</si>
  <si>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</si>
  <si>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</si>
  <si>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</si>
  <si>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</si>
  <si>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</si>
  <si>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</si>
  <si>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y</t>
  </si>
  <si>
    <t>sigma x</t>
  </si>
  <si>
    <t>End A Up</t>
  </si>
  <si>
    <t xml:space="preserve">intecept </t>
  </si>
  <si>
    <t>simga</t>
  </si>
  <si>
    <t>End B Up</t>
  </si>
  <si>
    <t>alpha</t>
  </si>
  <si>
    <t>beta</t>
  </si>
  <si>
    <t>epsilon</t>
  </si>
  <si>
    <t>fit</t>
  </si>
  <si>
    <t>reduced chi^2</t>
  </si>
  <si>
    <t>scaling factor</t>
  </si>
  <si>
    <t>x intersection</t>
  </si>
  <si>
    <t>y intersection</t>
  </si>
  <si>
    <t>sigma_x</t>
  </si>
  <si>
    <t>sigma_y</t>
  </si>
  <si>
    <t>scaling factor:</t>
  </si>
  <si>
    <t>y=mx+b</t>
  </si>
  <si>
    <t>x=(y-b)/m</t>
  </si>
  <si>
    <t>m_1x+b_1=m_2x+b_2</t>
  </si>
  <si>
    <t>reduced</t>
  </si>
  <si>
    <t>large mass up</t>
  </si>
  <si>
    <t>small mass up</t>
  </si>
  <si>
    <t>scaling</t>
  </si>
  <si>
    <t xml:space="preserve">Gravity </t>
  </si>
  <si>
    <t>sigma diff</t>
  </si>
  <si>
    <t>0=9.7908 - 9.7922-.0016*n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</si>
</sst>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0.0000</c:formatCode>
                <c:ptCount val="10"/>
                <c:pt idx="0">
                  <c:v>2.114811111111111</c:v>
                </c:pt>
                <c:pt idx="1">
                  <c:v>2.0798111111111108</c:v>
                </c:pt>
                <c:pt idx="2">
                  <c:v>2.0570111111111111</c:v>
                </c:pt>
                <c:pt idx="3">
                  <c:v>2.0452555555555558</c:v>
                </c:pt>
                <c:pt idx="4">
                  <c:v>2.0429444444444447</c:v>
                </c:pt>
                <c:pt idx="5">
                  <c:v>2.0512555555555556</c:v>
                </c:pt>
                <c:pt idx="6">
                  <c:v>2.0659111111111113</c:v>
                </c:pt>
                <c:pt idx="7">
                  <c:v>2.0885000000000002</c:v>
                </c:pt>
                <c:pt idx="8">
                  <c:v>2.1161444444444442</c:v>
                </c:pt>
                <c:pt idx="9">
                  <c:v>2.1867444444444444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0.0000</c:formatCode>
                <c:ptCount val="10"/>
                <c:pt idx="0">
                  <c:v>2.1115777777777778</c:v>
                </c:pt>
                <c:pt idx="1">
                  <c:v>2.0958555555555556</c:v>
                </c:pt>
                <c:pt idx="2">
                  <c:v>2.0875111111111111</c:v>
                </c:pt>
                <c:pt idx="3">
                  <c:v>2.0798111111111108</c:v>
                </c:pt>
                <c:pt idx="4">
                  <c:v>2.0787333333333331</c:v>
                </c:pt>
                <c:pt idx="5">
                  <c:v>2.0801333333333334</c:v>
                </c:pt>
                <c:pt idx="6">
                  <c:v>2.0863</c:v>
                </c:pt>
                <c:pt idx="7">
                  <c:v>2.097577777777778</c:v>
                </c:pt>
                <c:pt idx="8">
                  <c:v>2.1133666666666668</c:v>
                </c:pt>
                <c:pt idx="9">
                  <c:v>2.1586555555555553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0.0000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2.0064414172268776</c:v>
                </c:pt>
                <c:pt idx="5">
                  <c:v>2.0088907216106278</c:v>
                </c:pt>
                <c:pt idx="6">
                  <c:v>2.0088907471448882</c:v>
                </c:pt>
                <c:pt idx="7">
                  <c:v>2.0131241852894881</c:v>
                </c:pt>
                <c:pt idx="8">
                  <c:v>2.0187456367693937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ser>
          <c:idx val="2"/>
          <c:order val="2"/>
          <c:tx>
            <c:v>Trendline End A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Fine!$S$11:$S$12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Fine!$T$11:$T$12</c:f>
              <c:numCache>
                <c:formatCode>General</c:formatCode>
                <c:ptCount val="2"/>
                <c:pt idx="0">
                  <c:v>1.9924036046421645</c:v>
                </c:pt>
                <c:pt idx="1">
                  <c:v>2.0213201259094622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3A-7B4A-BDAC-22DA0F5C31D8}"/>
            </c:ext>
          </c:extLst>
        </c:ser>
        <c:ser>
          <c:idx val="3"/>
          <c:order val="3"/>
          <c:tx>
            <c:v>Trendline End B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Fine!$S$26:$S$27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Fine!$T$26:$T$27</c:f>
              <c:numCache>
                <c:formatCode>General</c:formatCode>
                <c:ptCount val="2"/>
                <c:pt idx="0">
                  <c:v>1.9994195049861974</c:v>
                </c:pt>
                <c:pt idx="1">
                  <c:v>2.0157215629716987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3A-7B4A-BDAC-22DA0F5C3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plus>
            <c:min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Fine!$Y$3:$Y$11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Fine!$Z$3:$Z$11</c:f>
              <c:numCache>
                <c:formatCode>0.00000000</c:formatCode>
                <c:ptCount val="9"/>
                <c:pt idx="0">
                  <c:v>1.9962665226577414</c:v>
                </c:pt>
                <c:pt idx="1">
                  <c:v>1.9990286107168584</c:v>
                </c:pt>
                <c:pt idx="2">
                  <c:v>2.0039301508939351</c:v>
                </c:pt>
                <c:pt idx="3">
                  <c:v>2.0064418884331521</c:v>
                </c:pt>
                <c:pt idx="4">
                  <c:v>2.0088915111447041</c:v>
                </c:pt>
                <c:pt idx="5">
                  <c:v>1.98490489585918</c:v>
                </c:pt>
                <c:pt idx="6">
                  <c:v>1.9783780875450274</c:v>
                </c:pt>
                <c:pt idx="7">
                  <c:v>2.0088915111447041</c:v>
                </c:pt>
                <c:pt idx="8">
                  <c:v>2.0187459087772237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4-42C3-B550-4066B153FB1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plus>
            <c:min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Fine!$Y$16:$Y$24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Fine!$Z$16:$Z$24</c:f>
              <c:numCache>
                <c:formatCode>General</c:formatCode>
                <c:ptCount val="9"/>
                <c:pt idx="0">
                  <c:v>2.0013016985147747</c:v>
                </c:pt>
                <c:pt idx="1">
                  <c:v>2.0030869233542421</c:v>
                </c:pt>
                <c:pt idx="2">
                  <c:v>2.00461146073904</c:v>
                </c:pt>
                <c:pt idx="3">
                  <c:v>2.0064790982885867</c:v>
                </c:pt>
                <c:pt idx="4">
                  <c:v>2.0079507586191268</c:v>
                </c:pt>
                <c:pt idx="5">
                  <c:v>2.010072709267841</c:v>
                </c:pt>
                <c:pt idx="6">
                  <c:v>2.0094608596473993</c:v>
                </c:pt>
                <c:pt idx="7">
                  <c:v>2.0113060526536879</c:v>
                </c:pt>
                <c:pt idx="8">
                  <c:v>2.0130278962249566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44-42C3-B550-4066B153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803616"/>
        <c:axId val="12138023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Fine!$AT$15:$AT$16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Fine!$AU$15:$AU$16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2.0138419056315784</c:v>
                      </c:pt>
                      <c:pt idx="1">
                        <c:v>2.0011027223983517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344-42C3-B550-4066B153FB1A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Fine!$AU$29:$AU$30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Fine!$AV$29:$AV$30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2.0172796183508783</c:v>
                      </c:pt>
                      <c:pt idx="1">
                        <c:v>1.9968206845548886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344-42C3-B550-4066B153FB1A}"/>
                  </c:ext>
                </c:extLst>
              </c15:ser>
            </c15:filteredScatterSeries>
          </c:ext>
        </c:extLst>
      </c:scatterChart>
      <c:valAx>
        <c:axId val="12138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2368"/>
        <c:crosses val="autoZero"/>
        <c:crossBetween val="midCat"/>
      </c:valAx>
      <c:valAx>
        <c:axId val="12138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203426</xdr:colOff>
      <xdr:row>38</xdr:row>
      <xdr:rowOff>66316</xdr:rowOff>
    </xdr:from>
    <xdr:to>
      <xdr:col>19</xdr:col>
      <xdr:colOff>220845</xdr:colOff>
      <xdr:row>68</xdr:row>
      <xdr:rowOff>118950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389966</xdr:colOff>
      <xdr:row>41</xdr:row>
      <xdr:rowOff>4481</xdr:rowOff>
    </xdr:from>
    <xdr:to>
      <xdr:col>38</xdr:col>
      <xdr:colOff>313765</xdr:colOff>
      <xdr:row>67</xdr:row>
      <xdr:rowOff>98610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27947B-7072-4AFE-91A9-8A903FD3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277906</xdr:colOff>
      <xdr:row>46</xdr:row>
      <xdr:rowOff>134469</xdr:rowOff>
    </xdr:from>
    <xdr:to>
      <xdr:col>37</xdr:col>
      <xdr:colOff>448236</xdr:colOff>
      <xdr:row>52</xdr:row>
      <xdr:rowOff>107575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C582DA8-73C3-4F4D-80C5-B0B2358DA3CB}"/>
            </a:ext>
          </a:extLst>
        </xdr:cNvPr>
        <xdr:cNvCxnSpPr/>
      </xdr:nvCxnSpPr>
      <xdr:spPr>
        <a:xfrm flipV="1">
          <a:off x="18933459" y="8399928"/>
          <a:ext cx="6651812" cy="1048871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0.08718</cdr:x>
      <cdr:y>0.15928</cdr:y>
    </cdr:from>
    <cdr:to>
      <cdr:x>0.93276</cdr:x>
      <cdr:y>0.50801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41CAA97-A2A1-441F-80D3-6F0BE7136300}"/>
            </a:ext>
          </a:extLst>
        </cdr:cNvPr>
        <cdr:cNvCxnSpPr/>
      </cdr:nvCxnSpPr>
      <cdr:spPr>
        <a:xfrm xmlns:a="http://schemas.openxmlformats.org/drawingml/2006/main" flipV="1">
          <a:off x="685799" y="757518"/>
          <a:ext cx="6651812" cy="165847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zoomScale="115" zoomScaleNormal="115" workbookViewId="0">
      <selection activeCell="C26" sqref="C17:C26"/>
    </sheetView>
  </sheetViews>
  <sheetFormatPr defaultColWidth="8.81640625" defaultRowHeight="14.5" x14ac:dyDescent="0.35"/>
  <cols>
    <col min="2" max="2" width="10" bestFit="1" customWidth="1"/>
    <col min="3" max="3" width="14.453125" bestFit="1" customWidth="1"/>
  </cols>
  <sheetData>
    <row r="1" spans="1:42" x14ac:dyDescent="0.35">
      <c r="A1" t="s">
        <v>1</v>
      </c>
      <c r="W1" t="s">
        <v>12</v>
      </c>
    </row>
    <row r="2" spans="1:42" x14ac:dyDescent="0.35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35">
      <c r="A3" t="s">
        <v>2</v>
      </c>
      <c r="W3" t="s">
        <v>13</v>
      </c>
    </row>
    <row r="4" spans="1:42" x14ac:dyDescent="0.35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35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35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35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35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35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35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35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35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35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35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35">
      <c r="B16" t="s">
        <v>15</v>
      </c>
      <c r="C16" t="s">
        <v>16</v>
      </c>
    </row>
    <row r="17" spans="1:3" x14ac:dyDescent="0.35">
      <c r="A17">
        <v>53</v>
      </c>
      <c r="B17" s="4">
        <f>B14/90</f>
        <v>2.114811111111111</v>
      </c>
      <c r="C17" s="4">
        <f>X14/90</f>
        <v>2.1115777777777778</v>
      </c>
    </row>
    <row r="18" spans="1:3" x14ac:dyDescent="0.35">
      <c r="A18">
        <v>63</v>
      </c>
      <c r="B18" s="4">
        <f>D14/90</f>
        <v>2.0798111111111108</v>
      </c>
      <c r="C18" s="4">
        <f>Z14/90</f>
        <v>2.0958555555555556</v>
      </c>
    </row>
    <row r="19" spans="1:3" x14ac:dyDescent="0.35">
      <c r="A19">
        <v>73</v>
      </c>
      <c r="B19" s="4">
        <f>F14/90</f>
        <v>2.0570111111111111</v>
      </c>
      <c r="C19" s="4">
        <f>AB14/90</f>
        <v>2.0875111111111111</v>
      </c>
    </row>
    <row r="20" spans="1:3" x14ac:dyDescent="0.35">
      <c r="A20">
        <v>83</v>
      </c>
      <c r="B20" s="4">
        <f>H14/90</f>
        <v>2.0452555555555558</v>
      </c>
      <c r="C20" s="4">
        <f>AD14/90</f>
        <v>2.0798111111111108</v>
      </c>
    </row>
    <row r="21" spans="1:3" x14ac:dyDescent="0.35">
      <c r="A21">
        <v>93</v>
      </c>
      <c r="B21" s="4">
        <f>J14/90</f>
        <v>2.0429444444444447</v>
      </c>
      <c r="C21" s="4">
        <f>AF14/90</f>
        <v>2.0787333333333331</v>
      </c>
    </row>
    <row r="22" spans="1:3" x14ac:dyDescent="0.35">
      <c r="A22">
        <v>103</v>
      </c>
      <c r="B22" s="4">
        <f>L14/90</f>
        <v>2.0512555555555556</v>
      </c>
      <c r="C22" s="4">
        <f>AH14/90</f>
        <v>2.0801333333333334</v>
      </c>
    </row>
    <row r="23" spans="1:3" x14ac:dyDescent="0.35">
      <c r="A23">
        <v>113</v>
      </c>
      <c r="B23" s="4">
        <f>N14/90</f>
        <v>2.0659111111111113</v>
      </c>
      <c r="C23" s="4">
        <f>AJ14/90</f>
        <v>2.0863</v>
      </c>
    </row>
    <row r="24" spans="1:3" x14ac:dyDescent="0.35">
      <c r="A24">
        <v>123</v>
      </c>
      <c r="B24" s="4">
        <f>P14/90</f>
        <v>2.0885000000000002</v>
      </c>
      <c r="C24" s="4">
        <f>AL14/90</f>
        <v>2.097577777777778</v>
      </c>
    </row>
    <row r="25" spans="1:3" x14ac:dyDescent="0.35">
      <c r="A25">
        <v>133</v>
      </c>
      <c r="B25" s="4">
        <f>R14/90</f>
        <v>2.1161444444444442</v>
      </c>
      <c r="C25" s="4">
        <f>AN14/90</f>
        <v>2.1133666666666668</v>
      </c>
    </row>
    <row r="26" spans="1:3" x14ac:dyDescent="0.35">
      <c r="A26">
        <v>153</v>
      </c>
      <c r="B26" s="4">
        <f>T14/90</f>
        <v>2.1867444444444444</v>
      </c>
      <c r="C26" s="4">
        <f>AP14/90</f>
        <v>2.1586555555555553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tabSelected="1" zoomScaleNormal="100" workbookViewId="0">
      <selection activeCell="Q18" sqref="Q18"/>
    </sheetView>
  </sheetViews>
  <sheetFormatPr defaultColWidth="8.81640625" defaultRowHeight="14.5" x14ac:dyDescent="0.35"/>
  <cols>
    <col min="1" max="1" width="11.6328125" bestFit="1" customWidth="1"/>
    <col min="2" max="2" width="9.81640625" customWidth="1"/>
    <col min="3" max="3" width="10.453125" bestFit="1" customWidth="1"/>
    <col min="4" max="4" width="14.45312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81640625" bestFit="1" customWidth="1"/>
    <col min="13" max="14" width="12.6328125" bestFit="1" customWidth="1"/>
  </cols>
  <sheetData>
    <row r="1" spans="1:16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35">
      <c r="A2" t="s">
        <v>17</v>
      </c>
    </row>
    <row r="3" spans="1:16" x14ac:dyDescent="0.3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35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>1/A5</f>
        <v>5.484422594504828E-4</v>
      </c>
      <c r="F5">
        <f t="shared" ref="F5:F36" si="1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35">
      <c r="A6">
        <v>1844.4480000000001</v>
      </c>
      <c r="B6">
        <f t="shared" ref="B6:B69" si="2">A7-A6</f>
        <v>20.821999999999889</v>
      </c>
      <c r="C6">
        <f t="shared" si="0"/>
        <v>41.925999999999931</v>
      </c>
      <c r="D6">
        <f t="shared" ref="D6:D69" si="3">C6/21</f>
        <v>1.9964761904761872</v>
      </c>
      <c r="E6">
        <f t="shared" ref="E5:E36" si="4">1/A6</f>
        <v>5.4216762955637673E-4</v>
      </c>
      <c r="F6">
        <f t="shared" si="1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35">
      <c r="A7">
        <v>1865.27</v>
      </c>
      <c r="B7">
        <f t="shared" si="2"/>
        <v>21.104000000000042</v>
      </c>
      <c r="C7">
        <f t="shared" si="0"/>
        <v>41.923999999999978</v>
      </c>
      <c r="D7">
        <f t="shared" si="3"/>
        <v>1.9963809523809513</v>
      </c>
      <c r="E7">
        <f t="shared" si="4"/>
        <v>5.3611541492652542E-4</v>
      </c>
      <c r="F7">
        <f t="shared" si="1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35">
      <c r="A8">
        <v>1886.374</v>
      </c>
      <c r="B8">
        <f t="shared" si="2"/>
        <v>20.819999999999936</v>
      </c>
      <c r="C8">
        <f t="shared" si="0"/>
        <v>41.925999999999931</v>
      </c>
      <c r="D8">
        <f t="shared" si="3"/>
        <v>1.9964761904761872</v>
      </c>
      <c r="E8">
        <f t="shared" si="4"/>
        <v>5.3011756947455809E-4</v>
      </c>
      <c r="F8">
        <f t="shared" si="1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35">
      <c r="A9">
        <v>1907.194</v>
      </c>
      <c r="B9">
        <f t="shared" si="2"/>
        <v>21.105999999999995</v>
      </c>
      <c r="C9">
        <f t="shared" si="0"/>
        <v>41.924999999999955</v>
      </c>
      <c r="D9">
        <f t="shared" si="3"/>
        <v>1.9964285714285692</v>
      </c>
      <c r="E9">
        <f t="shared" si="4"/>
        <v>5.243305085901067E-4</v>
      </c>
      <c r="F9">
        <f t="shared" si="1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35">
      <c r="A10">
        <v>1928.3</v>
      </c>
      <c r="B10">
        <f t="shared" si="2"/>
        <v>20.81899999999996</v>
      </c>
      <c r="C10">
        <f t="shared" si="0"/>
        <v>41.926000000000158</v>
      </c>
      <c r="D10">
        <f t="shared" si="3"/>
        <v>1.9964761904761981</v>
      </c>
      <c r="E10">
        <f t="shared" si="4"/>
        <v>5.1859150547114042E-4</v>
      </c>
      <c r="F10">
        <f t="shared" si="1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35">
      <c r="A11">
        <v>1949.1189999999999</v>
      </c>
      <c r="B11">
        <f t="shared" si="2"/>
        <v>21.107000000000198</v>
      </c>
      <c r="C11">
        <f t="shared" si="0"/>
        <v>41.923999999999978</v>
      </c>
      <c r="D11">
        <f t="shared" si="3"/>
        <v>1.9963809523809513</v>
      </c>
      <c r="E11">
        <f t="shared" si="4"/>
        <v>5.1305230722187821E-4</v>
      </c>
      <c r="F11">
        <f t="shared" si="1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35">
      <c r="A12">
        <v>1970.2260000000001</v>
      </c>
      <c r="B12">
        <f t="shared" si="2"/>
        <v>20.81699999999978</v>
      </c>
      <c r="C12">
        <f t="shared" si="0"/>
        <v>41.925999999999931</v>
      </c>
      <c r="D12">
        <f t="shared" si="3"/>
        <v>1.9964761904761872</v>
      </c>
      <c r="E12">
        <f t="shared" si="4"/>
        <v>5.0755598596303163E-4</v>
      </c>
      <c r="F12">
        <f t="shared" si="1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35">
      <c r="A13">
        <v>1991.0429999999999</v>
      </c>
      <c r="B13">
        <f t="shared" si="2"/>
        <v>21.109000000000151</v>
      </c>
      <c r="C13">
        <f t="shared" si="0"/>
        <v>41.924000000000206</v>
      </c>
      <c r="D13">
        <f t="shared" si="3"/>
        <v>1.9963809523809621</v>
      </c>
      <c r="E13">
        <f t="shared" si="4"/>
        <v>5.0224932359572343E-4</v>
      </c>
      <c r="F13">
        <f t="shared" si="1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35">
      <c r="A14">
        <v>2012.152</v>
      </c>
      <c r="B14">
        <f t="shared" si="2"/>
        <v>20.815000000000055</v>
      </c>
      <c r="C14">
        <f t="shared" si="0"/>
        <v>41.925999999999931</v>
      </c>
      <c r="D14">
        <f t="shared" si="3"/>
        <v>1.9964761904761872</v>
      </c>
      <c r="E14">
        <f t="shared" si="4"/>
        <v>4.9698034740914209E-4</v>
      </c>
      <c r="F14">
        <f t="shared" si="1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>
        <f>SQRT(M11)</f>
        <v>3.816363706787402E-5</v>
      </c>
      <c r="O14" t="s">
        <v>42</v>
      </c>
      <c r="P14" t="s">
        <v>45</v>
      </c>
    </row>
    <row r="15" spans="1:16" x14ac:dyDescent="0.35">
      <c r="A15">
        <v>2032.9670000000001</v>
      </c>
      <c r="B15">
        <f t="shared" si="2"/>
        <v>21.110999999999876</v>
      </c>
      <c r="C15">
        <f t="shared" si="0"/>
        <v>41.923999999999978</v>
      </c>
      <c r="D15">
        <f t="shared" si="3"/>
        <v>1.9963809523809513</v>
      </c>
      <c r="E15">
        <f t="shared" si="4"/>
        <v>4.9189189986851732E-4</v>
      </c>
      <c r="F15">
        <f t="shared" si="1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O15" t="s">
        <v>43</v>
      </c>
    </row>
    <row r="16" spans="1:16" x14ac:dyDescent="0.35">
      <c r="A16">
        <v>2054.078</v>
      </c>
      <c r="B16">
        <f t="shared" si="2"/>
        <v>20.813000000000102</v>
      </c>
      <c r="C16">
        <f t="shared" si="0"/>
        <v>41.925999999999931</v>
      </c>
      <c r="D16">
        <f t="shared" si="3"/>
        <v>1.9964761904761872</v>
      </c>
      <c r="E16">
        <f t="shared" si="4"/>
        <v>4.868364297753055E-4</v>
      </c>
      <c r="F16">
        <f t="shared" si="1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35">
      <c r="A17">
        <v>2074.8910000000001</v>
      </c>
      <c r="B17">
        <f t="shared" si="2"/>
        <v>21.112999999999829</v>
      </c>
      <c r="C17">
        <f t="shared" si="0"/>
        <v>41.924999999999727</v>
      </c>
      <c r="D17">
        <f t="shared" si="3"/>
        <v>1.9964285714285583</v>
      </c>
      <c r="E17">
        <f t="shared" si="4"/>
        <v>4.8195302789399535E-4</v>
      </c>
      <c r="F17">
        <f t="shared" si="1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35">
      <c r="A18">
        <v>2096.0039999999999</v>
      </c>
      <c r="B18">
        <f t="shared" si="2"/>
        <v>20.811999999999898</v>
      </c>
      <c r="C18">
        <f t="shared" si="0"/>
        <v>41.925999999999931</v>
      </c>
      <c r="D18">
        <f t="shared" si="3"/>
        <v>1.9964761904761872</v>
      </c>
      <c r="E18">
        <f t="shared" si="4"/>
        <v>4.7709832614823257E-4</v>
      </c>
      <c r="F18">
        <f t="shared" si="1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35">
      <c r="A19">
        <v>2116.8159999999998</v>
      </c>
      <c r="B19">
        <f t="shared" si="2"/>
        <v>21.114000000000033</v>
      </c>
      <c r="C19">
        <f t="shared" si="0"/>
        <v>41.923999999999978</v>
      </c>
      <c r="D19">
        <f t="shared" si="3"/>
        <v>1.9963809523809513</v>
      </c>
      <c r="E19">
        <f t="shared" si="4"/>
        <v>4.7240761596662161E-4</v>
      </c>
      <c r="F19">
        <f t="shared" si="1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35">
      <c r="A20">
        <v>2137.9299999999998</v>
      </c>
      <c r="B20">
        <f t="shared" si="2"/>
        <v>20.809999999999945</v>
      </c>
      <c r="C20">
        <f t="shared" si="0"/>
        <v>41.925000000000182</v>
      </c>
      <c r="D20">
        <f t="shared" si="3"/>
        <v>1.9964285714285801</v>
      </c>
      <c r="E20">
        <f t="shared" si="4"/>
        <v>4.6774216181072351E-4</v>
      </c>
      <c r="F20">
        <f t="shared" si="1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35">
      <c r="A21">
        <v>2158.7399999999998</v>
      </c>
      <c r="B21">
        <f t="shared" si="2"/>
        <v>21.115000000000236</v>
      </c>
      <c r="C21">
        <f t="shared" si="0"/>
        <v>41.924000000000433</v>
      </c>
      <c r="D21">
        <f t="shared" si="3"/>
        <v>1.996380952380973</v>
      </c>
      <c r="E21">
        <f t="shared" si="4"/>
        <v>4.6323318231931596E-4</v>
      </c>
      <c r="F21">
        <f t="shared" si="1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35">
      <c r="A22">
        <v>2179.855</v>
      </c>
      <c r="B22">
        <f t="shared" si="2"/>
        <v>20.809000000000196</v>
      </c>
      <c r="C22">
        <f t="shared" si="0"/>
        <v>41.925999999999931</v>
      </c>
      <c r="D22">
        <f t="shared" si="3"/>
        <v>1.9964761904761872</v>
      </c>
      <c r="E22">
        <f t="shared" si="4"/>
        <v>4.5874610925956082E-4</v>
      </c>
      <c r="F22">
        <f t="shared" si="1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35">
      <c r="A23">
        <v>2200.6640000000002</v>
      </c>
      <c r="B23">
        <f t="shared" si="2"/>
        <v>21.116999999999734</v>
      </c>
      <c r="C23">
        <f t="shared" si="0"/>
        <v>41.923999999999978</v>
      </c>
      <c r="D23">
        <f t="shared" si="3"/>
        <v>1.9963809523809513</v>
      </c>
      <c r="E23">
        <f t="shared" si="4"/>
        <v>4.5440830585677773E-4</v>
      </c>
      <c r="F23">
        <f t="shared" si="1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35">
      <c r="A24">
        <v>2221.7809999999999</v>
      </c>
      <c r="B24">
        <f t="shared" si="2"/>
        <v>20.807000000000244</v>
      </c>
      <c r="C24">
        <f t="shared" si="0"/>
        <v>41.925999999999931</v>
      </c>
      <c r="D24">
        <f t="shared" si="3"/>
        <v>1.9964761904761872</v>
      </c>
      <c r="E24">
        <f t="shared" si="4"/>
        <v>4.5008936524346908E-4</v>
      </c>
      <c r="F24">
        <f t="shared" si="1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35">
      <c r="A25">
        <v>2242.5880000000002</v>
      </c>
      <c r="B25">
        <f t="shared" si="2"/>
        <v>21.118999999999687</v>
      </c>
      <c r="C25">
        <f t="shared" si="0"/>
        <v>41.922999999999774</v>
      </c>
      <c r="D25">
        <f t="shared" si="3"/>
        <v>1.9963333333333226</v>
      </c>
      <c r="E25">
        <f t="shared" si="4"/>
        <v>4.4591338221733101E-4</v>
      </c>
      <c r="F25">
        <f t="shared" si="1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35">
      <c r="A26">
        <v>2263.7069999999999</v>
      </c>
      <c r="B26">
        <f t="shared" si="2"/>
        <v>20.804000000000087</v>
      </c>
      <c r="C26">
        <f t="shared" si="0"/>
        <v>41.925000000000182</v>
      </c>
      <c r="D26">
        <f t="shared" si="3"/>
        <v>1.9964285714285801</v>
      </c>
      <c r="E26">
        <f t="shared" si="4"/>
        <v>4.4175328344171755E-4</v>
      </c>
      <c r="F26">
        <f t="shared" si="1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35">
      <c r="A27">
        <v>2284.511</v>
      </c>
      <c r="B27">
        <f t="shared" si="2"/>
        <v>21.121000000000095</v>
      </c>
      <c r="C27">
        <f t="shared" si="0"/>
        <v>41.923999999999978</v>
      </c>
      <c r="D27">
        <f t="shared" si="3"/>
        <v>1.9963809523809513</v>
      </c>
      <c r="E27">
        <f t="shared" si="4"/>
        <v>4.3773043771730581E-4</v>
      </c>
      <c r="F27">
        <f t="shared" si="1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35">
      <c r="A28">
        <v>2305.6320000000001</v>
      </c>
      <c r="B28">
        <f t="shared" si="2"/>
        <v>20.802999999999884</v>
      </c>
      <c r="C28">
        <f t="shared" si="0"/>
        <v>41.924999999999727</v>
      </c>
      <c r="D28">
        <f t="shared" si="3"/>
        <v>1.9964285714285583</v>
      </c>
      <c r="E28">
        <f t="shared" si="4"/>
        <v>4.3372055904845181E-4</v>
      </c>
      <c r="F28">
        <f t="shared" si="1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35">
      <c r="A29">
        <v>2326.4349999999999</v>
      </c>
      <c r="B29">
        <f t="shared" si="2"/>
        <v>21.121999999999844</v>
      </c>
      <c r="C29">
        <f t="shared" si="0"/>
        <v>41.923999999999978</v>
      </c>
      <c r="D29">
        <f t="shared" si="3"/>
        <v>1.9963809523809513</v>
      </c>
      <c r="E29">
        <f t="shared" si="4"/>
        <v>4.2984222641079592E-4</v>
      </c>
      <c r="F29">
        <f t="shared" si="1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35">
      <c r="A30">
        <v>2347.5569999999998</v>
      </c>
      <c r="B30">
        <f t="shared" si="2"/>
        <v>20.802000000000135</v>
      </c>
      <c r="C30">
        <f t="shared" si="0"/>
        <v>41.926000000000386</v>
      </c>
      <c r="D30">
        <f t="shared" si="3"/>
        <v>1.9964761904762089</v>
      </c>
      <c r="E30">
        <f t="shared" si="4"/>
        <v>4.2597474736502677E-4</v>
      </c>
      <c r="F30">
        <f t="shared" si="1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35">
      <c r="A31">
        <v>2368.3589999999999</v>
      </c>
      <c r="B31">
        <f t="shared" si="2"/>
        <v>21.124000000000251</v>
      </c>
      <c r="C31">
        <f t="shared" si="0"/>
        <v>41.923999999999978</v>
      </c>
      <c r="D31">
        <f t="shared" si="3"/>
        <v>1.9963809523809513</v>
      </c>
      <c r="E31">
        <f t="shared" si="4"/>
        <v>4.2223328473428226E-4</v>
      </c>
      <c r="F31">
        <f t="shared" si="1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35">
      <c r="A32">
        <v>2389.4830000000002</v>
      </c>
      <c r="B32">
        <f t="shared" si="2"/>
        <v>20.799999999999727</v>
      </c>
      <c r="C32">
        <f t="shared" si="0"/>
        <v>41.925999999999931</v>
      </c>
      <c r="D32">
        <f t="shared" si="3"/>
        <v>1.9964761904761872</v>
      </c>
      <c r="E32">
        <f t="shared" si="4"/>
        <v>4.1850057104402916E-4</v>
      </c>
      <c r="F32">
        <f t="shared" si="1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35">
      <c r="A33">
        <v>2410.2829999999999</v>
      </c>
      <c r="B33">
        <f t="shared" si="2"/>
        <v>21.126000000000204</v>
      </c>
      <c r="C33">
        <f t="shared" si="0"/>
        <v>41.923000000000229</v>
      </c>
      <c r="D33">
        <f t="shared" si="3"/>
        <v>1.9963333333333442</v>
      </c>
      <c r="E33">
        <f t="shared" si="4"/>
        <v>4.1488904000069703E-4</v>
      </c>
      <c r="F33">
        <f t="shared" si="1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35">
      <c r="A34">
        <v>2431.4090000000001</v>
      </c>
      <c r="B34">
        <f t="shared" si="2"/>
        <v>20.797000000000025</v>
      </c>
      <c r="C34">
        <f t="shared" si="0"/>
        <v>41.924999999999727</v>
      </c>
      <c r="D34">
        <f t="shared" si="3"/>
        <v>1.9964285714285583</v>
      </c>
      <c r="E34">
        <f t="shared" si="4"/>
        <v>4.1128415663510331E-4</v>
      </c>
      <c r="F34">
        <f t="shared" si="1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35">
      <c r="A35">
        <v>2452.2060000000001</v>
      </c>
      <c r="B35">
        <f t="shared" si="2"/>
        <v>21.127999999999702</v>
      </c>
      <c r="C35">
        <f t="shared" si="0"/>
        <v>41.923999999999978</v>
      </c>
      <c r="D35">
        <f t="shared" si="3"/>
        <v>1.9963809523809513</v>
      </c>
      <c r="E35">
        <f t="shared" si="4"/>
        <v>4.0779608238459571E-4</v>
      </c>
      <c r="F35">
        <f t="shared" si="1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35">
      <c r="A36">
        <v>2473.3339999999998</v>
      </c>
      <c r="B36">
        <f t="shared" si="2"/>
        <v>20.796000000000276</v>
      </c>
      <c r="C36">
        <f t="shared" si="0"/>
        <v>41.925000000000182</v>
      </c>
      <c r="D36">
        <f t="shared" si="3"/>
        <v>1.9964285714285801</v>
      </c>
      <c r="E36">
        <f t="shared" si="4"/>
        <v>4.0431255948448537E-4</v>
      </c>
      <c r="F36">
        <f t="shared" si="1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35">
      <c r="A37">
        <v>2494.13</v>
      </c>
      <c r="B37">
        <f t="shared" si="2"/>
        <v>21.128999999999905</v>
      </c>
      <c r="C37">
        <f t="shared" ref="C37:C68" si="10">A39-A37</f>
        <v>41.923999999999978</v>
      </c>
      <c r="D37">
        <f t="shared" si="3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35">
      <c r="A38">
        <v>2515.259</v>
      </c>
      <c r="B38">
        <f t="shared" si="2"/>
        <v>20.795000000000073</v>
      </c>
      <c r="C38">
        <f t="shared" si="10"/>
        <v>41.925999999999931</v>
      </c>
      <c r="D38">
        <f t="shared" si="3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35">
      <c r="A39">
        <v>2536.0540000000001</v>
      </c>
      <c r="B39">
        <f t="shared" si="2"/>
        <v>21.130999999999858</v>
      </c>
      <c r="C39">
        <f t="shared" si="10"/>
        <v>41.922999999999774</v>
      </c>
      <c r="D39">
        <f t="shared" si="3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35">
      <c r="A40">
        <v>2557.1849999999999</v>
      </c>
      <c r="B40">
        <f t="shared" si="2"/>
        <v>20.791999999999916</v>
      </c>
      <c r="C40">
        <f t="shared" si="10"/>
        <v>41.925000000000182</v>
      </c>
      <c r="D40">
        <f t="shared" si="3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35">
      <c r="A41">
        <v>2577.9769999999999</v>
      </c>
      <c r="B41">
        <f t="shared" si="2"/>
        <v>21.133000000000266</v>
      </c>
      <c r="C41">
        <f t="shared" si="10"/>
        <v>41.923000000000229</v>
      </c>
      <c r="D41">
        <f t="shared" si="3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35">
      <c r="A42">
        <v>2599.11</v>
      </c>
      <c r="B42">
        <f t="shared" si="2"/>
        <v>20.789999999999964</v>
      </c>
      <c r="C42">
        <f t="shared" si="10"/>
        <v>41.924999999999727</v>
      </c>
      <c r="D42">
        <f t="shared" si="3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35">
      <c r="A43">
        <v>2619.9</v>
      </c>
      <c r="B43">
        <f t="shared" si="2"/>
        <v>21.134999999999764</v>
      </c>
      <c r="C43">
        <f t="shared" si="10"/>
        <v>41.923999999999978</v>
      </c>
      <c r="D43">
        <f t="shared" si="3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35">
      <c r="A44">
        <v>2641.0349999999999</v>
      </c>
      <c r="B44">
        <f t="shared" si="2"/>
        <v>20.789000000000215</v>
      </c>
      <c r="C44">
        <f t="shared" si="10"/>
        <v>41.925000000000182</v>
      </c>
      <c r="D44">
        <f t="shared" si="3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35">
      <c r="A45">
        <v>2661.8240000000001</v>
      </c>
      <c r="B45">
        <f t="shared" si="2"/>
        <v>21.135999999999967</v>
      </c>
      <c r="C45">
        <f t="shared" si="10"/>
        <v>41.922999999999774</v>
      </c>
      <c r="D45">
        <f t="shared" si="3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35">
      <c r="A46">
        <v>2682.96</v>
      </c>
      <c r="B46">
        <f t="shared" si="2"/>
        <v>20.786999999999807</v>
      </c>
      <c r="C46">
        <f t="shared" si="10"/>
        <v>41.925000000000182</v>
      </c>
      <c r="D46">
        <f t="shared" si="3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35">
      <c r="A47">
        <v>2703.7469999999998</v>
      </c>
      <c r="B47">
        <f t="shared" si="2"/>
        <v>21.138000000000375</v>
      </c>
      <c r="C47">
        <f t="shared" si="10"/>
        <v>41.923000000000229</v>
      </c>
      <c r="D47">
        <f t="shared" si="3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35">
      <c r="A48">
        <v>2724.8850000000002</v>
      </c>
      <c r="B48">
        <f t="shared" si="2"/>
        <v>20.784999999999854</v>
      </c>
      <c r="C48">
        <f t="shared" si="10"/>
        <v>41.925999999999931</v>
      </c>
      <c r="D48">
        <f t="shared" si="3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35">
      <c r="A49">
        <v>2745.67</v>
      </c>
      <c r="B49">
        <f t="shared" si="2"/>
        <v>21.141000000000076</v>
      </c>
      <c r="C49">
        <f t="shared" si="10"/>
        <v>41.922999999999774</v>
      </c>
      <c r="D49">
        <f t="shared" si="3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35">
      <c r="A50">
        <v>2766.8110000000001</v>
      </c>
      <c r="B50">
        <f t="shared" si="2"/>
        <v>20.781999999999698</v>
      </c>
      <c r="C50">
        <f t="shared" si="10"/>
        <v>41.924999999999727</v>
      </c>
      <c r="D50">
        <f t="shared" si="3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35">
      <c r="A51">
        <v>2787.5929999999998</v>
      </c>
      <c r="B51">
        <f t="shared" si="2"/>
        <v>21.143000000000029</v>
      </c>
      <c r="C51">
        <f t="shared" si="10"/>
        <v>41.923000000000229</v>
      </c>
      <c r="D51">
        <f t="shared" si="3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35">
      <c r="A52">
        <v>2808.7359999999999</v>
      </c>
      <c r="B52">
        <f t="shared" si="2"/>
        <v>20.7800000000002</v>
      </c>
      <c r="C52">
        <f t="shared" si="10"/>
        <v>41.925000000000182</v>
      </c>
      <c r="D52">
        <f t="shared" si="3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35">
      <c r="A53">
        <v>2829.5160000000001</v>
      </c>
      <c r="B53">
        <f t="shared" si="2"/>
        <v>21.144999999999982</v>
      </c>
      <c r="C53">
        <f t="shared" si="10"/>
        <v>41.922999999999774</v>
      </c>
      <c r="D53">
        <f t="shared" si="3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35">
      <c r="A54">
        <v>2850.6610000000001</v>
      </c>
      <c r="B54">
        <f t="shared" si="2"/>
        <v>20.777999999999793</v>
      </c>
      <c r="C54">
        <f t="shared" si="10"/>
        <v>41.924999999999727</v>
      </c>
      <c r="D54">
        <f t="shared" si="3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35">
      <c r="A55">
        <v>2871.4389999999999</v>
      </c>
      <c r="B55">
        <f t="shared" si="2"/>
        <v>21.146999999999935</v>
      </c>
      <c r="C55">
        <f t="shared" si="10"/>
        <v>41.923000000000229</v>
      </c>
      <c r="D55">
        <f t="shared" si="3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35">
      <c r="A56">
        <v>2892.5859999999998</v>
      </c>
      <c r="B56">
        <f t="shared" si="2"/>
        <v>20.776000000000295</v>
      </c>
      <c r="C56">
        <f t="shared" si="10"/>
        <v>41.925000000000182</v>
      </c>
      <c r="D56">
        <f t="shared" si="3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35">
      <c r="A57">
        <v>2913.3620000000001</v>
      </c>
      <c r="B57">
        <f t="shared" si="2"/>
        <v>21.148999999999887</v>
      </c>
      <c r="C57">
        <f t="shared" si="10"/>
        <v>41.922999999999774</v>
      </c>
      <c r="D57">
        <f t="shared" si="3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35">
      <c r="A58">
        <v>2934.511</v>
      </c>
      <c r="B58">
        <f t="shared" si="2"/>
        <v>20.773999999999887</v>
      </c>
      <c r="C58">
        <f t="shared" si="10"/>
        <v>41.925000000000182</v>
      </c>
      <c r="D58">
        <f t="shared" si="3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35">
      <c r="A59">
        <v>2955.2849999999999</v>
      </c>
      <c r="B59">
        <f t="shared" si="2"/>
        <v>21.151000000000295</v>
      </c>
      <c r="C59">
        <f t="shared" si="10"/>
        <v>41.923000000000229</v>
      </c>
      <c r="D59">
        <f t="shared" si="3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35">
      <c r="A60">
        <v>2976.4360000000001</v>
      </c>
      <c r="B60">
        <f t="shared" si="2"/>
        <v>20.771999999999935</v>
      </c>
      <c r="C60">
        <f t="shared" si="10"/>
        <v>41.924999999999727</v>
      </c>
      <c r="D60">
        <f t="shared" si="3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35">
      <c r="A61">
        <v>2997.2080000000001</v>
      </c>
      <c r="B61">
        <f t="shared" si="2"/>
        <v>21.152999999999793</v>
      </c>
      <c r="C61">
        <f t="shared" si="10"/>
        <v>41.922999999999774</v>
      </c>
      <c r="D61">
        <f t="shared" si="3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35">
      <c r="A62">
        <v>3018.3609999999999</v>
      </c>
      <c r="B62">
        <f t="shared" si="2"/>
        <v>20.769999999999982</v>
      </c>
      <c r="C62">
        <f t="shared" si="10"/>
        <v>41.925000000000182</v>
      </c>
      <c r="D62">
        <f t="shared" si="3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35">
      <c r="A63">
        <v>3039.1309999999999</v>
      </c>
      <c r="B63">
        <f t="shared" si="2"/>
        <v>21.1550000000002</v>
      </c>
      <c r="C63">
        <f t="shared" si="10"/>
        <v>41.923000000000229</v>
      </c>
      <c r="D63">
        <f t="shared" si="3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35">
      <c r="A64">
        <v>3060.2860000000001</v>
      </c>
      <c r="B64">
        <f t="shared" si="2"/>
        <v>20.768000000000029</v>
      </c>
      <c r="C64">
        <f t="shared" si="10"/>
        <v>41.924999999999727</v>
      </c>
      <c r="D64">
        <f t="shared" si="3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35">
      <c r="A65">
        <v>3081.0540000000001</v>
      </c>
      <c r="B65">
        <f t="shared" si="2"/>
        <v>21.156999999999698</v>
      </c>
      <c r="C65">
        <f t="shared" si="10"/>
        <v>41.922999999999774</v>
      </c>
      <c r="D65">
        <f t="shared" si="3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35">
      <c r="A66">
        <v>3102.2109999999998</v>
      </c>
      <c r="B66">
        <f t="shared" si="2"/>
        <v>20.766000000000076</v>
      </c>
      <c r="C66">
        <f t="shared" si="10"/>
        <v>41.925000000000182</v>
      </c>
      <c r="D66">
        <f t="shared" si="3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35">
      <c r="A67">
        <v>3122.9769999999999</v>
      </c>
      <c r="B67">
        <f t="shared" si="2"/>
        <v>21.159000000000106</v>
      </c>
      <c r="C67">
        <f t="shared" si="10"/>
        <v>41.922000000000025</v>
      </c>
      <c r="D67">
        <f t="shared" si="3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35">
      <c r="A68">
        <v>3144.136</v>
      </c>
      <c r="B68">
        <f t="shared" si="2"/>
        <v>20.76299999999992</v>
      </c>
      <c r="C68">
        <f t="shared" si="10"/>
        <v>41.925000000000182</v>
      </c>
      <c r="D68">
        <f t="shared" si="3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35">
      <c r="A69">
        <v>3164.8989999999999</v>
      </c>
      <c r="B69">
        <f t="shared" si="2"/>
        <v>21.162000000000262</v>
      </c>
      <c r="C69">
        <f t="shared" ref="C69:C88" si="13">A71-A69</f>
        <v>41.923000000000229</v>
      </c>
      <c r="D69">
        <f t="shared" si="3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35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35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35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35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35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35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35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35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35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35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35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35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35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35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35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35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35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35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35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35">
      <c r="A89">
        <v>3584.123</v>
      </c>
      <c r="B89">
        <f t="shared" si="16"/>
        <v>21.184999999999945</v>
      </c>
    </row>
    <row r="90" spans="1:40" x14ac:dyDescent="0.35">
      <c r="A90">
        <v>3605.308</v>
      </c>
    </row>
    <row r="92" spans="1:40" x14ac:dyDescent="0.35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35">
      <c r="B93">
        <f>_xlfn.STDEV.P(B5:B89)</f>
        <v>0.17986034797889267</v>
      </c>
    </row>
    <row r="95" spans="1:40" x14ac:dyDescent="0.35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35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35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35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35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35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35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35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35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35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35">
      <c r="AQ110">
        <v>-4</v>
      </c>
      <c r="AR110">
        <f>AR108</f>
        <v>2.1013678571428582</v>
      </c>
    </row>
    <row r="111" spans="1:60" x14ac:dyDescent="0.35">
      <c r="AQ111">
        <v>-3</v>
      </c>
      <c r="AR111">
        <f>AT108</f>
        <v>2.1032434523809531</v>
      </c>
    </row>
    <row r="112" spans="1:60" x14ac:dyDescent="0.35">
      <c r="AQ112">
        <v>-2</v>
      </c>
      <c r="AR112">
        <f>AV108</f>
        <v>2.1048446428571426</v>
      </c>
    </row>
    <row r="113" spans="43:44" x14ac:dyDescent="0.35">
      <c r="AQ113">
        <v>-1</v>
      </c>
      <c r="AR113">
        <f>AX108</f>
        <v>2.1068062499999995</v>
      </c>
    </row>
    <row r="114" spans="43:44" x14ac:dyDescent="0.35">
      <c r="AQ114">
        <v>0</v>
      </c>
      <c r="AR114">
        <f>AZ108</f>
        <v>2.1083499999999997</v>
      </c>
    </row>
    <row r="115" spans="43:44" x14ac:dyDescent="0.35">
      <c r="AQ115">
        <v>1</v>
      </c>
      <c r="AR115">
        <f>BB108</f>
        <v>2.1105767857142856</v>
      </c>
    </row>
    <row r="116" spans="43:44" x14ac:dyDescent="0.35">
      <c r="AQ116">
        <v>2</v>
      </c>
      <c r="AR116">
        <f>BD108</f>
        <v>2.1099357142857151</v>
      </c>
    </row>
    <row r="117" spans="43:44" x14ac:dyDescent="0.35">
      <c r="AQ117">
        <v>3</v>
      </c>
      <c r="AR117">
        <f>BF108</f>
        <v>2.1118708333333363</v>
      </c>
    </row>
    <row r="118" spans="43:44" x14ac:dyDescent="0.35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O92"/>
  <sheetViews>
    <sheetView workbookViewId="0">
      <selection activeCell="P14" sqref="P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5" x14ac:dyDescent="0.35">
      <c r="A3" s="1" t="s">
        <v>19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5" x14ac:dyDescent="0.35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5" x14ac:dyDescent="0.35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5" x14ac:dyDescent="0.35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5" x14ac:dyDescent="0.35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5" x14ac:dyDescent="0.35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5" x14ac:dyDescent="0.35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5" x14ac:dyDescent="0.35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5" x14ac:dyDescent="0.35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5" x14ac:dyDescent="0.35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>
        <f>SQRT(M11)</f>
        <v>8.4850367615936243E-6</v>
      </c>
      <c r="O14" t="s">
        <v>52</v>
      </c>
    </row>
    <row r="15" spans="1:15" x14ac:dyDescent="0.35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O15" t="s">
        <v>43</v>
      </c>
    </row>
    <row r="16" spans="1:15" x14ac:dyDescent="0.35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35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35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35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35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35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35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35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35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35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35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35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35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35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35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35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35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35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35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35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35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35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35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35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35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35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35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35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35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35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35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35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35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35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35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35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35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35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35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35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35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35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35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35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35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35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35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35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35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35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35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35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35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35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35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35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35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35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35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35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35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35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35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35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35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35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35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35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35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35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35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35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35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35">
      <c r="A89">
        <v>1783.818</v>
      </c>
      <c r="B89">
        <f t="shared" si="16"/>
        <v>21.266000000000076</v>
      </c>
    </row>
    <row r="90" spans="1:11" x14ac:dyDescent="0.35">
      <c r="A90">
        <v>1805.0840000000001</v>
      </c>
    </row>
    <row r="92" spans="1:11" x14ac:dyDescent="0.35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O92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5" x14ac:dyDescent="0.35">
      <c r="A3" s="1" t="s">
        <v>20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5" x14ac:dyDescent="0.35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5" x14ac:dyDescent="0.35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5" x14ac:dyDescent="0.35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5" x14ac:dyDescent="0.35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5" x14ac:dyDescent="0.35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5" x14ac:dyDescent="0.35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5" x14ac:dyDescent="0.35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5" x14ac:dyDescent="0.35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5" x14ac:dyDescent="0.35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>
        <f>SQRT(M11)</f>
        <v>8.2900987669174676E-6</v>
      </c>
      <c r="O14" t="s">
        <v>42</v>
      </c>
    </row>
    <row r="15" spans="1:15" x14ac:dyDescent="0.35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O15" t="s">
        <v>43</v>
      </c>
    </row>
    <row r="16" spans="1:15" x14ac:dyDescent="0.35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35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35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35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35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35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35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35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35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35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35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35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35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35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35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35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35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35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35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35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35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35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35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35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35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35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35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35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35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35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35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35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35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35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35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35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35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35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35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35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35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35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35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35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35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35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35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35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35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35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35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35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35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35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35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35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35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35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35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35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35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35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35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35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35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35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35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35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35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35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35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35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35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35">
      <c r="A89">
        <v>1788.097</v>
      </c>
      <c r="B89">
        <f t="shared" si="16"/>
        <v>21.361000000000104</v>
      </c>
    </row>
    <row r="90" spans="1:11" x14ac:dyDescent="0.35">
      <c r="A90">
        <v>1809.4580000000001</v>
      </c>
      <c r="B90">
        <f>A91-A90</f>
        <v>20.718999999999824</v>
      </c>
    </row>
    <row r="91" spans="1:11" x14ac:dyDescent="0.35">
      <c r="A91">
        <v>1830.1769999999999</v>
      </c>
    </row>
    <row r="92" spans="1:11" x14ac:dyDescent="0.35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O92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35">
      <c r="A3" s="1" t="s">
        <v>21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  <row r="92" spans="1:11" x14ac:dyDescent="0.35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O92"/>
  <sheetViews>
    <sheetView workbookViewId="0">
      <selection activeCell="N32" sqref="N32"/>
    </sheetView>
  </sheetViews>
  <sheetFormatPr defaultColWidth="8.81640625" defaultRowHeight="14.5" x14ac:dyDescent="0.35"/>
  <cols>
    <col min="13" max="13" width="11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5" x14ac:dyDescent="0.35">
      <c r="A3" s="1" t="s">
        <v>22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5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5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5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5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5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5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5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5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5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>
        <f>SQRT(M11)</f>
        <v>8.273141060995267E-6</v>
      </c>
      <c r="O14" t="s">
        <v>42</v>
      </c>
    </row>
    <row r="15" spans="1:15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O15" t="s">
        <v>43</v>
      </c>
    </row>
    <row r="16" spans="1:15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  <row r="92" spans="1:11" x14ac:dyDescent="0.35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O92"/>
  <sheetViews>
    <sheetView workbookViewId="0">
      <selection activeCell="N14" sqref="N14"/>
    </sheetView>
  </sheetViews>
  <sheetFormatPr defaultColWidth="8.81640625" defaultRowHeight="14.5" x14ac:dyDescent="0.35"/>
  <cols>
    <col min="14" max="14" width="10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5" x14ac:dyDescent="0.35">
      <c r="A3" s="1" t="s">
        <v>23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5" x14ac:dyDescent="0.35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5" x14ac:dyDescent="0.35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5" x14ac:dyDescent="0.35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5" x14ac:dyDescent="0.35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5" x14ac:dyDescent="0.35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5" x14ac:dyDescent="0.35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5" x14ac:dyDescent="0.35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5" x14ac:dyDescent="0.35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5" x14ac:dyDescent="0.35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>
        <f>SQRT(M11)</f>
        <v>8.2957958200296766E-6</v>
      </c>
      <c r="O14" t="s">
        <v>42</v>
      </c>
    </row>
    <row r="15" spans="1:15" x14ac:dyDescent="0.35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O15" t="s">
        <v>43</v>
      </c>
    </row>
    <row r="16" spans="1:15" x14ac:dyDescent="0.35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35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35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35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35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35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35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35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35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35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35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35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35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35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35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35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35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35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35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35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35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35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35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35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35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35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35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35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35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35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35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35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35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35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35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35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35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35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35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35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35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35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35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35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35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35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35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35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35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35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35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35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35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35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35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35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35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35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35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35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35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35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35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35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35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35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35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35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35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35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35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35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35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35">
      <c r="A89">
        <v>1796.454</v>
      </c>
      <c r="B89">
        <f t="shared" si="16"/>
        <v>21.104000000000042</v>
      </c>
    </row>
    <row r="90" spans="1:11" x14ac:dyDescent="0.35">
      <c r="A90">
        <v>1817.558</v>
      </c>
    </row>
    <row r="92" spans="1:11" x14ac:dyDescent="0.35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P90"/>
  <sheetViews>
    <sheetView workbookViewId="0">
      <selection activeCell="N14" sqref="N14"/>
    </sheetView>
  </sheetViews>
  <sheetFormatPr defaultColWidth="8.81640625" defaultRowHeight="14.5" x14ac:dyDescent="0.35"/>
  <cols>
    <col min="6" max="6" width="11.81640625" bestFit="1" customWidth="1"/>
  </cols>
  <sheetData>
    <row r="1" spans="1:16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6" x14ac:dyDescent="0.35">
      <c r="A3" s="1" t="s">
        <v>24</v>
      </c>
      <c r="B3" s="1"/>
      <c r="C3" s="1"/>
    </row>
    <row r="4" spans="1:16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35">
      <c r="A5">
        <v>20.48</v>
      </c>
      <c r="B5">
        <f>A6-A5</f>
        <v>20.865999999999996</v>
      </c>
      <c r="C5">
        <f>A7-A5</f>
        <v>42.137</v>
      </c>
      <c r="D5">
        <f>C5/21</f>
        <v>2.0065238095238094</v>
      </c>
      <c r="E5">
        <f>1/A5</f>
        <v>4.8828125E-2</v>
      </c>
      <c r="F5">
        <f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6" x14ac:dyDescent="0.35">
      <c r="A6">
        <v>41.345999999999997</v>
      </c>
      <c r="B6">
        <f t="shared" ref="B6:B69" si="0">A7-A6</f>
        <v>21.271000000000001</v>
      </c>
      <c r="C6">
        <f t="shared" ref="C6:C36" si="1">A8-A6</f>
        <v>42.134999999999998</v>
      </c>
      <c r="D6">
        <f t="shared" ref="D6:D69" si="2">C6/21</f>
        <v>2.0064285714285712</v>
      </c>
      <c r="E6">
        <f t="shared" ref="E5:E36" si="3">1/A6</f>
        <v>2.4186136506554445E-2</v>
      </c>
      <c r="F6">
        <f t="shared" ref="F5:F36" si="4">SQRT(((1/(A6^2))*$A$1)^2)</f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6" x14ac:dyDescent="0.35">
      <c r="A7">
        <v>62.616999999999997</v>
      </c>
      <c r="B7">
        <f t="shared" si="0"/>
        <v>20.863999999999997</v>
      </c>
      <c r="C7">
        <f t="shared" si="1"/>
        <v>42.137000000000008</v>
      </c>
      <c r="D7">
        <f t="shared" si="2"/>
        <v>2.0065238095238098</v>
      </c>
      <c r="E7">
        <f t="shared" si="3"/>
        <v>1.5970103965376816E-2</v>
      </c>
      <c r="F7">
        <f t="shared" si="4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6" x14ac:dyDescent="0.35">
      <c r="A8">
        <v>83.480999999999995</v>
      </c>
      <c r="B8">
        <f t="shared" si="0"/>
        <v>21.27300000000001</v>
      </c>
      <c r="C8">
        <f t="shared" si="1"/>
        <v>42.134</v>
      </c>
      <c r="D8">
        <f t="shared" si="2"/>
        <v>2.0063809523809524</v>
      </c>
      <c r="E8">
        <f t="shared" si="3"/>
        <v>1.1978773613157486E-2</v>
      </c>
      <c r="F8">
        <f t="shared" si="4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6" x14ac:dyDescent="0.35">
      <c r="A9">
        <v>104.754</v>
      </c>
      <c r="B9">
        <f t="shared" si="0"/>
        <v>20.86099999999999</v>
      </c>
      <c r="C9">
        <f t="shared" si="1"/>
        <v>42.136999999999986</v>
      </c>
      <c r="D9">
        <f t="shared" si="2"/>
        <v>2.0065238095238089</v>
      </c>
      <c r="E9">
        <f t="shared" si="3"/>
        <v>9.5461748477385106E-3</v>
      </c>
      <c r="F9">
        <f t="shared" si="4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6" x14ac:dyDescent="0.35">
      <c r="A10">
        <v>125.61499999999999</v>
      </c>
      <c r="B10">
        <f t="shared" si="0"/>
        <v>21.275999999999996</v>
      </c>
      <c r="C10">
        <f t="shared" si="1"/>
        <v>42.135000000000005</v>
      </c>
      <c r="D10">
        <f t="shared" si="2"/>
        <v>2.0064285714285717</v>
      </c>
      <c r="E10">
        <f t="shared" si="3"/>
        <v>7.9608327031007453E-3</v>
      </c>
      <c r="F10">
        <f t="shared" si="4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6" x14ac:dyDescent="0.35">
      <c r="A11">
        <v>146.89099999999999</v>
      </c>
      <c r="B11">
        <f t="shared" si="0"/>
        <v>20.859000000000009</v>
      </c>
      <c r="C11">
        <f t="shared" si="1"/>
        <v>42.138000000000005</v>
      </c>
      <c r="D11">
        <f t="shared" si="2"/>
        <v>2.0065714285714287</v>
      </c>
      <c r="E11">
        <f t="shared" si="3"/>
        <v>6.8077690260124855E-3</v>
      </c>
      <c r="F11">
        <f t="shared" si="4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6" x14ac:dyDescent="0.35">
      <c r="A12">
        <v>167.75</v>
      </c>
      <c r="B12">
        <f t="shared" si="0"/>
        <v>21.278999999999996</v>
      </c>
      <c r="C12">
        <f t="shared" si="1"/>
        <v>42.134999999999991</v>
      </c>
      <c r="D12">
        <f t="shared" si="2"/>
        <v>2.0064285714285708</v>
      </c>
      <c r="E12">
        <f t="shared" si="3"/>
        <v>5.9612518628912071E-3</v>
      </c>
      <c r="F12">
        <f t="shared" si="4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6" x14ac:dyDescent="0.35">
      <c r="A13">
        <v>189.029</v>
      </c>
      <c r="B13">
        <f t="shared" si="0"/>
        <v>20.855999999999995</v>
      </c>
      <c r="C13">
        <f t="shared" si="1"/>
        <v>42.137</v>
      </c>
      <c r="D13">
        <f t="shared" si="2"/>
        <v>2.0065238095238094</v>
      </c>
      <c r="E13">
        <f t="shared" si="3"/>
        <v>5.2901935681826601E-3</v>
      </c>
      <c r="F13">
        <f t="shared" si="4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6" x14ac:dyDescent="0.35">
      <c r="A14">
        <v>209.88499999999999</v>
      </c>
      <c r="B14">
        <f t="shared" si="0"/>
        <v>21.281000000000006</v>
      </c>
      <c r="C14">
        <f t="shared" si="1"/>
        <v>42.135000000000019</v>
      </c>
      <c r="D14">
        <f t="shared" si="2"/>
        <v>2.0064285714285726</v>
      </c>
      <c r="E14">
        <f t="shared" si="3"/>
        <v>4.7645139004693048E-3</v>
      </c>
      <c r="F14">
        <f t="shared" si="4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  <c r="P14">
        <f>SQRT(N12)</f>
        <v>1.5438028192574695E-3</v>
      </c>
    </row>
    <row r="15" spans="1:16" x14ac:dyDescent="0.35">
      <c r="A15">
        <v>231.166</v>
      </c>
      <c r="B15">
        <f t="shared" si="0"/>
        <v>20.854000000000013</v>
      </c>
      <c r="C15">
        <f t="shared" si="1"/>
        <v>42.137</v>
      </c>
      <c r="D15">
        <f t="shared" si="2"/>
        <v>2.0065238095238094</v>
      </c>
      <c r="E15">
        <f t="shared" si="3"/>
        <v>4.3258956766998608E-3</v>
      </c>
      <c r="F15">
        <f t="shared" si="4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6" x14ac:dyDescent="0.35">
      <c r="A16">
        <v>252.02</v>
      </c>
      <c r="B16">
        <f t="shared" si="0"/>
        <v>21.282999999999987</v>
      </c>
      <c r="C16">
        <f t="shared" si="1"/>
        <v>42.133999999999986</v>
      </c>
      <c r="D16">
        <f t="shared" si="2"/>
        <v>2.0063809523809519</v>
      </c>
      <c r="E16">
        <f t="shared" si="3"/>
        <v>3.9679390524561542E-3</v>
      </c>
      <c r="F16">
        <f t="shared" si="4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5" x14ac:dyDescent="0.35">
      <c r="A17">
        <v>273.303</v>
      </c>
      <c r="B17">
        <f t="shared" si="0"/>
        <v>20.850999999999999</v>
      </c>
      <c r="C17">
        <f t="shared" si="1"/>
        <v>42.137</v>
      </c>
      <c r="D17">
        <f t="shared" si="2"/>
        <v>2.0065238095238094</v>
      </c>
      <c r="E17">
        <f t="shared" si="3"/>
        <v>3.6589426387562524E-3</v>
      </c>
      <c r="F17">
        <f t="shared" si="4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5" x14ac:dyDescent="0.35">
      <c r="A18">
        <v>294.154</v>
      </c>
      <c r="B18">
        <f t="shared" si="0"/>
        <v>21.286000000000001</v>
      </c>
      <c r="C18">
        <f t="shared" si="1"/>
        <v>42.134999999999991</v>
      </c>
      <c r="D18">
        <f t="shared" si="2"/>
        <v>2.0064285714285708</v>
      </c>
      <c r="E18">
        <f t="shared" si="3"/>
        <v>3.399579811935245E-3</v>
      </c>
      <c r="F18">
        <f t="shared" si="4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  <c r="O18" s="3"/>
    </row>
    <row r="19" spans="1:15" x14ac:dyDescent="0.35">
      <c r="A19">
        <v>315.44</v>
      </c>
      <c r="B19">
        <f t="shared" si="0"/>
        <v>20.84899999999999</v>
      </c>
      <c r="C19">
        <f t="shared" si="1"/>
        <v>42.137</v>
      </c>
      <c r="D19">
        <f t="shared" si="2"/>
        <v>2.0065238095238094</v>
      </c>
      <c r="E19">
        <f t="shared" si="3"/>
        <v>3.1701749936596502E-3</v>
      </c>
      <c r="F19">
        <f t="shared" si="4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5" x14ac:dyDescent="0.35">
      <c r="A20">
        <v>336.28899999999999</v>
      </c>
      <c r="B20">
        <f t="shared" si="0"/>
        <v>21.288000000000011</v>
      </c>
      <c r="C20">
        <f t="shared" si="1"/>
        <v>42.134999999999991</v>
      </c>
      <c r="D20">
        <f t="shared" si="2"/>
        <v>2.0064285714285708</v>
      </c>
      <c r="E20">
        <f t="shared" si="3"/>
        <v>2.9736327979803089E-3</v>
      </c>
      <c r="F20">
        <f t="shared" si="4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5" x14ac:dyDescent="0.35">
      <c r="A21">
        <v>357.577</v>
      </c>
      <c r="B21">
        <f t="shared" si="0"/>
        <v>20.84699999999998</v>
      </c>
      <c r="C21">
        <f t="shared" si="1"/>
        <v>42.137</v>
      </c>
      <c r="D21">
        <f t="shared" si="2"/>
        <v>2.0065238095238094</v>
      </c>
      <c r="E21">
        <f t="shared" si="3"/>
        <v>2.7966004524899533E-3</v>
      </c>
      <c r="F21">
        <f t="shared" si="4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5" x14ac:dyDescent="0.35">
      <c r="A22">
        <v>378.42399999999998</v>
      </c>
      <c r="B22">
        <f t="shared" si="0"/>
        <v>21.29000000000002</v>
      </c>
      <c r="C22">
        <f t="shared" si="1"/>
        <v>42.135000000000048</v>
      </c>
      <c r="D22">
        <f t="shared" si="2"/>
        <v>2.0064285714285739</v>
      </c>
      <c r="E22">
        <f t="shared" si="3"/>
        <v>2.6425385282117415E-3</v>
      </c>
      <c r="F22">
        <f t="shared" si="4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5" x14ac:dyDescent="0.35">
      <c r="A23">
        <v>399.714</v>
      </c>
      <c r="B23">
        <f t="shared" si="0"/>
        <v>20.845000000000027</v>
      </c>
      <c r="C23">
        <f t="shared" si="1"/>
        <v>42.137</v>
      </c>
      <c r="D23">
        <f t="shared" si="2"/>
        <v>2.0065238095238094</v>
      </c>
      <c r="E23">
        <f t="shared" si="3"/>
        <v>2.5017887789769684E-3</v>
      </c>
      <c r="F23">
        <f t="shared" si="4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5" x14ac:dyDescent="0.35">
      <c r="A24">
        <v>420.55900000000003</v>
      </c>
      <c r="B24">
        <f t="shared" si="0"/>
        <v>21.291999999999973</v>
      </c>
      <c r="C24">
        <f t="shared" si="1"/>
        <v>42.133999999999958</v>
      </c>
      <c r="D24">
        <f t="shared" si="2"/>
        <v>2.0063809523809502</v>
      </c>
      <c r="E24">
        <f t="shared" si="3"/>
        <v>2.377787658806493E-3</v>
      </c>
      <c r="F24">
        <f t="shared" si="4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5" x14ac:dyDescent="0.35">
      <c r="A25">
        <v>441.851</v>
      </c>
      <c r="B25">
        <f t="shared" si="0"/>
        <v>20.841999999999985</v>
      </c>
      <c r="C25">
        <f t="shared" si="1"/>
        <v>42.137</v>
      </c>
      <c r="D25">
        <f t="shared" si="2"/>
        <v>2.0065238095238094</v>
      </c>
      <c r="E25">
        <f t="shared" si="3"/>
        <v>2.2632063749997173E-3</v>
      </c>
      <c r="F25">
        <f t="shared" si="4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5" x14ac:dyDescent="0.35">
      <c r="A26">
        <v>462.69299999999998</v>
      </c>
      <c r="B26">
        <f t="shared" si="0"/>
        <v>21.295000000000016</v>
      </c>
      <c r="C26">
        <f t="shared" si="1"/>
        <v>42.134999999999991</v>
      </c>
      <c r="D26">
        <f t="shared" si="2"/>
        <v>2.0064285714285708</v>
      </c>
      <c r="E26">
        <f t="shared" si="3"/>
        <v>2.161260274091028E-3</v>
      </c>
      <c r="F26">
        <f t="shared" si="4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5" x14ac:dyDescent="0.35">
      <c r="A27">
        <v>483.988</v>
      </c>
      <c r="B27">
        <f t="shared" si="0"/>
        <v>20.839999999999975</v>
      </c>
      <c r="C27">
        <f t="shared" si="1"/>
        <v>42.137</v>
      </c>
      <c r="D27">
        <f t="shared" si="2"/>
        <v>2.0065238095238094</v>
      </c>
      <c r="E27">
        <f t="shared" si="3"/>
        <v>2.0661669297585891E-3</v>
      </c>
      <c r="F27">
        <f t="shared" si="4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5" x14ac:dyDescent="0.35">
      <c r="A28">
        <v>504.82799999999997</v>
      </c>
      <c r="B28">
        <f t="shared" si="0"/>
        <v>21.297000000000025</v>
      </c>
      <c r="C28">
        <f t="shared" si="1"/>
        <v>42.134000000000015</v>
      </c>
      <c r="D28">
        <f t="shared" si="2"/>
        <v>2.0063809523809533</v>
      </c>
      <c r="E28">
        <f t="shared" si="3"/>
        <v>1.9808726932737486E-3</v>
      </c>
      <c r="F28">
        <f t="shared" si="4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5" x14ac:dyDescent="0.35">
      <c r="A29">
        <v>526.125</v>
      </c>
      <c r="B29">
        <f t="shared" si="0"/>
        <v>20.836999999999989</v>
      </c>
      <c r="C29">
        <f t="shared" si="1"/>
        <v>42.136999999999944</v>
      </c>
      <c r="D29">
        <f t="shared" si="2"/>
        <v>2.0065238095238067</v>
      </c>
      <c r="E29">
        <f t="shared" si="3"/>
        <v>1.9006889997624139E-3</v>
      </c>
      <c r="F29">
        <f t="shared" si="4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5" x14ac:dyDescent="0.35">
      <c r="A30">
        <v>546.96199999999999</v>
      </c>
      <c r="B30">
        <f t="shared" si="0"/>
        <v>21.299999999999955</v>
      </c>
      <c r="C30">
        <f t="shared" si="1"/>
        <v>42.134999999999991</v>
      </c>
      <c r="D30">
        <f t="shared" si="2"/>
        <v>2.0064285714285708</v>
      </c>
      <c r="E30">
        <f t="shared" si="3"/>
        <v>1.8282805752502002E-3</v>
      </c>
      <c r="F30">
        <f t="shared" si="4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5" x14ac:dyDescent="0.35">
      <c r="A31">
        <v>568.26199999999994</v>
      </c>
      <c r="B31">
        <f t="shared" si="0"/>
        <v>20.835000000000036</v>
      </c>
      <c r="C31">
        <f t="shared" si="1"/>
        <v>42.137000000000057</v>
      </c>
      <c r="D31">
        <f t="shared" si="2"/>
        <v>2.006523809523812</v>
      </c>
      <c r="E31">
        <f t="shared" si="3"/>
        <v>1.7597516638451984E-3</v>
      </c>
      <c r="F31">
        <f t="shared" si="4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5" x14ac:dyDescent="0.35">
      <c r="A32">
        <v>589.09699999999998</v>
      </c>
      <c r="B32">
        <f t="shared" si="0"/>
        <v>21.302000000000021</v>
      </c>
      <c r="C32">
        <f t="shared" si="1"/>
        <v>42.134000000000015</v>
      </c>
      <c r="D32">
        <f t="shared" si="2"/>
        <v>2.0063809523809533</v>
      </c>
      <c r="E32">
        <f t="shared" si="3"/>
        <v>1.6975133127481554E-3</v>
      </c>
      <c r="F32">
        <f t="shared" si="4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0"/>
        <v>20.831999999999994</v>
      </c>
      <c r="C33">
        <f t="shared" si="1"/>
        <v>42.135999999999967</v>
      </c>
      <c r="D33">
        <f t="shared" si="2"/>
        <v>2.0064761904761887</v>
      </c>
      <c r="E33">
        <f t="shared" si="3"/>
        <v>1.638272670826787E-3</v>
      </c>
      <c r="F33">
        <f t="shared" si="4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0"/>
        <v>21.303999999999974</v>
      </c>
      <c r="C34">
        <f t="shared" si="1"/>
        <v>42.134999999999991</v>
      </c>
      <c r="D34">
        <f t="shared" si="2"/>
        <v>2.0064285714285708</v>
      </c>
      <c r="E34">
        <f t="shared" si="3"/>
        <v>1.5842060988766394E-3</v>
      </c>
      <c r="F34">
        <f t="shared" si="4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0"/>
        <v>20.831000000000017</v>
      </c>
      <c r="C35">
        <f t="shared" si="1"/>
        <v>42.138000000000034</v>
      </c>
      <c r="D35">
        <f t="shared" si="2"/>
        <v>2.00657142857143</v>
      </c>
      <c r="E35">
        <f t="shared" si="3"/>
        <v>1.5324848475560698E-3</v>
      </c>
      <c r="F35">
        <f t="shared" si="4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0"/>
        <v>21.307000000000016</v>
      </c>
      <c r="C36">
        <f t="shared" si="1"/>
        <v>42.134000000000015</v>
      </c>
      <c r="D36">
        <f t="shared" si="2"/>
        <v>2.0063809523809533</v>
      </c>
      <c r="E36">
        <f t="shared" si="3"/>
        <v>1.4850764665872646E-3</v>
      </c>
      <c r="F36">
        <f t="shared" si="4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0"/>
        <v>20.826999999999998</v>
      </c>
      <c r="C37">
        <f t="shared" ref="C37:C68" si="10">A39-A37</f>
        <v>42.135999999999967</v>
      </c>
      <c r="D37">
        <f t="shared" si="2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0"/>
        <v>21.308999999999969</v>
      </c>
      <c r="C38">
        <f t="shared" si="10"/>
        <v>42.134000000000015</v>
      </c>
      <c r="D38">
        <f t="shared" si="2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0"/>
        <v>20.825000000000045</v>
      </c>
      <c r="C39">
        <f t="shared" si="10"/>
        <v>42.137000000000057</v>
      </c>
      <c r="D39">
        <f t="shared" si="2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0"/>
        <v>21.312000000000012</v>
      </c>
      <c r="C40">
        <f t="shared" si="10"/>
        <v>42.134000000000015</v>
      </c>
      <c r="D40">
        <f t="shared" si="2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0"/>
        <v>20.822000000000003</v>
      </c>
      <c r="C41">
        <f t="shared" si="10"/>
        <v>42.136999999999944</v>
      </c>
      <c r="D41">
        <f t="shared" si="2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0"/>
        <v>21.314999999999941</v>
      </c>
      <c r="C42">
        <f t="shared" si="10"/>
        <v>42.134000000000015</v>
      </c>
      <c r="D42">
        <f t="shared" si="2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0"/>
        <v>20.819000000000074</v>
      </c>
      <c r="C43">
        <f t="shared" si="10"/>
        <v>42.137000000000057</v>
      </c>
      <c r="D43">
        <f t="shared" si="2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0"/>
        <v>21.317999999999984</v>
      </c>
      <c r="C44">
        <f t="shared" si="10"/>
        <v>42.134999999999991</v>
      </c>
      <c r="D44">
        <f t="shared" si="2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0"/>
        <v>20.817000000000007</v>
      </c>
      <c r="C45">
        <f t="shared" si="10"/>
        <v>42.136999999999944</v>
      </c>
      <c r="D45">
        <f t="shared" si="2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0"/>
        <v>21.319999999999936</v>
      </c>
      <c r="C46">
        <f t="shared" si="10"/>
        <v>42.132999999999925</v>
      </c>
      <c r="D46">
        <f t="shared" si="2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0"/>
        <v>20.812999999999988</v>
      </c>
      <c r="C47">
        <f t="shared" si="10"/>
        <v>42.136000000000081</v>
      </c>
      <c r="D47">
        <f t="shared" si="2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0"/>
        <v>21.323000000000093</v>
      </c>
      <c r="C48">
        <f t="shared" si="10"/>
        <v>42.134000000000015</v>
      </c>
      <c r="D48">
        <f t="shared" si="2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0"/>
        <v>20.810999999999922</v>
      </c>
      <c r="C49">
        <f t="shared" si="10"/>
        <v>42.136999999999944</v>
      </c>
      <c r="D49">
        <f t="shared" si="2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0"/>
        <v>21.326000000000022</v>
      </c>
      <c r="C50">
        <f t="shared" si="10"/>
        <v>42.134000000000015</v>
      </c>
      <c r="D50">
        <f t="shared" si="2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0"/>
        <v>20.807999999999993</v>
      </c>
      <c r="C51">
        <f t="shared" si="10"/>
        <v>42.137000000000057</v>
      </c>
      <c r="D51">
        <f t="shared" si="2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0"/>
        <v>21.329000000000065</v>
      </c>
      <c r="C52">
        <f t="shared" si="10"/>
        <v>42.133999999999901</v>
      </c>
      <c r="D52">
        <f t="shared" si="2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0"/>
        <v>20.804999999999836</v>
      </c>
      <c r="C53">
        <f t="shared" si="10"/>
        <v>42.135999999999967</v>
      </c>
      <c r="D53">
        <f t="shared" si="2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0"/>
        <v>21.331000000000131</v>
      </c>
      <c r="C54">
        <f t="shared" si="10"/>
        <v>42.133000000000038</v>
      </c>
      <c r="D54">
        <f t="shared" si="2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0"/>
        <v>20.801999999999907</v>
      </c>
      <c r="C55">
        <f t="shared" si="10"/>
        <v>42.136999999999944</v>
      </c>
      <c r="D55">
        <f t="shared" si="2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0"/>
        <v>21.335000000000036</v>
      </c>
      <c r="C56">
        <f t="shared" si="10"/>
        <v>42.134000000000015</v>
      </c>
      <c r="D56">
        <f t="shared" si="2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0"/>
        <v>20.798999999999978</v>
      </c>
      <c r="C57">
        <f t="shared" si="10"/>
        <v>42.135999999999967</v>
      </c>
      <c r="D57">
        <f t="shared" si="2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0"/>
        <v>21.336999999999989</v>
      </c>
      <c r="C58">
        <f t="shared" si="10"/>
        <v>42.134000000000015</v>
      </c>
      <c r="D58">
        <f t="shared" si="2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0"/>
        <v>20.797000000000025</v>
      </c>
      <c r="C59">
        <f t="shared" si="10"/>
        <v>42.137000000000171</v>
      </c>
      <c r="D59">
        <f t="shared" si="2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0"/>
        <v>21.340000000000146</v>
      </c>
      <c r="C60">
        <f t="shared" si="10"/>
        <v>42.133000000000038</v>
      </c>
      <c r="D60">
        <f t="shared" si="2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0"/>
        <v>20.792999999999893</v>
      </c>
      <c r="C61">
        <f t="shared" si="10"/>
        <v>42.136999999999944</v>
      </c>
      <c r="D61">
        <f t="shared" si="2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0"/>
        <v>21.344000000000051</v>
      </c>
      <c r="C62">
        <f t="shared" si="10"/>
        <v>42.134000000000015</v>
      </c>
      <c r="D62">
        <f t="shared" si="2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0"/>
        <v>20.789999999999964</v>
      </c>
      <c r="C63">
        <f t="shared" si="10"/>
        <v>42.135999999999967</v>
      </c>
      <c r="D63">
        <f t="shared" si="2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0"/>
        <v>21.346000000000004</v>
      </c>
      <c r="C64">
        <f t="shared" si="10"/>
        <v>42.133000000000038</v>
      </c>
      <c r="D64">
        <f t="shared" si="2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0"/>
        <v>20.787000000000035</v>
      </c>
      <c r="C65">
        <f t="shared" si="10"/>
        <v>42.136999999999944</v>
      </c>
      <c r="D65">
        <f t="shared" si="2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0"/>
        <v>21.349999999999909</v>
      </c>
      <c r="C66">
        <f t="shared" si="10"/>
        <v>42.134000000000015</v>
      </c>
      <c r="D66">
        <f t="shared" si="2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0"/>
        <v>20.784000000000106</v>
      </c>
      <c r="C67">
        <f t="shared" si="10"/>
        <v>42.136999999999944</v>
      </c>
      <c r="D67">
        <f t="shared" si="2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0"/>
        <v>21.352999999999838</v>
      </c>
      <c r="C68">
        <f t="shared" si="10"/>
        <v>42.133000000000038</v>
      </c>
      <c r="D68">
        <f t="shared" si="2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0"/>
        <v>20.7800000000002</v>
      </c>
      <c r="C69">
        <f t="shared" ref="C69:C88" si="13">A71-A69</f>
        <v>42.136000000000195</v>
      </c>
      <c r="D69">
        <f t="shared" si="2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Q89"/>
  <sheetViews>
    <sheetView workbookViewId="0">
      <selection activeCell="K5" sqref="K5"/>
    </sheetView>
  </sheetViews>
  <sheetFormatPr defaultColWidth="8.81640625" defaultRowHeight="14.5" x14ac:dyDescent="0.35"/>
  <cols>
    <col min="7" max="7" width="11.81640625" bestFit="1" customWidth="1"/>
    <col min="13" max="13" width="12.179687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9.7047544244333039E-4</v>
      </c>
    </row>
    <row r="3" spans="1:15" x14ac:dyDescent="0.35">
      <c r="A3" s="1" t="s">
        <v>25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F4" t="s">
        <v>50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20.341000000000001</v>
      </c>
      <c r="B5">
        <f>A6-A5</f>
        <v>21.445</v>
      </c>
      <c r="C5">
        <f>A7-A5</f>
        <v>42.186</v>
      </c>
      <c r="D5">
        <f>C5/21</f>
        <v>2.0088571428571429</v>
      </c>
      <c r="E5">
        <f>1/A5</f>
        <v>4.9161791455680642E-2</v>
      </c>
      <c r="F5">
        <f t="shared" ref="F5:F36" si="0">SQRT(((1/(A5^2))*$A$1)^2)</f>
        <v>2.4168817391318339E-6</v>
      </c>
      <c r="G5">
        <f>SQRT($D$1^2+($G$1*F5))*1.883544242</f>
        <v>1.5623964595128136E-4</v>
      </c>
      <c r="H5">
        <f>1/G5</f>
        <v>6400.4241299408723</v>
      </c>
      <c r="I5">
        <f>E5/G5</f>
        <v>314.65631630405943</v>
      </c>
      <c r="J5">
        <f>D5/G5</f>
        <v>12857.537730746937</v>
      </c>
      <c r="K5">
        <f>(D5-$M$14-$M$15*E5)^2/G5^2</f>
        <v>0.27042843152438856</v>
      </c>
      <c r="L5" t="s">
        <v>37</v>
      </c>
      <c r="M5" cm="1">
        <f t="array" ref="M5:N6">MMULT(TRANSPOSE(H5:I87),H5:I87)</f>
        <v>5119360922.4688416</v>
      </c>
      <c r="N5">
        <v>13582772.783023324</v>
      </c>
    </row>
    <row r="6" spans="1:15" x14ac:dyDescent="0.35">
      <c r="A6">
        <v>41.786000000000001</v>
      </c>
      <c r="B6">
        <f t="shared" ref="B6:B69" si="1">A7-A6</f>
        <v>20.741</v>
      </c>
      <c r="C6">
        <f t="shared" ref="C6:C36" si="2">A8-A6</f>
        <v>42.188999999999993</v>
      </c>
      <c r="D6">
        <f t="shared" ref="D6:D69" si="3">C6/21</f>
        <v>2.0089999999999995</v>
      </c>
      <c r="E6">
        <f t="shared" ref="E6:E36" si="4">1/A6</f>
        <v>2.3931460297707364E-2</v>
      </c>
      <c r="F6">
        <f t="shared" si="0"/>
        <v>5.7271479198074389E-7</v>
      </c>
      <c r="G6">
        <f t="shared" ref="G6:G69" si="5">SQRT($D$1^2+($G$1*F6))*1.883544242</f>
        <v>1.3439260460935902E-4</v>
      </c>
      <c r="H6">
        <f t="shared" ref="H6:H69" si="6">1/G6</f>
        <v>7440.8856269042099</v>
      </c>
      <c r="I6">
        <f t="shared" ref="I6:I69" si="7">E6/G6</f>
        <v>178.07125896003947</v>
      </c>
      <c r="J6">
        <f t="shared" ref="J6:J69" si="8">D6/G6</f>
        <v>14948.739224450554</v>
      </c>
      <c r="K6">
        <f t="shared" ref="K6:K69" si="9">(D6-$M$14-$M$15*E6)^2/G6^2</f>
        <v>0.4101886819793803</v>
      </c>
      <c r="M6">
        <v>13582772.783023324</v>
      </c>
      <c r="N6">
        <v>183545.45843852809</v>
      </c>
    </row>
    <row r="7" spans="1:15" x14ac:dyDescent="0.35">
      <c r="A7">
        <v>62.527000000000001</v>
      </c>
      <c r="B7">
        <f t="shared" si="1"/>
        <v>21.447999999999993</v>
      </c>
      <c r="C7">
        <f t="shared" si="2"/>
        <v>42.185000000000002</v>
      </c>
      <c r="D7">
        <f t="shared" si="3"/>
        <v>2.008809523809524</v>
      </c>
      <c r="E7">
        <f t="shared" si="4"/>
        <v>1.5993090984694612E-2</v>
      </c>
      <c r="F7">
        <f t="shared" si="0"/>
        <v>2.5577895924472006E-7</v>
      </c>
      <c r="G7">
        <f t="shared" si="5"/>
        <v>1.3026958265407735E-4</v>
      </c>
      <c r="H7">
        <f t="shared" si="6"/>
        <v>7676.3890666283687</v>
      </c>
      <c r="I7">
        <f t="shared" si="7"/>
        <v>122.76918877650246</v>
      </c>
      <c r="J7">
        <f t="shared" si="8"/>
        <v>15420.40346551037</v>
      </c>
      <c r="K7">
        <f t="shared" si="9"/>
        <v>0.55108361402865835</v>
      </c>
    </row>
    <row r="8" spans="1:15" x14ac:dyDescent="0.35">
      <c r="A8">
        <v>83.974999999999994</v>
      </c>
      <c r="B8">
        <f t="shared" si="1"/>
        <v>20.737000000000009</v>
      </c>
      <c r="C8">
        <f t="shared" si="2"/>
        <v>42.189000000000007</v>
      </c>
      <c r="D8">
        <f t="shared" si="3"/>
        <v>2.0090000000000003</v>
      </c>
      <c r="E8">
        <f t="shared" si="4"/>
        <v>1.1908306043465319E-2</v>
      </c>
      <c r="F8">
        <f t="shared" si="0"/>
        <v>1.4180775282483263E-7</v>
      </c>
      <c r="G8">
        <f t="shared" si="5"/>
        <v>1.2875465833565004E-4</v>
      </c>
      <c r="H8">
        <f t="shared" si="6"/>
        <v>7766.7092820292664</v>
      </c>
      <c r="I8">
        <f t="shared" si="7"/>
        <v>92.48835108102729</v>
      </c>
      <c r="J8">
        <f t="shared" si="8"/>
        <v>15603.318947596799</v>
      </c>
      <c r="K8">
        <f t="shared" si="9"/>
        <v>0.57615901907930278</v>
      </c>
      <c r="L8" t="s">
        <v>38</v>
      </c>
      <c r="M8" cm="1">
        <f t="array" ref="M8:M9">MMULT(TRANSPOSE(H5:I87),J5:J87)</f>
        <v>10284249828.370512</v>
      </c>
    </row>
    <row r="9" spans="1:15" x14ac:dyDescent="0.35">
      <c r="A9">
        <v>104.712</v>
      </c>
      <c r="B9">
        <f t="shared" si="1"/>
        <v>21.451999999999998</v>
      </c>
      <c r="C9">
        <f t="shared" si="2"/>
        <v>42.185999999999993</v>
      </c>
      <c r="D9">
        <f t="shared" si="3"/>
        <v>2.0088571428571425</v>
      </c>
      <c r="E9">
        <f t="shared" si="4"/>
        <v>9.5500038200015281E-3</v>
      </c>
      <c r="F9">
        <f t="shared" si="0"/>
        <v>9.1202572962043778E-8</v>
      </c>
      <c r="G9">
        <f t="shared" si="5"/>
        <v>1.2807626141603351E-4</v>
      </c>
      <c r="H9">
        <f t="shared" si="6"/>
        <v>7807.8481440965361</v>
      </c>
      <c r="I9">
        <f t="shared" si="7"/>
        <v>74.564979602113752</v>
      </c>
      <c r="J9">
        <f t="shared" si="8"/>
        <v>15684.851514612208</v>
      </c>
      <c r="K9">
        <f t="shared" si="9"/>
        <v>0.11187710522091535</v>
      </c>
      <c r="M9">
        <v>27286484.193917397</v>
      </c>
    </row>
    <row r="10" spans="1:15" x14ac:dyDescent="0.35">
      <c r="A10">
        <v>126.164</v>
      </c>
      <c r="B10">
        <f t="shared" si="1"/>
        <v>20.733999999999995</v>
      </c>
      <c r="C10">
        <f t="shared" si="2"/>
        <v>42.189000000000007</v>
      </c>
      <c r="D10">
        <f t="shared" si="3"/>
        <v>2.0090000000000003</v>
      </c>
      <c r="E10">
        <f t="shared" si="4"/>
        <v>7.9261913065533755E-3</v>
      </c>
      <c r="F10">
        <f t="shared" si="0"/>
        <v>6.2824508628082299E-8</v>
      </c>
      <c r="G10">
        <f t="shared" si="5"/>
        <v>1.2769425690903609E-4</v>
      </c>
      <c r="H10">
        <f t="shared" si="6"/>
        <v>7831.2057582382668</v>
      </c>
      <c r="I10">
        <f t="shared" si="7"/>
        <v>62.071635000778883</v>
      </c>
      <c r="J10">
        <f t="shared" si="8"/>
        <v>15732.89236830068</v>
      </c>
      <c r="K10">
        <f t="shared" si="9"/>
        <v>0.63296867201869</v>
      </c>
    </row>
    <row r="11" spans="1:15" x14ac:dyDescent="0.35">
      <c r="A11">
        <v>146.898</v>
      </c>
      <c r="B11">
        <f t="shared" si="1"/>
        <v>21.455000000000013</v>
      </c>
      <c r="C11">
        <f t="shared" si="2"/>
        <v>42.185000000000002</v>
      </c>
      <c r="D11">
        <f t="shared" si="3"/>
        <v>2.008809523809524</v>
      </c>
      <c r="E11">
        <f t="shared" si="4"/>
        <v>6.8074446214380045E-3</v>
      </c>
      <c r="F11">
        <f t="shared" si="0"/>
        <v>4.634130227394522E-8</v>
      </c>
      <c r="G11">
        <f t="shared" si="5"/>
        <v>1.2747184659908734E-4</v>
      </c>
      <c r="H11">
        <f t="shared" si="6"/>
        <v>7844.8694882808713</v>
      </c>
      <c r="I11">
        <f t="shared" si="7"/>
        <v>53.403514603880723</v>
      </c>
      <c r="J11">
        <f t="shared" si="8"/>
        <v>15758.848541101361</v>
      </c>
      <c r="K11">
        <f t="shared" si="9"/>
        <v>0.47440315902255947</v>
      </c>
      <c r="L11" t="s">
        <v>39</v>
      </c>
      <c r="M11">
        <f t="array" ref="M11:N12">MINVERSE(M5:N6)</f>
        <v>2.4306029556417591E-10</v>
      </c>
      <c r="N11">
        <v>-1.7987003303208336E-8</v>
      </c>
    </row>
    <row r="12" spans="1:15" x14ac:dyDescent="0.35">
      <c r="A12">
        <v>168.35300000000001</v>
      </c>
      <c r="B12">
        <f t="shared" si="1"/>
        <v>20.72999999999999</v>
      </c>
      <c r="C12">
        <f t="shared" si="2"/>
        <v>42.188999999999993</v>
      </c>
      <c r="D12">
        <f t="shared" si="3"/>
        <v>2.0089999999999995</v>
      </c>
      <c r="E12">
        <f t="shared" si="4"/>
        <v>5.9399000908804712E-3</v>
      </c>
      <c r="F12">
        <f t="shared" si="0"/>
        <v>3.5282413089641828E-8</v>
      </c>
      <c r="G12">
        <f t="shared" si="5"/>
        <v>1.273224096218509E-4</v>
      </c>
      <c r="H12">
        <f t="shared" si="6"/>
        <v>7854.0769293481972</v>
      </c>
      <c r="I12">
        <f t="shared" si="7"/>
        <v>46.65243226641757</v>
      </c>
      <c r="J12">
        <f t="shared" si="8"/>
        <v>15778.840551060523</v>
      </c>
      <c r="K12">
        <f t="shared" si="9"/>
        <v>0.66104048730764908</v>
      </c>
      <c r="M12">
        <v>-1.7987003303208336E-8</v>
      </c>
      <c r="N12">
        <v>6.7793198998258325E-6</v>
      </c>
    </row>
    <row r="13" spans="1:15" x14ac:dyDescent="0.35">
      <c r="A13">
        <v>189.083</v>
      </c>
      <c r="B13">
        <f t="shared" si="1"/>
        <v>21.459000000000003</v>
      </c>
      <c r="C13">
        <f t="shared" si="2"/>
        <v>42.185000000000002</v>
      </c>
      <c r="D13">
        <f t="shared" si="3"/>
        <v>2.008809523809524</v>
      </c>
      <c r="E13">
        <f t="shared" si="4"/>
        <v>5.2886827477880089E-3</v>
      </c>
      <c r="F13">
        <f t="shared" si="0"/>
        <v>2.797016520675052E-8</v>
      </c>
      <c r="G13">
        <f t="shared" si="5"/>
        <v>1.2722350400007538E-4</v>
      </c>
      <c r="H13">
        <f t="shared" si="6"/>
        <v>7860.1828165289917</v>
      </c>
      <c r="I13">
        <f t="shared" si="7"/>
        <v>41.570013256236642</v>
      </c>
      <c r="J13">
        <f t="shared" si="8"/>
        <v>15789.610100727408</v>
      </c>
      <c r="K13">
        <f t="shared" si="9"/>
        <v>0.46041417661763256</v>
      </c>
    </row>
    <row r="14" spans="1:15" x14ac:dyDescent="0.35">
      <c r="A14">
        <v>210.542</v>
      </c>
      <c r="B14">
        <f t="shared" si="1"/>
        <v>20.725999999999999</v>
      </c>
      <c r="C14">
        <f t="shared" si="2"/>
        <v>42.19</v>
      </c>
      <c r="D14">
        <f t="shared" si="3"/>
        <v>2.0090476190476187</v>
      </c>
      <c r="E14">
        <f t="shared" si="4"/>
        <v>4.7496461513617232E-3</v>
      </c>
      <c r="F14">
        <f t="shared" si="0"/>
        <v>2.2559138563145234E-8</v>
      </c>
      <c r="G14">
        <f t="shared" si="5"/>
        <v>1.2715026480723387E-4</v>
      </c>
      <c r="H14">
        <f t="shared" si="6"/>
        <v>7864.7103214141925</v>
      </c>
      <c r="I14">
        <f t="shared" si="7"/>
        <v>37.354591109679745</v>
      </c>
      <c r="J14">
        <f t="shared" si="8"/>
        <v>15800.577545736416</v>
      </c>
      <c r="K14">
        <f t="shared" si="9"/>
        <v>1.4345612419796909</v>
      </c>
      <c r="L14" t="s">
        <v>40</v>
      </c>
      <c r="M14">
        <f t="array" ref="M14:M15">MMULT(M11:N12,M8:M9)</f>
        <v>2.0088907216106278</v>
      </c>
      <c r="N14">
        <f>SQRT(M11)</f>
        <v>1.5590391129287807E-5</v>
      </c>
      <c r="O14" t="s">
        <v>42</v>
      </c>
    </row>
    <row r="15" spans="1:15" x14ac:dyDescent="0.35">
      <c r="A15">
        <v>231.268</v>
      </c>
      <c r="B15">
        <f t="shared" si="1"/>
        <v>21.463999999999999</v>
      </c>
      <c r="C15">
        <f t="shared" si="2"/>
        <v>42.186000000000007</v>
      </c>
      <c r="D15">
        <f t="shared" si="3"/>
        <v>2.0088571428571433</v>
      </c>
      <c r="E15">
        <f t="shared" si="4"/>
        <v>4.3239877544666797E-3</v>
      </c>
      <c r="F15">
        <f t="shared" si="0"/>
        <v>1.8696870100777796E-8</v>
      </c>
      <c r="G15">
        <f t="shared" si="5"/>
        <v>1.2709796251465872E-4</v>
      </c>
      <c r="H15">
        <f t="shared" si="6"/>
        <v>7867.9467413544571</v>
      </c>
      <c r="I15">
        <f t="shared" si="7"/>
        <v>34.020905362412691</v>
      </c>
      <c r="J15">
        <f t="shared" si="8"/>
        <v>15805.581010989486</v>
      </c>
      <c r="K15">
        <f t="shared" si="9"/>
        <v>8.8318623161275284E-2</v>
      </c>
      <c r="M15">
        <v>9.6965818710259555E-4</v>
      </c>
      <c r="O15" t="s">
        <v>43</v>
      </c>
    </row>
    <row r="16" spans="1:15" x14ac:dyDescent="0.35">
      <c r="A16">
        <v>252.732</v>
      </c>
      <c r="B16">
        <f t="shared" si="1"/>
        <v>20.722000000000008</v>
      </c>
      <c r="C16">
        <f t="shared" si="2"/>
        <v>42.188999999999993</v>
      </c>
      <c r="D16">
        <f t="shared" si="3"/>
        <v>2.0089999999999995</v>
      </c>
      <c r="E16">
        <f t="shared" si="4"/>
        <v>3.9567605210262258E-3</v>
      </c>
      <c r="F16">
        <f t="shared" si="0"/>
        <v>1.5655953820751725E-8</v>
      </c>
      <c r="G16">
        <f t="shared" si="5"/>
        <v>1.2705676770806895E-4</v>
      </c>
      <c r="H16">
        <f t="shared" si="6"/>
        <v>7870.4977156167133</v>
      </c>
      <c r="I16">
        <f t="shared" si="7"/>
        <v>31.141674641979304</v>
      </c>
      <c r="J16">
        <f t="shared" si="8"/>
        <v>15811.829910673972</v>
      </c>
      <c r="K16">
        <f t="shared" si="9"/>
        <v>0.68869838142551676</v>
      </c>
    </row>
    <row r="17" spans="1:17" x14ac:dyDescent="0.35">
      <c r="A17">
        <v>273.45400000000001</v>
      </c>
      <c r="B17">
        <f t="shared" si="1"/>
        <v>21.466999999999985</v>
      </c>
      <c r="C17">
        <f t="shared" si="2"/>
        <v>42.185000000000002</v>
      </c>
      <c r="D17">
        <f t="shared" si="3"/>
        <v>2.008809523809524</v>
      </c>
      <c r="E17">
        <f t="shared" si="4"/>
        <v>3.6569221880096833E-3</v>
      </c>
      <c r="F17">
        <f t="shared" si="0"/>
        <v>1.3373079889157531E-8</v>
      </c>
      <c r="G17">
        <f t="shared" si="5"/>
        <v>1.270258332007214E-4</v>
      </c>
      <c r="H17">
        <f t="shared" si="6"/>
        <v>7872.4144121128338</v>
      </c>
      <c r="I17">
        <f t="shared" si="7"/>
        <v>28.788806936862628</v>
      </c>
      <c r="J17">
        <f t="shared" si="8"/>
        <v>15814.181046427615</v>
      </c>
      <c r="K17">
        <f t="shared" si="9"/>
        <v>0.44507316706226102</v>
      </c>
      <c r="L17" t="s">
        <v>41</v>
      </c>
      <c r="M17">
        <f>+SUM(K5:K88)/(COUNT(K5:K88)-2)</f>
        <v>1.0000000000638127</v>
      </c>
    </row>
    <row r="18" spans="1:17" x14ac:dyDescent="0.35">
      <c r="A18">
        <v>294.92099999999999</v>
      </c>
      <c r="B18">
        <f t="shared" si="1"/>
        <v>20.718000000000018</v>
      </c>
      <c r="C18">
        <f t="shared" si="2"/>
        <v>42.189000000000021</v>
      </c>
      <c r="D18">
        <f t="shared" si="3"/>
        <v>2.0090000000000012</v>
      </c>
      <c r="E18">
        <f t="shared" si="4"/>
        <v>3.3907385367606918E-3</v>
      </c>
      <c r="F18">
        <f t="shared" si="0"/>
        <v>1.1497107824674038E-8</v>
      </c>
      <c r="G18">
        <f t="shared" si="5"/>
        <v>1.2700040685262499E-4</v>
      </c>
      <c r="H18">
        <f t="shared" si="6"/>
        <v>7873.9905231991061</v>
      </c>
      <c r="I18">
        <f t="shared" si="7"/>
        <v>26.698643105099691</v>
      </c>
      <c r="J18">
        <f t="shared" si="8"/>
        <v>15818.846961107014</v>
      </c>
      <c r="K18">
        <f t="shared" si="9"/>
        <v>0.6965044884646181</v>
      </c>
      <c r="P18" t="s">
        <v>72</v>
      </c>
      <c r="Q18">
        <f>SQRT(M17)</f>
        <v>1.0000000000319063</v>
      </c>
    </row>
    <row r="19" spans="1:17" x14ac:dyDescent="0.35">
      <c r="A19">
        <v>315.63900000000001</v>
      </c>
      <c r="B19">
        <f t="shared" si="1"/>
        <v>21.471000000000004</v>
      </c>
      <c r="C19">
        <f t="shared" si="2"/>
        <v>42.185000000000002</v>
      </c>
      <c r="D19">
        <f t="shared" si="3"/>
        <v>2.008809523809524</v>
      </c>
      <c r="E19">
        <f t="shared" si="4"/>
        <v>3.1681763026748912E-3</v>
      </c>
      <c r="F19">
        <f t="shared" si="0"/>
        <v>1.0037341084830745E-8</v>
      </c>
      <c r="G19">
        <f t="shared" si="5"/>
        <v>1.2698061810115059E-4</v>
      </c>
      <c r="H19">
        <f t="shared" si="6"/>
        <v>7875.2176115839748</v>
      </c>
      <c r="I19">
        <f t="shared" si="7"/>
        <v>24.950077815428305</v>
      </c>
      <c r="J19">
        <f t="shared" si="8"/>
        <v>15819.812140222382</v>
      </c>
      <c r="K19">
        <f t="shared" si="9"/>
        <v>0.44042256302249894</v>
      </c>
    </row>
    <row r="20" spans="1:17" x14ac:dyDescent="0.35">
      <c r="A20">
        <v>337.11</v>
      </c>
      <c r="B20">
        <f t="shared" si="1"/>
        <v>20.713999999999999</v>
      </c>
      <c r="C20">
        <f t="shared" si="2"/>
        <v>42.188999999999965</v>
      </c>
      <c r="D20">
        <f t="shared" si="3"/>
        <v>2.0089999999999981</v>
      </c>
      <c r="E20">
        <f t="shared" si="4"/>
        <v>2.9663907923229804E-3</v>
      </c>
      <c r="F20">
        <f t="shared" si="0"/>
        <v>8.799474332778561E-9</v>
      </c>
      <c r="G20">
        <f t="shared" si="5"/>
        <v>1.2696383503258557E-4</v>
      </c>
      <c r="H20">
        <f t="shared" si="6"/>
        <v>7876.2586191835462</v>
      </c>
      <c r="I20">
        <f t="shared" si="7"/>
        <v>23.364061045900584</v>
      </c>
      <c r="J20">
        <f t="shared" si="8"/>
        <v>15823.40356593973</v>
      </c>
      <c r="K20">
        <f t="shared" si="9"/>
        <v>0.70232730485203476</v>
      </c>
    </row>
    <row r="21" spans="1:17" x14ac:dyDescent="0.35">
      <c r="A21">
        <v>357.82400000000001</v>
      </c>
      <c r="B21">
        <f t="shared" si="1"/>
        <v>21.474999999999966</v>
      </c>
      <c r="C21">
        <f t="shared" si="2"/>
        <v>42.185000000000002</v>
      </c>
      <c r="D21">
        <f t="shared" si="3"/>
        <v>2.008809523809524</v>
      </c>
      <c r="E21">
        <f t="shared" si="4"/>
        <v>2.7946700053657664E-3</v>
      </c>
      <c r="F21">
        <f t="shared" si="0"/>
        <v>7.8101804388910923E-9</v>
      </c>
      <c r="G21">
        <f t="shared" si="5"/>
        <v>1.2695042053394455E-4</v>
      </c>
      <c r="H21">
        <f t="shared" si="6"/>
        <v>7877.0908815746352</v>
      </c>
      <c r="I21">
        <f t="shared" si="7"/>
        <v>22.013869616276818</v>
      </c>
      <c r="J21">
        <f t="shared" si="8"/>
        <v>15823.575182820288</v>
      </c>
      <c r="K21">
        <f t="shared" si="9"/>
        <v>0.43685277104622233</v>
      </c>
    </row>
    <row r="22" spans="1:17" x14ac:dyDescent="0.35">
      <c r="A22">
        <v>379.29899999999998</v>
      </c>
      <c r="B22">
        <f t="shared" si="1"/>
        <v>20.710000000000036</v>
      </c>
      <c r="C22">
        <f t="shared" si="2"/>
        <v>42.19</v>
      </c>
      <c r="D22">
        <f t="shared" si="3"/>
        <v>2.0090476190476187</v>
      </c>
      <c r="E22">
        <f t="shared" si="4"/>
        <v>2.6364424899617453E-3</v>
      </c>
      <c r="F22">
        <f t="shared" si="0"/>
        <v>6.9508290028756865E-9</v>
      </c>
      <c r="G22">
        <f t="shared" si="5"/>
        <v>1.269387668616079E-4</v>
      </c>
      <c r="H22">
        <f t="shared" si="6"/>
        <v>7877.8140415545959</v>
      </c>
      <c r="I22">
        <f t="shared" si="7"/>
        <v>20.769403667171801</v>
      </c>
      <c r="J22">
        <f t="shared" si="8"/>
        <v>15826.903543485159</v>
      </c>
      <c r="K22">
        <f t="shared" si="9"/>
        <v>1.4783389082891314</v>
      </c>
    </row>
    <row r="23" spans="1:17" x14ac:dyDescent="0.35">
      <c r="A23">
        <v>400.00900000000001</v>
      </c>
      <c r="B23">
        <f t="shared" si="1"/>
        <v>21.479999999999961</v>
      </c>
      <c r="C23">
        <f t="shared" si="2"/>
        <v>42.185000000000002</v>
      </c>
      <c r="D23">
        <f t="shared" si="3"/>
        <v>2.008809523809524</v>
      </c>
      <c r="E23">
        <f t="shared" si="4"/>
        <v>2.4999437512655963E-3</v>
      </c>
      <c r="F23">
        <f t="shared" si="0"/>
        <v>6.2497187594919019E-9</v>
      </c>
      <c r="G23">
        <f t="shared" si="5"/>
        <v>1.2692925830690884E-4</v>
      </c>
      <c r="H23">
        <f t="shared" si="6"/>
        <v>7878.4041862282702</v>
      </c>
      <c r="I23">
        <f t="shared" si="7"/>
        <v>19.695567315306079</v>
      </c>
      <c r="J23">
        <f t="shared" si="8"/>
        <v>15826.213361716171</v>
      </c>
      <c r="K23">
        <f t="shared" si="9"/>
        <v>0.43402674787271728</v>
      </c>
    </row>
    <row r="24" spans="1:17" x14ac:dyDescent="0.35">
      <c r="A24">
        <v>421.48899999999998</v>
      </c>
      <c r="B24">
        <f t="shared" si="1"/>
        <v>20.705000000000041</v>
      </c>
      <c r="C24">
        <f t="shared" si="2"/>
        <v>42.189000000000021</v>
      </c>
      <c r="D24">
        <f t="shared" si="3"/>
        <v>2.0090000000000012</v>
      </c>
      <c r="E24">
        <f t="shared" si="4"/>
        <v>2.3725411576577325E-3</v>
      </c>
      <c r="F24">
        <f t="shared" si="0"/>
        <v>5.6289515447798937E-9</v>
      </c>
      <c r="G24">
        <f t="shared" si="5"/>
        <v>1.2692083878096223E-4</v>
      </c>
      <c r="H24">
        <f t="shared" si="6"/>
        <v>7878.9268145775695</v>
      </c>
      <c r="I24">
        <f t="shared" si="7"/>
        <v>18.693078145758417</v>
      </c>
      <c r="J24">
        <f t="shared" si="8"/>
        <v>15828.763970486347</v>
      </c>
      <c r="K24">
        <f t="shared" si="9"/>
        <v>0.71043074049449395</v>
      </c>
    </row>
    <row r="25" spans="1:17" x14ac:dyDescent="0.35">
      <c r="A25">
        <v>442.19400000000002</v>
      </c>
      <c r="B25">
        <f t="shared" si="1"/>
        <v>21.48399999999998</v>
      </c>
      <c r="C25">
        <f t="shared" si="2"/>
        <v>42.185000000000002</v>
      </c>
      <c r="D25">
        <f t="shared" si="3"/>
        <v>2.008809523809524</v>
      </c>
      <c r="E25">
        <f t="shared" si="4"/>
        <v>2.2614508564114391E-3</v>
      </c>
      <c r="F25">
        <f t="shared" si="0"/>
        <v>5.1141599759640323E-9</v>
      </c>
      <c r="G25">
        <f t="shared" si="5"/>
        <v>1.2691385618931813E-4</v>
      </c>
      <c r="H25">
        <f t="shared" si="6"/>
        <v>7879.3603001731681</v>
      </c>
      <c r="I25">
        <f t="shared" si="7"/>
        <v>17.818786098800906</v>
      </c>
      <c r="J25">
        <f t="shared" si="8"/>
        <v>15828.134012514531</v>
      </c>
      <c r="K25">
        <f t="shared" si="9"/>
        <v>0.43173423327314314</v>
      </c>
    </row>
    <row r="26" spans="1:17" x14ac:dyDescent="0.35">
      <c r="A26">
        <v>463.678</v>
      </c>
      <c r="B26">
        <f t="shared" si="1"/>
        <v>20.701000000000022</v>
      </c>
      <c r="C26">
        <f t="shared" si="2"/>
        <v>42.189000000000021</v>
      </c>
      <c r="D26">
        <f t="shared" si="3"/>
        <v>2.0090000000000012</v>
      </c>
      <c r="E26">
        <f t="shared" si="4"/>
        <v>2.1566690677582287E-3</v>
      </c>
      <c r="F26">
        <f t="shared" si="0"/>
        <v>4.6512214678251467E-9</v>
      </c>
      <c r="G26">
        <f t="shared" si="5"/>
        <v>1.2690757660034798E-4</v>
      </c>
      <c r="H26">
        <f t="shared" si="6"/>
        <v>7879.7501834674385</v>
      </c>
      <c r="I26">
        <f t="shared" si="7"/>
        <v>16.994013482346453</v>
      </c>
      <c r="J26">
        <f t="shared" si="8"/>
        <v>15830.418118586094</v>
      </c>
      <c r="K26">
        <f t="shared" si="9"/>
        <v>0.71336271489729741</v>
      </c>
    </row>
    <row r="27" spans="1:17" x14ac:dyDescent="0.35">
      <c r="A27">
        <v>484.37900000000002</v>
      </c>
      <c r="B27">
        <f t="shared" si="1"/>
        <v>21.488</v>
      </c>
      <c r="C27">
        <f t="shared" si="2"/>
        <v>42.184999999999945</v>
      </c>
      <c r="D27">
        <f t="shared" si="3"/>
        <v>2.0088095238095214</v>
      </c>
      <c r="E27">
        <f t="shared" si="4"/>
        <v>2.0644990802656596E-3</v>
      </c>
      <c r="F27">
        <f t="shared" si="0"/>
        <v>4.2621564524177544E-9</v>
      </c>
      <c r="G27">
        <f t="shared" si="5"/>
        <v>1.2690229883756244E-4</v>
      </c>
      <c r="H27">
        <f t="shared" si="6"/>
        <v>7880.0778958308756</v>
      </c>
      <c r="I27">
        <f t="shared" si="7"/>
        <v>16.268413568364597</v>
      </c>
      <c r="J27">
        <f t="shared" si="8"/>
        <v>15829.575525505956</v>
      </c>
      <c r="K27">
        <f t="shared" si="9"/>
        <v>0.4298373196557001</v>
      </c>
    </row>
    <row r="28" spans="1:17" x14ac:dyDescent="0.35">
      <c r="A28">
        <v>505.86700000000002</v>
      </c>
      <c r="B28">
        <f t="shared" si="1"/>
        <v>20.696999999999946</v>
      </c>
      <c r="C28">
        <f t="shared" si="2"/>
        <v>42.189000000000021</v>
      </c>
      <c r="D28">
        <f t="shared" si="3"/>
        <v>2.0090000000000012</v>
      </c>
      <c r="E28">
        <f t="shared" si="4"/>
        <v>1.9768041797547575E-3</v>
      </c>
      <c r="F28">
        <f t="shared" si="0"/>
        <v>3.9077547650958805E-9</v>
      </c>
      <c r="G28">
        <f t="shared" si="5"/>
        <v>1.2689749110031984E-4</v>
      </c>
      <c r="H28">
        <f t="shared" si="6"/>
        <v>7880.3764466032026</v>
      </c>
      <c r="I28">
        <f t="shared" si="7"/>
        <v>15.577961097686154</v>
      </c>
      <c r="J28">
        <f t="shared" si="8"/>
        <v>15831.676281225844</v>
      </c>
      <c r="K28">
        <f t="shared" si="9"/>
        <v>0.7157998380511793</v>
      </c>
    </row>
    <row r="29" spans="1:17" x14ac:dyDescent="0.35">
      <c r="A29">
        <v>526.56399999999996</v>
      </c>
      <c r="B29">
        <f t="shared" si="1"/>
        <v>21.492000000000075</v>
      </c>
      <c r="C29">
        <f t="shared" si="2"/>
        <v>42.185000000000059</v>
      </c>
      <c r="D29">
        <f t="shared" si="3"/>
        <v>2.0088095238095267</v>
      </c>
      <c r="E29">
        <f t="shared" si="4"/>
        <v>1.8991043823732728E-3</v>
      </c>
      <c r="F29">
        <f t="shared" si="0"/>
        <v>3.6065974551493701E-9</v>
      </c>
      <c r="G29">
        <f t="shared" si="5"/>
        <v>1.2689340552171405E-4</v>
      </c>
      <c r="H29">
        <f t="shared" si="6"/>
        <v>7880.6301705637461</v>
      </c>
      <c r="I29">
        <f t="shared" si="7"/>
        <v>14.966139292780642</v>
      </c>
      <c r="J29">
        <f t="shared" si="8"/>
        <v>15830.684940249148</v>
      </c>
      <c r="K29">
        <f t="shared" si="9"/>
        <v>0.42824182137855243</v>
      </c>
    </row>
    <row r="30" spans="1:17" x14ac:dyDescent="0.35">
      <c r="A30">
        <v>548.05600000000004</v>
      </c>
      <c r="B30">
        <f t="shared" si="1"/>
        <v>20.692999999999984</v>
      </c>
      <c r="C30">
        <f t="shared" si="2"/>
        <v>42.188999999999965</v>
      </c>
      <c r="D30">
        <f t="shared" si="3"/>
        <v>2.0089999999999981</v>
      </c>
      <c r="E30">
        <f t="shared" si="4"/>
        <v>1.8246310595997487E-3</v>
      </c>
      <c r="F30">
        <f t="shared" si="0"/>
        <v>3.3292785036561017E-9</v>
      </c>
      <c r="G30">
        <f t="shared" si="5"/>
        <v>1.2688964322415583E-4</v>
      </c>
      <c r="H30">
        <f t="shared" si="6"/>
        <v>7880.8638324678586</v>
      </c>
      <c r="I30">
        <f t="shared" si="7"/>
        <v>14.379668925197166</v>
      </c>
      <c r="J30">
        <f t="shared" si="8"/>
        <v>15832.655439427914</v>
      </c>
      <c r="K30">
        <f t="shared" si="9"/>
        <v>0.71785754432089133</v>
      </c>
    </row>
    <row r="31" spans="1:17" x14ac:dyDescent="0.35">
      <c r="A31">
        <v>568.74900000000002</v>
      </c>
      <c r="B31">
        <f t="shared" si="1"/>
        <v>21.495999999999981</v>
      </c>
      <c r="C31">
        <f t="shared" si="2"/>
        <v>42.183999999999969</v>
      </c>
      <c r="D31">
        <f t="shared" si="3"/>
        <v>2.0087619047619034</v>
      </c>
      <c r="E31">
        <f t="shared" si="4"/>
        <v>1.758244849661274E-3</v>
      </c>
      <c r="F31">
        <f t="shared" si="0"/>
        <v>3.0914249513603961E-9</v>
      </c>
      <c r="G31">
        <f t="shared" si="5"/>
        <v>1.2688641625217988E-4</v>
      </c>
      <c r="H31">
        <f t="shared" si="6"/>
        <v>7881.0642583880226</v>
      </c>
      <c r="I31">
        <f t="shared" si="7"/>
        <v>13.856840642160289</v>
      </c>
      <c r="J31">
        <f t="shared" si="8"/>
        <v>15831.181651230483</v>
      </c>
      <c r="K31">
        <f t="shared" si="9"/>
        <v>1.0581213601459127</v>
      </c>
    </row>
    <row r="32" spans="1:17" x14ac:dyDescent="0.35">
      <c r="A32">
        <v>590.245</v>
      </c>
      <c r="B32">
        <f t="shared" si="1"/>
        <v>20.687999999999988</v>
      </c>
      <c r="C32">
        <f t="shared" si="2"/>
        <v>42.189999999999941</v>
      </c>
      <c r="D32">
        <f t="shared" si="3"/>
        <v>2.0090476190476161</v>
      </c>
      <c r="E32">
        <f t="shared" si="4"/>
        <v>1.6942117256393532E-3</v>
      </c>
      <c r="F32">
        <f t="shared" si="0"/>
        <v>2.8703533712938747E-9</v>
      </c>
      <c r="G32">
        <f t="shared" si="5"/>
        <v>1.2688341688853785E-4</v>
      </c>
      <c r="H32">
        <f t="shared" si="6"/>
        <v>7881.2505567883718</v>
      </c>
      <c r="I32">
        <f t="shared" si="7"/>
        <v>13.35250710601254</v>
      </c>
      <c r="J32">
        <f t="shared" si="8"/>
        <v>15833.807666233377</v>
      </c>
      <c r="K32">
        <f t="shared" si="9"/>
        <v>1.497198537928554</v>
      </c>
    </row>
    <row r="33" spans="1:11" x14ac:dyDescent="0.35">
      <c r="A33">
        <v>610.93299999999999</v>
      </c>
      <c r="B33">
        <f t="shared" si="1"/>
        <v>21.501999999999953</v>
      </c>
      <c r="C33">
        <f t="shared" si="2"/>
        <v>42.185000000000059</v>
      </c>
      <c r="D33">
        <f t="shared" si="3"/>
        <v>2.0088095238095267</v>
      </c>
      <c r="E33">
        <f t="shared" si="4"/>
        <v>1.6368407010261354E-3</v>
      </c>
      <c r="F33">
        <f t="shared" si="0"/>
        <v>2.6792474805357307E-9</v>
      </c>
      <c r="G33">
        <f t="shared" si="5"/>
        <v>1.268808240238561E-4</v>
      </c>
      <c r="H33">
        <f t="shared" si="6"/>
        <v>7881.4116135625054</v>
      </c>
      <c r="I33">
        <f t="shared" si="7"/>
        <v>12.900615310619177</v>
      </c>
      <c r="J33">
        <f t="shared" si="8"/>
        <v>15832.254710387369</v>
      </c>
      <c r="K33">
        <f t="shared" si="9"/>
        <v>0.42570728760962367</v>
      </c>
    </row>
    <row r="34" spans="1:11" x14ac:dyDescent="0.35">
      <c r="A34">
        <v>632.43499999999995</v>
      </c>
      <c r="B34">
        <f t="shared" si="1"/>
        <v>20.683000000000106</v>
      </c>
      <c r="C34">
        <f t="shared" si="2"/>
        <v>42.189000000000078</v>
      </c>
      <c r="D34">
        <f t="shared" si="3"/>
        <v>2.0090000000000039</v>
      </c>
      <c r="E34">
        <f t="shared" si="4"/>
        <v>1.5811901618348132E-3</v>
      </c>
      <c r="F34">
        <f t="shared" si="0"/>
        <v>2.5001623278832026E-9</v>
      </c>
      <c r="G34">
        <f t="shared" si="5"/>
        <v>1.2687839420467937E-4</v>
      </c>
      <c r="H34">
        <f t="shared" si="6"/>
        <v>7881.5625486779627</v>
      </c>
      <c r="I34">
        <f t="shared" si="7"/>
        <v>12.462249161855311</v>
      </c>
      <c r="J34">
        <f t="shared" si="8"/>
        <v>15834.059160294059</v>
      </c>
      <c r="K34">
        <f t="shared" si="9"/>
        <v>0.72114121602482439</v>
      </c>
    </row>
    <row r="35" spans="1:11" x14ac:dyDescent="0.35">
      <c r="A35">
        <v>653.11800000000005</v>
      </c>
      <c r="B35">
        <f t="shared" si="1"/>
        <v>21.505999999999972</v>
      </c>
      <c r="C35">
        <f t="shared" si="2"/>
        <v>42.184999999999945</v>
      </c>
      <c r="D35">
        <f t="shared" si="3"/>
        <v>2.0088095238095214</v>
      </c>
      <c r="E35">
        <f t="shared" si="4"/>
        <v>1.5311168885255037E-3</v>
      </c>
      <c r="F35">
        <f t="shared" si="0"/>
        <v>2.3443189263280195E-9</v>
      </c>
      <c r="G35">
        <f t="shared" si="5"/>
        <v>1.2687627969065385E-4</v>
      </c>
      <c r="H35">
        <f t="shared" si="6"/>
        <v>7881.6939024234607</v>
      </c>
      <c r="I35">
        <f t="shared" si="7"/>
        <v>12.067794644189044</v>
      </c>
      <c r="J35">
        <f t="shared" si="8"/>
        <v>15832.821774939679</v>
      </c>
      <c r="K35">
        <f t="shared" si="9"/>
        <v>0.42468401985134901</v>
      </c>
    </row>
    <row r="36" spans="1:11" x14ac:dyDescent="0.35">
      <c r="A36">
        <v>674.62400000000002</v>
      </c>
      <c r="B36">
        <f t="shared" si="1"/>
        <v>20.678999999999974</v>
      </c>
      <c r="C36">
        <f t="shared" si="2"/>
        <v>42.188999999999965</v>
      </c>
      <c r="D36">
        <f t="shared" si="3"/>
        <v>2.0089999999999981</v>
      </c>
      <c r="E36">
        <f t="shared" si="4"/>
        <v>1.4823071814818328E-3</v>
      </c>
      <c r="F36">
        <f t="shared" si="0"/>
        <v>2.1972345802726152E-9</v>
      </c>
      <c r="G36">
        <f t="shared" si="5"/>
        <v>1.2687428398889622E-4</v>
      </c>
      <c r="H36">
        <f t="shared" si="6"/>
        <v>7881.8178795595641</v>
      </c>
      <c r="I36">
        <f t="shared" si="7"/>
        <v>11.683275246003054</v>
      </c>
      <c r="J36">
        <f t="shared" si="8"/>
        <v>15834.572120035151</v>
      </c>
      <c r="K36">
        <f t="shared" si="9"/>
        <v>0.72247208574995858</v>
      </c>
    </row>
    <row r="37" spans="1:11" x14ac:dyDescent="0.35">
      <c r="A37">
        <v>695.303</v>
      </c>
      <c r="B37">
        <f t="shared" si="1"/>
        <v>21.509999999999991</v>
      </c>
      <c r="C37">
        <f t="shared" ref="C37:C68" si="10">A39-A37</f>
        <v>42.185000000000059</v>
      </c>
      <c r="D37">
        <f t="shared" si="3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1.2687253699748856E-4</v>
      </c>
      <c r="H37">
        <f t="shared" si="6"/>
        <v>7881.9264094939235</v>
      </c>
      <c r="I37">
        <f t="shared" si="7"/>
        <v>11.335959156646705</v>
      </c>
      <c r="J37">
        <f t="shared" si="8"/>
        <v>15833.28883735722</v>
      </c>
      <c r="K37">
        <f t="shared" si="9"/>
        <v>0.42378420240839332</v>
      </c>
    </row>
    <row r="38" spans="1:11" x14ac:dyDescent="0.35">
      <c r="A38">
        <v>716.81299999999999</v>
      </c>
      <c r="B38">
        <f t="shared" si="1"/>
        <v>20.675000000000068</v>
      </c>
      <c r="C38">
        <f t="shared" si="10"/>
        <v>42.188999999999965</v>
      </c>
      <c r="D38">
        <f t="shared" si="3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1.2687087782226777E-4</v>
      </c>
      <c r="H38">
        <f t="shared" si="6"/>
        <v>7882.0294867108169</v>
      </c>
      <c r="I38">
        <f t="shared" si="7"/>
        <v>10.995935462541579</v>
      </c>
      <c r="J38">
        <f t="shared" si="8"/>
        <v>15834.997238802016</v>
      </c>
      <c r="K38">
        <f t="shared" si="9"/>
        <v>0.72364487351593543</v>
      </c>
    </row>
    <row r="39" spans="1:11" x14ac:dyDescent="0.35">
      <c r="A39">
        <v>737.48800000000006</v>
      </c>
      <c r="B39">
        <f t="shared" si="1"/>
        <v>21.513999999999896</v>
      </c>
      <c r="C39">
        <f t="shared" si="10"/>
        <v>42.183999999999969</v>
      </c>
      <c r="D39">
        <f t="shared" si="3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1.2686941791618342E-4</v>
      </c>
      <c r="H39">
        <f t="shared" si="6"/>
        <v>7882.1201864475515</v>
      </c>
      <c r="I39">
        <f t="shared" si="7"/>
        <v>10.687794494890154</v>
      </c>
      <c r="J39">
        <f t="shared" si="8"/>
        <v>15833.302759290633</v>
      </c>
      <c r="K39">
        <f t="shared" si="9"/>
        <v>1.0520879607203415</v>
      </c>
    </row>
    <row r="40" spans="1:11" x14ac:dyDescent="0.35">
      <c r="A40">
        <v>759.00199999999995</v>
      </c>
      <c r="B40">
        <f t="shared" si="1"/>
        <v>20.670000000000073</v>
      </c>
      <c r="C40">
        <f t="shared" si="10"/>
        <v>42.190000000000055</v>
      </c>
      <c r="D40">
        <f t="shared" si="3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1.2686802363337798E-4</v>
      </c>
      <c r="H40">
        <f t="shared" si="6"/>
        <v>7882.2068111488097</v>
      </c>
      <c r="I40">
        <f t="shared" si="7"/>
        <v>10.384961846146401</v>
      </c>
      <c r="J40">
        <f t="shared" si="8"/>
        <v>15835.728826779463</v>
      </c>
      <c r="K40">
        <f t="shared" si="9"/>
        <v>1.5046166999426969</v>
      </c>
    </row>
    <row r="41" spans="1:11" x14ac:dyDescent="0.35">
      <c r="A41">
        <v>779.67200000000003</v>
      </c>
      <c r="B41">
        <f t="shared" si="1"/>
        <v>21.519999999999982</v>
      </c>
      <c r="C41">
        <f t="shared" si="10"/>
        <v>42.184999999999945</v>
      </c>
      <c r="D41">
        <f t="shared" si="3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1.2686679128494745E-4</v>
      </c>
      <c r="H41">
        <f t="shared" si="6"/>
        <v>7882.2833766951935</v>
      </c>
      <c r="I41">
        <f t="shared" si="7"/>
        <v>10.109742785036776</v>
      </c>
      <c r="J41">
        <f t="shared" si="8"/>
        <v>15834.005916470778</v>
      </c>
      <c r="K41">
        <f t="shared" si="9"/>
        <v>0.42227522447368709</v>
      </c>
    </row>
    <row r="42" spans="1:11" x14ac:dyDescent="0.35">
      <c r="A42">
        <v>801.19200000000001</v>
      </c>
      <c r="B42">
        <f t="shared" si="1"/>
        <v>20.664999999999964</v>
      </c>
      <c r="C42">
        <f t="shared" si="10"/>
        <v>42.188999999999965</v>
      </c>
      <c r="D42">
        <f t="shared" si="3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1.2686560824348017E-4</v>
      </c>
      <c r="H42">
        <f t="shared" si="6"/>
        <v>7882.3568802098234</v>
      </c>
      <c r="I42">
        <f t="shared" si="7"/>
        <v>9.8382870525539747</v>
      </c>
      <c r="J42">
        <f t="shared" si="8"/>
        <v>15835.654972341519</v>
      </c>
      <c r="K42">
        <f t="shared" si="9"/>
        <v>0.7256168851819651</v>
      </c>
    </row>
    <row r="43" spans="1:11" x14ac:dyDescent="0.35">
      <c r="A43">
        <v>821.85699999999997</v>
      </c>
      <c r="B43">
        <f t="shared" si="1"/>
        <v>21.524000000000001</v>
      </c>
      <c r="C43">
        <f t="shared" si="10"/>
        <v>42.184000000000083</v>
      </c>
      <c r="D43">
        <f t="shared" si="3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1.2686455854296039E-4</v>
      </c>
      <c r="H43">
        <f t="shared" si="6"/>
        <v>7882.4221002697777</v>
      </c>
      <c r="I43">
        <f t="shared" si="7"/>
        <v>9.5909897953899268</v>
      </c>
      <c r="J43">
        <f t="shared" si="8"/>
        <v>15833.909232275284</v>
      </c>
      <c r="K43">
        <f t="shared" si="9"/>
        <v>1.0499870487373588</v>
      </c>
    </row>
    <row r="44" spans="1:11" x14ac:dyDescent="0.35">
      <c r="A44">
        <v>843.38099999999997</v>
      </c>
      <c r="B44">
        <f t="shared" si="1"/>
        <v>20.660000000000082</v>
      </c>
      <c r="C44">
        <f t="shared" si="10"/>
        <v>42.189000000000078</v>
      </c>
      <c r="D44">
        <f t="shared" si="3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1.2686354620206939E-4</v>
      </c>
      <c r="H44">
        <f t="shared" si="6"/>
        <v>7882.4850001212408</v>
      </c>
      <c r="I44">
        <f t="shared" si="7"/>
        <v>9.3462918895745108</v>
      </c>
      <c r="J44">
        <f t="shared" si="8"/>
        <v>15835.912365243603</v>
      </c>
      <c r="K44">
        <f t="shared" si="9"/>
        <v>0.72645374056586798</v>
      </c>
    </row>
    <row r="45" spans="1:11" x14ac:dyDescent="0.35">
      <c r="A45">
        <v>864.04100000000005</v>
      </c>
      <c r="B45">
        <f t="shared" si="1"/>
        <v>21.528999999999996</v>
      </c>
      <c r="C45">
        <f t="shared" si="10"/>
        <v>42.183999999999969</v>
      </c>
      <c r="D45">
        <f t="shared" si="3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1.2686264478502737E-4</v>
      </c>
      <c r="H45">
        <f t="shared" si="6"/>
        <v>7882.5410087778846</v>
      </c>
      <c r="I45">
        <f t="shared" si="7"/>
        <v>9.1228784383818411</v>
      </c>
      <c r="J45">
        <f t="shared" si="8"/>
        <v>15834.148091156478</v>
      </c>
      <c r="K45">
        <f t="shared" si="9"/>
        <v>1.0490884034910892</v>
      </c>
    </row>
    <row r="46" spans="1:11" x14ac:dyDescent="0.35">
      <c r="A46">
        <v>885.57</v>
      </c>
      <c r="B46">
        <f t="shared" si="1"/>
        <v>20.654999999999973</v>
      </c>
      <c r="C46">
        <f t="shared" si="10"/>
        <v>42.188999999999965</v>
      </c>
      <c r="D46">
        <f t="shared" si="3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1.2686177176379919E-4</v>
      </c>
      <c r="H46">
        <f t="shared" si="6"/>
        <v>7882.5952538474348</v>
      </c>
      <c r="I46">
        <f t="shared" si="7"/>
        <v>8.9011543456163089</v>
      </c>
      <c r="J46">
        <f t="shared" si="8"/>
        <v>15836.133864979482</v>
      </c>
      <c r="K46">
        <f t="shared" si="9"/>
        <v>0.72721025362488412</v>
      </c>
    </row>
    <row r="47" spans="1:11" x14ac:dyDescent="0.35">
      <c r="A47">
        <v>906.22500000000002</v>
      </c>
      <c r="B47">
        <f t="shared" si="1"/>
        <v>21.533999999999992</v>
      </c>
      <c r="C47">
        <f t="shared" si="10"/>
        <v>42.183999999999969</v>
      </c>
      <c r="D47">
        <f t="shared" si="3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1.2686099198321309E-4</v>
      </c>
      <c r="H47">
        <f t="shared" si="6"/>
        <v>7882.6437060520957</v>
      </c>
      <c r="I47">
        <f t="shared" si="7"/>
        <v>8.6983295605970863</v>
      </c>
      <c r="J47">
        <f t="shared" si="8"/>
        <v>15834.354385528637</v>
      </c>
      <c r="K47">
        <f t="shared" si="9"/>
        <v>1.048272361548978</v>
      </c>
    </row>
    <row r="48" spans="1:11" x14ac:dyDescent="0.35">
      <c r="A48">
        <v>927.75900000000001</v>
      </c>
      <c r="B48">
        <f t="shared" si="1"/>
        <v>20.649999999999977</v>
      </c>
      <c r="C48">
        <f t="shared" si="10"/>
        <v>42.189999999999941</v>
      </c>
      <c r="D48">
        <f t="shared" si="3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1.2686023382957741E-4</v>
      </c>
      <c r="H48">
        <f t="shared" si="6"/>
        <v>7882.6908150223699</v>
      </c>
      <c r="I48">
        <f t="shared" si="7"/>
        <v>8.4964854181122149</v>
      </c>
      <c r="J48">
        <f t="shared" si="8"/>
        <v>15836.701213609205</v>
      </c>
      <c r="K48">
        <f t="shared" si="9"/>
        <v>1.5092989804004042</v>
      </c>
    </row>
    <row r="49" spans="1:11" x14ac:dyDescent="0.35">
      <c r="A49">
        <v>948.40899999999999</v>
      </c>
      <c r="B49">
        <f t="shared" si="1"/>
        <v>21.539999999999964</v>
      </c>
      <c r="C49">
        <f t="shared" si="10"/>
        <v>42.185000000000059</v>
      </c>
      <c r="D49">
        <f t="shared" si="3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1.2685955476362542E-4</v>
      </c>
      <c r="H49">
        <f t="shared" si="6"/>
        <v>7882.7330102433179</v>
      </c>
      <c r="I49">
        <f t="shared" si="7"/>
        <v>8.3115333260685187</v>
      </c>
      <c r="J49">
        <f t="shared" si="8"/>
        <v>15834.909144624517</v>
      </c>
      <c r="K49">
        <f t="shared" si="9"/>
        <v>0.42005944811634593</v>
      </c>
    </row>
    <row r="50" spans="1:11" x14ac:dyDescent="0.35">
      <c r="A50">
        <v>969.94899999999996</v>
      </c>
      <c r="B50">
        <f t="shared" si="1"/>
        <v>20.645000000000095</v>
      </c>
      <c r="C50">
        <f t="shared" si="10"/>
        <v>42.189000000000078</v>
      </c>
      <c r="D50">
        <f t="shared" si="3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1.2685889213471326E-4</v>
      </c>
      <c r="H50">
        <f t="shared" si="6"/>
        <v>7882.77418454897</v>
      </c>
      <c r="I50">
        <f t="shared" si="7"/>
        <v>8.1269986200810251</v>
      </c>
      <c r="J50">
        <f t="shared" si="8"/>
        <v>15836.493336758911</v>
      </c>
      <c r="K50">
        <f t="shared" si="9"/>
        <v>0.7285244816437737</v>
      </c>
    </row>
    <row r="51" spans="1:11" x14ac:dyDescent="0.35">
      <c r="A51">
        <v>990.59400000000005</v>
      </c>
      <c r="B51">
        <f t="shared" si="1"/>
        <v>21.543999999999983</v>
      </c>
      <c r="C51">
        <f t="shared" si="10"/>
        <v>42.183999999999969</v>
      </c>
      <c r="D51">
        <f t="shared" si="3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1.2685829717387059E-4</v>
      </c>
      <c r="H51">
        <f t="shared" si="6"/>
        <v>7882.8111544758558</v>
      </c>
      <c r="I51">
        <f t="shared" si="7"/>
        <v>7.9576609130237568</v>
      </c>
      <c r="J51">
        <f t="shared" si="8"/>
        <v>15834.690749543299</v>
      </c>
      <c r="K51">
        <f t="shared" si="9"/>
        <v>1.0468463649242521</v>
      </c>
    </row>
    <row r="52" spans="1:11" x14ac:dyDescent="0.35">
      <c r="A52">
        <v>1012.138</v>
      </c>
      <c r="B52">
        <f t="shared" si="1"/>
        <v>20.639999999999986</v>
      </c>
      <c r="C52">
        <f t="shared" si="10"/>
        <v>42.188999999999965</v>
      </c>
      <c r="D52">
        <f t="shared" si="3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1.2685771471313324E-4</v>
      </c>
      <c r="H52">
        <f t="shared" si="6"/>
        <v>7882.8473480018692</v>
      </c>
      <c r="I52">
        <f t="shared" si="7"/>
        <v>7.7883128071486984</v>
      </c>
      <c r="J52">
        <f t="shared" si="8"/>
        <v>15836.64032213574</v>
      </c>
      <c r="K52">
        <f t="shared" si="9"/>
        <v>0.72909886200926477</v>
      </c>
    </row>
    <row r="53" spans="1:11" x14ac:dyDescent="0.35">
      <c r="A53">
        <v>1032.778</v>
      </c>
      <c r="B53">
        <f t="shared" si="1"/>
        <v>21.548999999999978</v>
      </c>
      <c r="C53">
        <f t="shared" si="10"/>
        <v>42.183999999999969</v>
      </c>
      <c r="D53">
        <f t="shared" si="3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1.2685719053129627E-4</v>
      </c>
      <c r="H53">
        <f t="shared" si="6"/>
        <v>7882.8799204196093</v>
      </c>
      <c r="I53">
        <f t="shared" si="7"/>
        <v>7.6326954296272866</v>
      </c>
      <c r="J53">
        <f t="shared" si="8"/>
        <v>15834.828883951455</v>
      </c>
      <c r="K53">
        <f t="shared" si="9"/>
        <v>1.0462197818806471</v>
      </c>
    </row>
    <row r="54" spans="1:11" x14ac:dyDescent="0.35">
      <c r="A54">
        <v>1054.327</v>
      </c>
      <c r="B54">
        <f t="shared" si="1"/>
        <v>20.634999999999991</v>
      </c>
      <c r="C54">
        <f t="shared" si="10"/>
        <v>42.189000000000078</v>
      </c>
      <c r="D54">
        <f t="shared" si="3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1.2685667577839316E-4</v>
      </c>
      <c r="H54">
        <f t="shared" si="6"/>
        <v>7882.9119071897112</v>
      </c>
      <c r="I54">
        <f t="shared" si="7"/>
        <v>7.4767239264381082</v>
      </c>
      <c r="J54">
        <f t="shared" si="8"/>
        <v>15836.77002154416</v>
      </c>
      <c r="K54">
        <f t="shared" si="9"/>
        <v>0.72962697495845374</v>
      </c>
    </row>
    <row r="55" spans="1:11" x14ac:dyDescent="0.35">
      <c r="A55">
        <v>1074.962</v>
      </c>
      <c r="B55">
        <f t="shared" si="1"/>
        <v>21.554000000000087</v>
      </c>
      <c r="C55">
        <f t="shared" si="10"/>
        <v>42.184999999999945</v>
      </c>
      <c r="D55">
        <f t="shared" si="3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1.2685621158829051E-4</v>
      </c>
      <c r="H55">
        <f t="shared" si="6"/>
        <v>7882.940752207558</v>
      </c>
      <c r="I55">
        <f t="shared" si="7"/>
        <v>7.333227362648687</v>
      </c>
      <c r="J55">
        <f t="shared" si="8"/>
        <v>15835.326458660735</v>
      </c>
      <c r="K55">
        <f t="shared" si="9"/>
        <v>0.41885253940132744</v>
      </c>
    </row>
    <row r="56" spans="1:11" x14ac:dyDescent="0.35">
      <c r="A56">
        <v>1096.5160000000001</v>
      </c>
      <c r="B56">
        <f t="shared" si="1"/>
        <v>20.630999999999858</v>
      </c>
      <c r="C56">
        <f t="shared" si="10"/>
        <v>42.189999999999827</v>
      </c>
      <c r="D56">
        <f t="shared" si="3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1.2685575443442906E-4</v>
      </c>
      <c r="H56">
        <f t="shared" si="6"/>
        <v>7882.9691601959903</v>
      </c>
      <c r="I56">
        <f t="shared" si="7"/>
        <v>7.189105457828239</v>
      </c>
      <c r="J56">
        <f t="shared" si="8"/>
        <v>15837.260422317497</v>
      </c>
      <c r="K56">
        <f t="shared" si="9"/>
        <v>1.5125228614369897</v>
      </c>
    </row>
    <row r="57" spans="1:11" x14ac:dyDescent="0.35">
      <c r="A57">
        <v>1117.1469999999999</v>
      </c>
      <c r="B57">
        <f t="shared" si="1"/>
        <v>21.558999999999969</v>
      </c>
      <c r="C57">
        <f t="shared" si="10"/>
        <v>42.183999999999969</v>
      </c>
      <c r="D57">
        <f t="shared" si="3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1.2685534140791481E-4</v>
      </c>
      <c r="H57">
        <f t="shared" si="6"/>
        <v>7882.9948262439311</v>
      </c>
      <c r="I57">
        <f t="shared" si="7"/>
        <v>7.0563630625548219</v>
      </c>
      <c r="J57">
        <f t="shared" si="8"/>
        <v>15835.059702393988</v>
      </c>
      <c r="K57">
        <f t="shared" si="9"/>
        <v>1.0451071291328042</v>
      </c>
    </row>
    <row r="58" spans="1:11" x14ac:dyDescent="0.35">
      <c r="A58">
        <v>1138.7059999999999</v>
      </c>
      <c r="B58">
        <f t="shared" si="1"/>
        <v>20.625</v>
      </c>
      <c r="C58">
        <f t="shared" si="10"/>
        <v>42.189000000000078</v>
      </c>
      <c r="D58">
        <f t="shared" si="3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1.2685493356427992E-4</v>
      </c>
      <c r="H58">
        <f t="shared" si="6"/>
        <v>7883.0201703844659</v>
      </c>
      <c r="I58">
        <f t="shared" si="7"/>
        <v>6.9227879456018204</v>
      </c>
      <c r="J58">
        <f t="shared" si="8"/>
        <v>15836.987522302423</v>
      </c>
      <c r="K58">
        <f t="shared" si="9"/>
        <v>0.73056509882338427</v>
      </c>
    </row>
    <row r="59" spans="1:11" x14ac:dyDescent="0.35">
      <c r="A59">
        <v>1159.3309999999999</v>
      </c>
      <c r="B59">
        <f t="shared" si="1"/>
        <v>21.564000000000078</v>
      </c>
      <c r="C59">
        <f t="shared" si="10"/>
        <v>42.184000000000196</v>
      </c>
      <c r="D59">
        <f t="shared" si="3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1.2685456449122999E-4</v>
      </c>
      <c r="H59">
        <f t="shared" si="6"/>
        <v>7883.043105391248</v>
      </c>
      <c r="I59">
        <f t="shared" si="7"/>
        <v>6.7996483363174525</v>
      </c>
      <c r="J59">
        <f t="shared" si="8"/>
        <v>15835.156683705996</v>
      </c>
      <c r="K59">
        <f t="shared" si="9"/>
        <v>1.0446109480906265</v>
      </c>
    </row>
    <row r="60" spans="1:11" x14ac:dyDescent="0.35">
      <c r="A60">
        <v>1180.895</v>
      </c>
      <c r="B60">
        <f t="shared" si="1"/>
        <v>20.620000000000118</v>
      </c>
      <c r="C60">
        <f t="shared" si="10"/>
        <v>42.189000000000078</v>
      </c>
      <c r="D60">
        <f t="shared" si="3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1.2685419910650245E-4</v>
      </c>
      <c r="H60">
        <f t="shared" si="6"/>
        <v>7883.0658113290692</v>
      </c>
      <c r="I60">
        <f t="shared" si="7"/>
        <v>6.6755010490594593</v>
      </c>
      <c r="J60">
        <f t="shared" si="8"/>
        <v>15837.079214960131</v>
      </c>
      <c r="K60">
        <f t="shared" si="9"/>
        <v>0.73098358603306324</v>
      </c>
    </row>
    <row r="61" spans="1:11" x14ac:dyDescent="0.35">
      <c r="A61">
        <v>1201.5150000000001</v>
      </c>
      <c r="B61">
        <f t="shared" si="1"/>
        <v>21.56899999999996</v>
      </c>
      <c r="C61">
        <f t="shared" si="10"/>
        <v>42.182999999999993</v>
      </c>
      <c r="D61">
        <f t="shared" si="3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1.2685386795545912E-4</v>
      </c>
      <c r="H61">
        <f t="shared" si="6"/>
        <v>7883.0863900115337</v>
      </c>
      <c r="I61">
        <f t="shared" si="7"/>
        <v>6.5609554520846878</v>
      </c>
      <c r="J61">
        <f t="shared" si="8"/>
        <v>15834.868247136023</v>
      </c>
      <c r="K61">
        <f t="shared" si="9"/>
        <v>1.9522273537261292</v>
      </c>
    </row>
    <row r="62" spans="1:11" x14ac:dyDescent="0.35">
      <c r="A62">
        <v>1223.0840000000001</v>
      </c>
      <c r="B62">
        <f t="shared" si="1"/>
        <v>20.614000000000033</v>
      </c>
      <c r="C62">
        <f t="shared" si="10"/>
        <v>42.189999999999827</v>
      </c>
      <c r="D62">
        <f t="shared" si="3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1.2685353932938187E-4</v>
      </c>
      <c r="H62">
        <f t="shared" si="6"/>
        <v>7883.1068118915273</v>
      </c>
      <c r="I62">
        <f t="shared" si="7"/>
        <v>6.4452701628764073</v>
      </c>
      <c r="J62">
        <f t="shared" si="8"/>
        <v>15837.536971128675</v>
      </c>
      <c r="K62">
        <f t="shared" si="9"/>
        <v>1.514350628921536</v>
      </c>
    </row>
    <row r="63" spans="1:11" x14ac:dyDescent="0.35">
      <c r="A63">
        <v>1243.6980000000001</v>
      </c>
      <c r="B63">
        <f t="shared" si="1"/>
        <v>21.575999999999794</v>
      </c>
      <c r="C63">
        <f t="shared" si="10"/>
        <v>42.183999999999969</v>
      </c>
      <c r="D63">
        <f t="shared" si="3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1.2685324109704732E-4</v>
      </c>
      <c r="H63">
        <f t="shared" si="6"/>
        <v>7883.1253450983086</v>
      </c>
      <c r="I63">
        <f t="shared" si="7"/>
        <v>6.3384562370433235</v>
      </c>
      <c r="J63">
        <f t="shared" si="8"/>
        <v>15835.321883696515</v>
      </c>
      <c r="K63">
        <f t="shared" si="9"/>
        <v>1.0437186643719953</v>
      </c>
    </row>
    <row r="64" spans="1:11" x14ac:dyDescent="0.35">
      <c r="A64">
        <v>1265.2739999999999</v>
      </c>
      <c r="B64">
        <f t="shared" si="1"/>
        <v>20.608000000000175</v>
      </c>
      <c r="C64">
        <f t="shared" si="10"/>
        <v>42.189000000000078</v>
      </c>
      <c r="D64">
        <f t="shared" si="3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1.2685294442757829E-4</v>
      </c>
      <c r="H64">
        <f t="shared" si="6"/>
        <v>7883.143781269584</v>
      </c>
      <c r="I64">
        <f t="shared" si="7"/>
        <v>6.2303847081893604</v>
      </c>
      <c r="J64">
        <f t="shared" si="8"/>
        <v>15837.235856570625</v>
      </c>
      <c r="K64">
        <f t="shared" si="9"/>
        <v>0.73173638266792718</v>
      </c>
    </row>
    <row r="65" spans="1:11" x14ac:dyDescent="0.35">
      <c r="A65">
        <v>1285.8820000000001</v>
      </c>
      <c r="B65">
        <f t="shared" si="1"/>
        <v>21.580999999999904</v>
      </c>
      <c r="C65">
        <f t="shared" si="10"/>
        <v>42.183999999999969</v>
      </c>
      <c r="D65">
        <f t="shared" si="3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1.2685267489729058E-4</v>
      </c>
      <c r="H65">
        <f t="shared" si="6"/>
        <v>7883.1605309834795</v>
      </c>
      <c r="I65">
        <f t="shared" si="7"/>
        <v>6.1305473838061966</v>
      </c>
      <c r="J65">
        <f t="shared" si="8"/>
        <v>15835.392563762232</v>
      </c>
      <c r="K65">
        <f t="shared" si="9"/>
        <v>1.0433160438461473</v>
      </c>
    </row>
    <row r="66" spans="1:11" x14ac:dyDescent="0.35">
      <c r="A66">
        <v>1307.463</v>
      </c>
      <c r="B66">
        <f t="shared" si="1"/>
        <v>20.603000000000065</v>
      </c>
      <c r="C66">
        <f t="shared" si="10"/>
        <v>42.189000000000078</v>
      </c>
      <c r="D66">
        <f t="shared" si="3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1.2685240619099119E-4</v>
      </c>
      <c r="H66">
        <f t="shared" si="6"/>
        <v>7883.1772295622259</v>
      </c>
      <c r="I66">
        <f t="shared" si="7"/>
        <v>6.0293692667113525</v>
      </c>
      <c r="J66">
        <f t="shared" si="8"/>
        <v>15837.303054190541</v>
      </c>
      <c r="K66">
        <f t="shared" si="9"/>
        <v>0.73207614444450564</v>
      </c>
    </row>
    <row r="67" spans="1:11" x14ac:dyDescent="0.35">
      <c r="A67">
        <v>1328.066</v>
      </c>
      <c r="B67">
        <f t="shared" si="1"/>
        <v>21.586000000000013</v>
      </c>
      <c r="C67">
        <f t="shared" si="10"/>
        <v>42.183999999999969</v>
      </c>
      <c r="D67">
        <f t="shared" si="3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1.2685216178714021E-4</v>
      </c>
      <c r="H67">
        <f t="shared" si="6"/>
        <v>7883.1924179425077</v>
      </c>
      <c r="I67">
        <f t="shared" si="7"/>
        <v>5.9358438646441574</v>
      </c>
      <c r="J67">
        <f t="shared" si="8"/>
        <v>15835.456617070786</v>
      </c>
      <c r="K67">
        <f t="shared" si="9"/>
        <v>1.0429387862271866</v>
      </c>
    </row>
    <row r="68" spans="1:11" x14ac:dyDescent="0.35">
      <c r="A68">
        <v>1349.652</v>
      </c>
      <c r="B68">
        <f t="shared" si="1"/>
        <v>20.597999999999956</v>
      </c>
      <c r="C68">
        <f t="shared" si="10"/>
        <v>42.190000000000055</v>
      </c>
      <c r="D68">
        <f t="shared" si="3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1.2685191763370465E-4</v>
      </c>
      <c r="H68">
        <f t="shared" si="6"/>
        <v>7883.2075908192592</v>
      </c>
      <c r="I68">
        <f t="shared" si="7"/>
        <v>5.8409186892763909</v>
      </c>
      <c r="J68">
        <f t="shared" si="8"/>
        <v>15837.739440793572</v>
      </c>
      <c r="K68">
        <f t="shared" si="9"/>
        <v>1.5158321936615875</v>
      </c>
    </row>
    <row r="69" spans="1:11" x14ac:dyDescent="0.35">
      <c r="A69">
        <v>1370.25</v>
      </c>
      <c r="B69">
        <f t="shared" si="1"/>
        <v>21.592000000000098</v>
      </c>
      <c r="C69">
        <f t="shared" ref="C69:C87" si="13">A71-A69</f>
        <v>42.182999999999993</v>
      </c>
      <c r="D69">
        <f t="shared" si="3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1.2685169533105815E-4</v>
      </c>
      <c r="H69">
        <f t="shared" si="6"/>
        <v>7883.2214058329719</v>
      </c>
      <c r="I69">
        <f t="shared" si="7"/>
        <v>5.7531263680590925</v>
      </c>
      <c r="J69">
        <f t="shared" si="8"/>
        <v>15835.139455345343</v>
      </c>
      <c r="K69">
        <f t="shared" si="9"/>
        <v>1.9501055613372276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SQRT($D$1^2+($G$1*F70))*1.883544242</f>
        <v>1.2685147281476017E-4</v>
      </c>
      <c r="H70">
        <f t="shared" ref="H70:H87" si="19">1/G70</f>
        <v>7883.23523417256</v>
      </c>
      <c r="I70">
        <f t="shared" ref="I70:I87" si="20">E70/G70</f>
        <v>5.6638865863887995</v>
      </c>
      <c r="J70">
        <f t="shared" ref="J70:J87" si="21">D70/G70</f>
        <v>15837.419585452615</v>
      </c>
      <c r="K70">
        <f t="shared" ref="K70:K87" si="22">(D70-$M$14-$M$15*E70)^2/G70^2</f>
        <v>0.73269356933923091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1.2685127004952718E-4</v>
      </c>
      <c r="H71">
        <f t="shared" si="19"/>
        <v>7883.2478351187574</v>
      </c>
      <c r="I71">
        <f t="shared" si="20"/>
        <v>5.5813251567463782</v>
      </c>
      <c r="J71">
        <f t="shared" si="21"/>
        <v>15835.567936983307</v>
      </c>
      <c r="K71">
        <f t="shared" si="22"/>
        <v>1.0422513506602613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1.2685106668360732E-4</v>
      </c>
      <c r="H72">
        <f t="shared" si="19"/>
        <v>7883.2604734354018</v>
      </c>
      <c r="I72">
        <f t="shared" si="20"/>
        <v>5.4972734016457121</v>
      </c>
      <c r="J72">
        <f t="shared" si="21"/>
        <v>15837.845684487622</v>
      </c>
      <c r="K72">
        <f t="shared" si="22"/>
        <v>1.516673252447871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1.2685088121748382E-4</v>
      </c>
      <c r="H73">
        <f t="shared" si="19"/>
        <v>7883.2719993920728</v>
      </c>
      <c r="I73">
        <f t="shared" si="20"/>
        <v>5.4194829287654915</v>
      </c>
      <c r="J73">
        <f t="shared" si="21"/>
        <v>15835.241083350274</v>
      </c>
      <c r="K73">
        <f t="shared" si="22"/>
        <v>1.9492270244926444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1.2685069486338782E-4</v>
      </c>
      <c r="H74">
        <f t="shared" si="19"/>
        <v>7883.2835805665272</v>
      </c>
      <c r="I74">
        <f t="shared" si="20"/>
        <v>5.340178456048605</v>
      </c>
      <c r="J74">
        <f t="shared" si="21"/>
        <v>15837.516713358185</v>
      </c>
      <c r="K74">
        <f t="shared" si="22"/>
        <v>0.73324007364402688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1.2685052480205313E-4</v>
      </c>
      <c r="H75">
        <f t="shared" si="19"/>
        <v>7883.2941492396139</v>
      </c>
      <c r="I75">
        <f t="shared" si="20"/>
        <v>5.2667651985833883</v>
      </c>
      <c r="J75">
        <f t="shared" si="21"/>
        <v>15835.285576065458</v>
      </c>
      <c r="K75">
        <f t="shared" si="22"/>
        <v>1.9488244635258842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1.2685035361106341E-4</v>
      </c>
      <c r="H76">
        <f t="shared" si="19"/>
        <v>7883.3047881451375</v>
      </c>
      <c r="I76">
        <f t="shared" si="20"/>
        <v>5.1918156414572723</v>
      </c>
      <c r="J76">
        <f t="shared" si="21"/>
        <v>15837.934714849618</v>
      </c>
      <c r="K76">
        <f t="shared" si="22"/>
        <v>1.5174200040007231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1.2685019728984602E-4</v>
      </c>
      <c r="H77">
        <f t="shared" si="19"/>
        <v>7883.3145029727675</v>
      </c>
      <c r="I77">
        <f t="shared" si="20"/>
        <v>5.1224181832890734</v>
      </c>
      <c r="J77">
        <f t="shared" si="21"/>
        <v>15835.326460900011</v>
      </c>
      <c r="K77">
        <f t="shared" si="22"/>
        <v>1.9484437191257851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1.2685003965102744E-4</v>
      </c>
      <c r="H78">
        <f t="shared" si="19"/>
        <v>7883.324299709041</v>
      </c>
      <c r="I78">
        <f t="shared" si="20"/>
        <v>5.0514701395034232</v>
      </c>
      <c r="J78">
        <f t="shared" si="21"/>
        <v>15837.598518115496</v>
      </c>
      <c r="K78">
        <f t="shared" si="22"/>
        <v>0.73372721152732379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1.2684989563813514E-4</v>
      </c>
      <c r="H79">
        <f t="shared" si="19"/>
        <v>7883.3332496599078</v>
      </c>
      <c r="I79">
        <f t="shared" si="20"/>
        <v>4.9857720502843517</v>
      </c>
      <c r="J79">
        <f t="shared" si="21"/>
        <v>15835.364117638277</v>
      </c>
      <c r="K79">
        <f t="shared" si="22"/>
        <v>1.9480830649418264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1.2684975016206203E-4</v>
      </c>
      <c r="H80">
        <f t="shared" si="19"/>
        <v>7883.3422905635171</v>
      </c>
      <c r="I80">
        <f t="shared" si="20"/>
        <v>4.9185153445422429</v>
      </c>
      <c r="J80">
        <f t="shared" si="21"/>
        <v>15838.010058994059</v>
      </c>
      <c r="K80">
        <f t="shared" si="22"/>
        <v>1.5180874664132318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1.2684961719429784E-4</v>
      </c>
      <c r="H81">
        <f t="shared" si="19"/>
        <v>7883.3505541312115</v>
      </c>
      <c r="I81">
        <f t="shared" si="20"/>
        <v>4.8562265748962252</v>
      </c>
      <c r="J81">
        <f t="shared" si="21"/>
        <v>15835.398877376994</v>
      </c>
      <c r="K81">
        <f t="shared" si="22"/>
        <v>1.9477409520482871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1.2684948265321539E-4</v>
      </c>
      <c r="H82">
        <f t="shared" si="19"/>
        <v>7883.3589154937872</v>
      </c>
      <c r="I82">
        <f t="shared" si="20"/>
        <v>4.7923766294243189</v>
      </c>
      <c r="J82">
        <f t="shared" si="21"/>
        <v>15837.668061226961</v>
      </c>
      <c r="K82">
        <f t="shared" si="22"/>
        <v>0.73416415711614613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1.2684935963730215E-4</v>
      </c>
      <c r="H83">
        <f t="shared" si="19"/>
        <v>7883.3665606139448</v>
      </c>
      <c r="I83">
        <f t="shared" si="20"/>
        <v>4.7332423277450957</v>
      </c>
      <c r="J83">
        <f t="shared" si="21"/>
        <v>15835.431029827523</v>
      </c>
      <c r="K83">
        <f t="shared" si="22"/>
        <v>1.9474159867262262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1.2684923496580195E-4</v>
      </c>
      <c r="H84">
        <f t="shared" si="19"/>
        <v>7883.3743086396698</v>
      </c>
      <c r="I84">
        <f t="shared" si="20"/>
        <v>4.6725485005877729</v>
      </c>
      <c r="J84">
        <f t="shared" si="21"/>
        <v>15838.074384833721</v>
      </c>
      <c r="K84">
        <f t="shared" si="22"/>
        <v>1.5186876291072331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1.268491209291822E-4</v>
      </c>
      <c r="H85">
        <f t="shared" si="19"/>
        <v>7883.3813957471866</v>
      </c>
      <c r="I85">
        <f t="shared" si="20"/>
        <v>4.6163331678571584</v>
      </c>
      <c r="J85">
        <f t="shared" si="21"/>
        <v>15835.460829371596</v>
      </c>
      <c r="K85">
        <f t="shared" si="22"/>
        <v>1.9471069115019513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1.2684900517823409E-4</v>
      </c>
      <c r="H86">
        <f t="shared" si="19"/>
        <v>7883.3885894092064</v>
      </c>
      <c r="I86">
        <f t="shared" si="20"/>
        <v>4.5585636920806483</v>
      </c>
      <c r="J86">
        <f t="shared" si="21"/>
        <v>15838.103075579756</v>
      </c>
      <c r="K86">
        <f t="shared" si="22"/>
        <v>1.5189655785499163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1.2684889927460044E-4</v>
      </c>
      <c r="H87">
        <f t="shared" si="19"/>
        <v>7883.3951710942029</v>
      </c>
      <c r="I87">
        <f t="shared" si="20"/>
        <v>4.5050598212548403</v>
      </c>
      <c r="J87">
        <f t="shared" si="21"/>
        <v>15835.113100337894</v>
      </c>
      <c r="K87">
        <f t="shared" si="22"/>
        <v>3.1353148563768718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O89"/>
  <sheetViews>
    <sheetView workbookViewId="0">
      <selection activeCell="D5" sqref="D5:D87"/>
    </sheetView>
  </sheetViews>
  <sheetFormatPr defaultColWidth="8.81640625" defaultRowHeight="14.5" x14ac:dyDescent="0.35"/>
  <cols>
    <col min="13" max="13" width="12.179687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8.9953964126721075E-4</v>
      </c>
    </row>
    <row r="3" spans="1:15" x14ac:dyDescent="0.35">
      <c r="A3" t="s">
        <v>26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8.1719902603626763E-5</v>
      </c>
      <c r="H5">
        <f>1/G5</f>
        <v>12236.92109436777</v>
      </c>
      <c r="I5">
        <f>E5/G5</f>
        <v>597.27260320030121</v>
      </c>
      <c r="J5">
        <f>D5/G5</f>
        <v>24703.430136887007</v>
      </c>
      <c r="K5">
        <f>(D5-$M$14-$M$15*E5)^2/G5^2</f>
        <v>0.11348670728324982</v>
      </c>
      <c r="L5" t="s">
        <v>37</v>
      </c>
      <c r="M5" cm="1">
        <f t="array" ref="M5:N6">MMULT(TRANSPOSE(H5:I87),H5:I87)</f>
        <v>18171188579.352161</v>
      </c>
      <c r="N5">
        <v>48273546.311918616</v>
      </c>
    </row>
    <row r="6" spans="1:15" x14ac:dyDescent="0.35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7.1087608404053705E-5</v>
      </c>
      <c r="H6">
        <f t="shared" ref="H6:H69" si="6">1/G6</f>
        <v>14067.149288749682</v>
      </c>
      <c r="I6">
        <f t="shared" ref="I6:I69" si="7">E6/G6</f>
        <v>337.66560942750078</v>
      </c>
      <c r="J6">
        <f t="shared" ref="J6:J69" si="8">D6/G6</f>
        <v>28398.225092726385</v>
      </c>
      <c r="K6">
        <f t="shared" ref="K6:K69" si="9">(D6-$M$14-$M$15*E6)^2/G6^2</f>
        <v>5.4984791710448455E-3</v>
      </c>
      <c r="M6">
        <v>48273546.311918616</v>
      </c>
      <c r="N6">
        <v>656982.16334764776</v>
      </c>
    </row>
    <row r="7" spans="1:15" x14ac:dyDescent="0.35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6.9011884269241442E-5</v>
      </c>
      <c r="H7">
        <f t="shared" si="6"/>
        <v>14490.257882231153</v>
      </c>
      <c r="I7">
        <f t="shared" si="7"/>
        <v>230.4357030983613</v>
      </c>
      <c r="J7">
        <f t="shared" si="8"/>
        <v>29253.070615104276</v>
      </c>
      <c r="K7">
        <f t="shared" si="9"/>
        <v>0.51690897650949486</v>
      </c>
    </row>
    <row r="8" spans="1:15" x14ac:dyDescent="0.35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6.8282277471905716E-5</v>
      </c>
      <c r="H8">
        <f t="shared" si="6"/>
        <v>14645.088550414026</v>
      </c>
      <c r="I8">
        <f t="shared" si="7"/>
        <v>174.23428451250419</v>
      </c>
      <c r="J8">
        <f t="shared" si="8"/>
        <v>29564.94685744058</v>
      </c>
      <c r="K8">
        <f t="shared" si="9"/>
        <v>6.7078228625226813E-3</v>
      </c>
      <c r="L8" t="s">
        <v>38</v>
      </c>
      <c r="M8" cm="1">
        <f t="array" ref="M8:M9">MMULT(TRANSPOSE(H5:I87),J5:J87)</f>
        <v>36683050976.571991</v>
      </c>
    </row>
    <row r="9" spans="1:15" x14ac:dyDescent="0.35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6.7943428658534514E-5</v>
      </c>
      <c r="H9">
        <f t="shared" si="6"/>
        <v>14718.126826153157</v>
      </c>
      <c r="I9">
        <f t="shared" si="7"/>
        <v>139.80382064604001</v>
      </c>
      <c r="J9">
        <f t="shared" si="8"/>
        <v>29712.393746092232</v>
      </c>
      <c r="K9">
        <f t="shared" si="9"/>
        <v>1.2992540047415227E-2</v>
      </c>
      <c r="M9">
        <v>97452600.515512973</v>
      </c>
    </row>
    <row r="10" spans="1:15" x14ac:dyDescent="0.35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6.7759921474926866E-5</v>
      </c>
      <c r="H10">
        <f t="shared" si="6"/>
        <v>14757.986406020689</v>
      </c>
      <c r="I10">
        <f t="shared" si="7"/>
        <v>116.71190059171113</v>
      </c>
      <c r="J10">
        <f t="shared" si="8"/>
        <v>29792.157986211205</v>
      </c>
      <c r="K10">
        <f t="shared" si="9"/>
        <v>0.32195073349698761</v>
      </c>
    </row>
    <row r="11" spans="1:15" x14ac:dyDescent="0.35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6.7649079482223905E-5</v>
      </c>
      <c r="H11">
        <f t="shared" si="6"/>
        <v>14782.167143349958</v>
      </c>
      <c r="I11">
        <f t="shared" si="7"/>
        <v>100.10203183665011</v>
      </c>
      <c r="J11">
        <f t="shared" si="8"/>
        <v>29841.675898818008</v>
      </c>
      <c r="K11">
        <f t="shared" si="9"/>
        <v>2.2696044486510303E-2</v>
      </c>
      <c r="L11" t="s">
        <v>39</v>
      </c>
      <c r="M11">
        <f t="array" ref="M11:N12">MINVERSE(M5:N6)</f>
        <v>6.8380001280052615E-11</v>
      </c>
      <c r="N11">
        <v>-5.0244060535551416E-9</v>
      </c>
    </row>
    <row r="12" spans="1:15" x14ac:dyDescent="0.35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6.757737878012091E-5</v>
      </c>
      <c r="H12">
        <f t="shared" si="6"/>
        <v>14797.851264011557</v>
      </c>
      <c r="I12">
        <f t="shared" si="7"/>
        <v>87.643707772469696</v>
      </c>
      <c r="J12">
        <f t="shared" si="8"/>
        <v>29873.338404119335</v>
      </c>
      <c r="K12">
        <f t="shared" si="9"/>
        <v>2.6271996894448094E-2</v>
      </c>
      <c r="M12">
        <v>-5.0244060535551408E-9</v>
      </c>
      <c r="N12">
        <v>1.8912932003888734E-6</v>
      </c>
    </row>
    <row r="13" spans="1:15" x14ac:dyDescent="0.35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6.7528130045805729E-5</v>
      </c>
      <c r="H13">
        <f t="shared" si="6"/>
        <v>14808.643439729181</v>
      </c>
      <c r="I13">
        <f t="shared" si="7"/>
        <v>77.913573986421397</v>
      </c>
      <c r="J13">
        <f t="shared" si="8"/>
        <v>29895.125237327571</v>
      </c>
      <c r="K13">
        <f t="shared" si="9"/>
        <v>2.9238624079342593E-2</v>
      </c>
    </row>
    <row r="14" spans="1:15" x14ac:dyDescent="0.35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6.7493016678913187E-5</v>
      </c>
      <c r="H14">
        <f t="shared" si="6"/>
        <v>14816.347663897346</v>
      </c>
      <c r="I14">
        <f t="shared" si="7"/>
        <v>70.141537453061034</v>
      </c>
      <c r="J14">
        <f t="shared" si="8"/>
        <v>29910.678231583988</v>
      </c>
      <c r="K14">
        <f t="shared" si="9"/>
        <v>3.1716914564237725E-2</v>
      </c>
      <c r="L14" t="s">
        <v>40</v>
      </c>
      <c r="M14">
        <f t="array" ref="M14:M15">MMULT(M11:N12,M8:M9)</f>
        <v>2.0187456367693937</v>
      </c>
      <c r="N14">
        <f>SQRT(M11)</f>
        <v>8.2692201131698394E-6</v>
      </c>
      <c r="O14" t="s">
        <v>42</v>
      </c>
    </row>
    <row r="15" spans="1:15" x14ac:dyDescent="0.35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6.746698503853294E-5</v>
      </c>
      <c r="H15">
        <f t="shared" si="6"/>
        <v>14822.064442762075</v>
      </c>
      <c r="I15">
        <f t="shared" si="7"/>
        <v>63.762058869573025</v>
      </c>
      <c r="J15">
        <f t="shared" si="8"/>
        <v>29922.219046974071</v>
      </c>
      <c r="K15">
        <f t="shared" si="9"/>
        <v>3.3822852383823293E-2</v>
      </c>
      <c r="M15">
        <v>8.9732564276800986E-4</v>
      </c>
      <c r="O15" t="s">
        <v>43</v>
      </c>
    </row>
    <row r="16" spans="1:15" x14ac:dyDescent="0.35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6.7447246829208595E-5</v>
      </c>
      <c r="H16">
        <f t="shared" si="6"/>
        <v>14826.402069935071</v>
      </c>
      <c r="I16">
        <f t="shared" si="7"/>
        <v>58.457045802865885</v>
      </c>
      <c r="J16">
        <f t="shared" si="8"/>
        <v>29930.975683467994</v>
      </c>
      <c r="K16">
        <f t="shared" si="9"/>
        <v>3.5623086437857651E-2</v>
      </c>
    </row>
    <row r="17" spans="1:13" x14ac:dyDescent="0.35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6.7431853438188689E-5</v>
      </c>
      <c r="H17">
        <f t="shared" si="6"/>
        <v>14829.786651447281</v>
      </c>
      <c r="I17">
        <f t="shared" si="7"/>
        <v>53.955338495294868</v>
      </c>
      <c r="J17">
        <f t="shared" si="8"/>
        <v>29937.808347688384</v>
      </c>
      <c r="K17">
        <f t="shared" si="9"/>
        <v>3.7185471975909004E-2</v>
      </c>
      <c r="L17" t="s">
        <v>41</v>
      </c>
      <c r="M17">
        <f>+SUM(K5:K88)/(COUNT(K5:K88)-2)</f>
        <v>0.17329162524695257</v>
      </c>
    </row>
    <row r="18" spans="1:13" x14ac:dyDescent="0.35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6.7419675459743828E-5</v>
      </c>
      <c r="H18">
        <f t="shared" si="6"/>
        <v>14832.465347554191</v>
      </c>
      <c r="I18">
        <f t="shared" si="7"/>
        <v>50.105786873162522</v>
      </c>
      <c r="J18">
        <f t="shared" si="8"/>
        <v>29942.509689469734</v>
      </c>
      <c r="K18">
        <f t="shared" si="9"/>
        <v>0.26007413949203084</v>
      </c>
    </row>
    <row r="19" spans="1:13" x14ac:dyDescent="0.35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6.7409829266257691E-5</v>
      </c>
      <c r="H19">
        <f t="shared" si="6"/>
        <v>14834.631846494747</v>
      </c>
      <c r="I19">
        <f t="shared" si="7"/>
        <v>46.760511041853029</v>
      </c>
      <c r="J19">
        <f t="shared" si="8"/>
        <v>29947.589642871353</v>
      </c>
      <c r="K19">
        <f t="shared" si="9"/>
        <v>3.9748506218641642E-2</v>
      </c>
    </row>
    <row r="20" spans="1:13" x14ac:dyDescent="0.35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6.7401794427551074E-5</v>
      </c>
      <c r="H20">
        <f t="shared" si="6"/>
        <v>14836.400254519653</v>
      </c>
      <c r="I20">
        <f t="shared" si="7"/>
        <v>43.840717503072113</v>
      </c>
      <c r="J20">
        <f t="shared" si="8"/>
        <v>29951.159637624103</v>
      </c>
      <c r="K20">
        <f t="shared" si="9"/>
        <v>4.0811695844709762E-2</v>
      </c>
    </row>
    <row r="21" spans="1:13" x14ac:dyDescent="0.35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6.7395119619619156E-5</v>
      </c>
      <c r="H21">
        <f t="shared" si="6"/>
        <v>14837.86965056285</v>
      </c>
      <c r="I21">
        <f t="shared" si="7"/>
        <v>41.257447428304474</v>
      </c>
      <c r="J21">
        <f t="shared" si="8"/>
        <v>29954.125998379121</v>
      </c>
      <c r="K21">
        <f t="shared" si="9"/>
        <v>4.1763412936731144E-2</v>
      </c>
    </row>
    <row r="22" spans="1:13" x14ac:dyDescent="0.35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6.7389542352849319E-5</v>
      </c>
      <c r="H22">
        <f t="shared" si="6"/>
        <v>14839.097656488517</v>
      </c>
      <c r="I22">
        <f t="shared" si="7"/>
        <v>38.967195337539763</v>
      </c>
      <c r="J22">
        <f t="shared" si="8"/>
        <v>29956.605049960679</v>
      </c>
      <c r="K22">
        <f t="shared" si="9"/>
        <v>4.2615849323766122E-2</v>
      </c>
    </row>
    <row r="23" spans="1:13" x14ac:dyDescent="0.35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6.7384810926150086E-5</v>
      </c>
      <c r="H23">
        <f t="shared" si="6"/>
        <v>14840.13958421495</v>
      </c>
      <c r="I23">
        <f t="shared" si="7"/>
        <v>36.912556330207444</v>
      </c>
      <c r="J23">
        <f t="shared" si="8"/>
        <v>29958.708453962277</v>
      </c>
      <c r="K23">
        <f t="shared" si="9"/>
        <v>4.3387513667849223E-2</v>
      </c>
    </row>
    <row r="24" spans="1:13" x14ac:dyDescent="0.35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6.7380782883034586E-5</v>
      </c>
      <c r="H24">
        <f t="shared" si="6"/>
        <v>14841.026732145378</v>
      </c>
      <c r="I24">
        <f t="shared" si="7"/>
        <v>35.068257228536069</v>
      </c>
      <c r="J24">
        <f t="shared" si="8"/>
        <v>29959.792678849455</v>
      </c>
      <c r="K24">
        <f t="shared" si="9"/>
        <v>0.24676005920976113</v>
      </c>
    </row>
    <row r="25" spans="1:13" x14ac:dyDescent="0.35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6.7377307962236538E-5</v>
      </c>
      <c r="H25">
        <f t="shared" si="6"/>
        <v>14841.792144032786</v>
      </c>
      <c r="I25">
        <f t="shared" si="7"/>
        <v>33.395192807023818</v>
      </c>
      <c r="J25">
        <f t="shared" si="8"/>
        <v>29961.337826761064</v>
      </c>
      <c r="K25">
        <f t="shared" si="9"/>
        <v>0.24529455827384145</v>
      </c>
    </row>
    <row r="26" spans="1:13" x14ac:dyDescent="0.35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6.737430468906625E-5</v>
      </c>
      <c r="H26">
        <f t="shared" si="6"/>
        <v>14842.453730914476</v>
      </c>
      <c r="I26">
        <f t="shared" si="7"/>
        <v>31.878327675896699</v>
      </c>
      <c r="J26">
        <f t="shared" si="8"/>
        <v>29963.38016516135</v>
      </c>
      <c r="K26">
        <f t="shared" si="9"/>
        <v>4.5305839923059407E-2</v>
      </c>
    </row>
    <row r="27" spans="1:13" x14ac:dyDescent="0.35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6.7371677934527284E-5</v>
      </c>
      <c r="H27">
        <f t="shared" si="6"/>
        <v>14843.032423384402</v>
      </c>
      <c r="I27">
        <f t="shared" si="7"/>
        <v>30.489650063851677</v>
      </c>
      <c r="J27">
        <f t="shared" si="8"/>
        <v>29964.548407474213</v>
      </c>
      <c r="K27">
        <f t="shared" si="9"/>
        <v>4.5841891150926503E-2</v>
      </c>
    </row>
    <row r="28" spans="1:13" x14ac:dyDescent="0.35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6.7369379089351569E-5</v>
      </c>
      <c r="H28">
        <f t="shared" si="6"/>
        <v>14843.538912147409</v>
      </c>
      <c r="I28">
        <f t="shared" si="7"/>
        <v>29.220082466318122</v>
      </c>
      <c r="J28">
        <f t="shared" si="8"/>
        <v>29965.570887694157</v>
      </c>
      <c r="K28">
        <f t="shared" si="9"/>
        <v>4.6334564597748797E-2</v>
      </c>
    </row>
    <row r="29" spans="1:13" x14ac:dyDescent="0.35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6.7367345470816905E-5</v>
      </c>
      <c r="H29">
        <f t="shared" si="6"/>
        <v>14843.986994161636</v>
      </c>
      <c r="I29">
        <f t="shared" si="7"/>
        <v>28.049014002149665</v>
      </c>
      <c r="J29">
        <f t="shared" si="8"/>
        <v>29966.47545859469</v>
      </c>
      <c r="K29">
        <f t="shared" si="9"/>
        <v>4.6791214352811319E-2</v>
      </c>
    </row>
    <row r="30" spans="1:13" x14ac:dyDescent="0.35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6.7365546967744117E-5</v>
      </c>
      <c r="H30">
        <f t="shared" si="6"/>
        <v>14844.383294012572</v>
      </c>
      <c r="I30">
        <f t="shared" si="7"/>
        <v>26.970908171575484</v>
      </c>
      <c r="J30">
        <f t="shared" si="8"/>
        <v>29966.568618241683</v>
      </c>
      <c r="K30">
        <f t="shared" si="9"/>
        <v>0.23969715997551205</v>
      </c>
    </row>
    <row r="31" spans="1:13" x14ac:dyDescent="0.35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6.7363940531644197E-5</v>
      </c>
      <c r="H31">
        <f t="shared" si="6"/>
        <v>14844.73728983016</v>
      </c>
      <c r="I31">
        <f t="shared" si="7"/>
        <v>25.970044767988945</v>
      </c>
      <c r="J31">
        <f t="shared" si="8"/>
        <v>29968.697019159496</v>
      </c>
      <c r="K31">
        <f t="shared" si="9"/>
        <v>0.85577807553092144</v>
      </c>
    </row>
    <row r="32" spans="1:13" x14ac:dyDescent="0.35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6.7362507152089363E-5</v>
      </c>
      <c r="H32">
        <f t="shared" si="6"/>
        <v>14845.053164993182</v>
      </c>
      <c r="I32">
        <f t="shared" si="7"/>
        <v>25.043191827283032</v>
      </c>
      <c r="J32">
        <f t="shared" si="8"/>
        <v>29968.62780365338</v>
      </c>
      <c r="K32">
        <f t="shared" si="9"/>
        <v>4.7972964941585955E-2</v>
      </c>
    </row>
    <row r="33" spans="1:11" x14ac:dyDescent="0.35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6.7361216033707709E-5</v>
      </c>
      <c r="H33">
        <f t="shared" si="6"/>
        <v>14845.337701439323</v>
      </c>
      <c r="I33">
        <f t="shared" si="7"/>
        <v>24.177877544057981</v>
      </c>
      <c r="J33">
        <f t="shared" si="8"/>
        <v>29969.202214991365</v>
      </c>
      <c r="K33">
        <f t="shared" si="9"/>
        <v>4.831573844619181E-2</v>
      </c>
    </row>
    <row r="34" spans="1:11" x14ac:dyDescent="0.35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6.7360055277759236E-5</v>
      </c>
      <c r="H34">
        <f t="shared" si="6"/>
        <v>14845.593517946196</v>
      </c>
      <c r="I34">
        <f t="shared" si="7"/>
        <v>23.372556595609058</v>
      </c>
      <c r="J34">
        <f t="shared" si="8"/>
        <v>29969.718647610054</v>
      </c>
      <c r="K34">
        <f t="shared" si="9"/>
        <v>4.8635778764003851E-2</v>
      </c>
    </row>
    <row r="35" spans="1:11" x14ac:dyDescent="0.35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6.7359002153384692E-5</v>
      </c>
      <c r="H35">
        <f t="shared" si="6"/>
        <v>14845.825621390257</v>
      </c>
      <c r="I35">
        <f t="shared" si="7"/>
        <v>22.617075317589237</v>
      </c>
      <c r="J35">
        <f t="shared" si="8"/>
        <v>29969.480265123693</v>
      </c>
      <c r="K35">
        <f t="shared" si="9"/>
        <v>0.2359308922316849</v>
      </c>
    </row>
    <row r="36" spans="1:11" x14ac:dyDescent="0.35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6.7358049000751998E-5</v>
      </c>
      <c r="H36">
        <f t="shared" si="6"/>
        <v>14846.03569781001</v>
      </c>
      <c r="I36">
        <f t="shared" si="7"/>
        <v>21.910833332560976</v>
      </c>
      <c r="J36">
        <f t="shared" si="8"/>
        <v>29970.611303474172</v>
      </c>
      <c r="K36">
        <f t="shared" si="9"/>
        <v>4.9219217261069488E-2</v>
      </c>
    </row>
    <row r="37" spans="1:11" x14ac:dyDescent="0.35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6.7357178830706495E-5</v>
      </c>
      <c r="H37">
        <f t="shared" si="6"/>
        <v>14846.227489921599</v>
      </c>
      <c r="I37">
        <f t="shared" si="7"/>
        <v>21.245560180885871</v>
      </c>
      <c r="J37">
        <f t="shared" si="8"/>
        <v>29970.998486082684</v>
      </c>
      <c r="K37">
        <f t="shared" si="9"/>
        <v>4.9485840702376431E-2</v>
      </c>
    </row>
    <row r="38" spans="1:11" x14ac:dyDescent="0.35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6.7356386543388101E-5</v>
      </c>
      <c r="H38">
        <f t="shared" si="6"/>
        <v>14846.402120396449</v>
      </c>
      <c r="I38">
        <f t="shared" si="7"/>
        <v>20.621148564359757</v>
      </c>
      <c r="J38">
        <f t="shared" si="8"/>
        <v>29970.644051903117</v>
      </c>
      <c r="K38">
        <f t="shared" si="9"/>
        <v>0.23421172236641047</v>
      </c>
    </row>
    <row r="39" spans="1:11" x14ac:dyDescent="0.35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6.7355659258611645E-5</v>
      </c>
      <c r="H39">
        <f t="shared" si="6"/>
        <v>14846.562427078416</v>
      </c>
      <c r="I39">
        <f t="shared" si="7"/>
        <v>20.030818751404389</v>
      </c>
      <c r="J39">
        <f t="shared" si="8"/>
        <v>29971.67464445535</v>
      </c>
      <c r="K39">
        <f t="shared" si="9"/>
        <v>4.9974423244862475E-2</v>
      </c>
    </row>
    <row r="40" spans="1:11" x14ac:dyDescent="0.35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6.7354993639580141E-5</v>
      </c>
      <c r="H40">
        <f t="shared" si="6"/>
        <v>14846.709144552055</v>
      </c>
      <c r="I40">
        <f t="shared" si="7"/>
        <v>19.474848455442633</v>
      </c>
      <c r="J40">
        <f t="shared" si="8"/>
        <v>29971.970832101899</v>
      </c>
      <c r="K40">
        <f t="shared" si="9"/>
        <v>5.0198793366325836E-2</v>
      </c>
    </row>
    <row r="41" spans="1:11" x14ac:dyDescent="0.35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6.7354379562530243E-5</v>
      </c>
      <c r="H41">
        <f t="shared" si="6"/>
        <v>14846.844503580101</v>
      </c>
      <c r="I41">
        <f t="shared" si="7"/>
        <v>18.947452083488734</v>
      </c>
      <c r="J41">
        <f t="shared" si="8"/>
        <v>29972.244089751184</v>
      </c>
      <c r="K41">
        <f t="shared" si="9"/>
        <v>5.0412068633725875E-2</v>
      </c>
    </row>
    <row r="42" spans="1:11" x14ac:dyDescent="0.35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6.7353814963533863E-5</v>
      </c>
      <c r="H42">
        <f t="shared" si="6"/>
        <v>14846.968958497921</v>
      </c>
      <c r="I42">
        <f t="shared" si="7"/>
        <v>18.449238031950316</v>
      </c>
      <c r="J42">
        <f t="shared" si="8"/>
        <v>29972.495334598138</v>
      </c>
      <c r="K42">
        <f t="shared" si="9"/>
        <v>5.061393306049234E-2</v>
      </c>
    </row>
    <row r="43" spans="1:11" x14ac:dyDescent="0.35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6.7353291789000233E-5</v>
      </c>
      <c r="H43">
        <f t="shared" si="6"/>
        <v>14847.084284057435</v>
      </c>
      <c r="I43">
        <f t="shared" si="7"/>
        <v>17.975244116712432</v>
      </c>
      <c r="J43">
        <f t="shared" si="8"/>
        <v>29972.72814944433</v>
      </c>
      <c r="K43">
        <f t="shared" si="9"/>
        <v>5.0806335903677273E-2</v>
      </c>
    </row>
    <row r="44" spans="1:11" x14ac:dyDescent="0.35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6.7352808759129195E-5</v>
      </c>
      <c r="H44">
        <f t="shared" si="6"/>
        <v>14847.190761951069</v>
      </c>
      <c r="I44">
        <f t="shared" si="7"/>
        <v>17.526233250369266</v>
      </c>
      <c r="J44">
        <f t="shared" si="8"/>
        <v>29972.236093875814</v>
      </c>
      <c r="K44">
        <f t="shared" si="9"/>
        <v>0.2315552053083019</v>
      </c>
    </row>
    <row r="45" spans="1:11" x14ac:dyDescent="0.35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6.7352359394748596E-5</v>
      </c>
      <c r="H45">
        <f t="shared" si="6"/>
        <v>14847.289820079697</v>
      </c>
      <c r="I45">
        <f t="shared" si="7"/>
        <v>17.097923714461722</v>
      </c>
      <c r="J45">
        <f t="shared" si="8"/>
        <v>29973.143077736051</v>
      </c>
      <c r="K45">
        <f t="shared" si="9"/>
        <v>5.1163361075300957E-2</v>
      </c>
    </row>
    <row r="46" spans="1:11" x14ac:dyDescent="0.35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6.7351942967092118E-5</v>
      </c>
      <c r="H46">
        <f t="shared" si="6"/>
        <v>14847.381618798969</v>
      </c>
      <c r="I46">
        <f t="shared" si="7"/>
        <v>16.69119068950593</v>
      </c>
      <c r="J46">
        <f t="shared" si="8"/>
        <v>29973.328397493504</v>
      </c>
      <c r="K46">
        <f t="shared" si="9"/>
        <v>5.1329279345903117E-2</v>
      </c>
    </row>
    <row r="47" spans="1:11" x14ac:dyDescent="0.35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6.7351554137309714E-5</v>
      </c>
      <c r="H47">
        <f t="shared" si="6"/>
        <v>14847.467334774467</v>
      </c>
      <c r="I47">
        <f t="shared" si="7"/>
        <v>16.302247277306765</v>
      </c>
      <c r="J47">
        <f t="shared" si="8"/>
        <v>29973.501437639465</v>
      </c>
      <c r="K47">
        <f t="shared" si="9"/>
        <v>5.1488176644080591E-2</v>
      </c>
    </row>
    <row r="48" spans="1:11" x14ac:dyDescent="0.35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6.7351192593940429E-5</v>
      </c>
      <c r="H48">
        <f t="shared" si="6"/>
        <v>14847.547036456928</v>
      </c>
      <c r="I48">
        <f t="shared" si="7"/>
        <v>15.932075263815367</v>
      </c>
      <c r="J48">
        <f t="shared" si="8"/>
        <v>29972.955310310426</v>
      </c>
      <c r="K48">
        <f t="shared" si="9"/>
        <v>0.23019127131008929</v>
      </c>
    </row>
    <row r="49" spans="1:11" x14ac:dyDescent="0.35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6.7350853911090069E-5</v>
      </c>
      <c r="H49">
        <f t="shared" si="6"/>
        <v>14847.621699349218</v>
      </c>
      <c r="I49">
        <f t="shared" si="7"/>
        <v>15.577325956453318</v>
      </c>
      <c r="J49">
        <f t="shared" si="8"/>
        <v>29973.106033357704</v>
      </c>
      <c r="K49">
        <f t="shared" si="9"/>
        <v>0.22988816309995042</v>
      </c>
    </row>
    <row r="50" spans="1:11" x14ac:dyDescent="0.35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6.7350538030018958E-5</v>
      </c>
      <c r="H50">
        <f t="shared" si="6"/>
        <v>14847.691336248685</v>
      </c>
      <c r="I50">
        <f t="shared" si="7"/>
        <v>15.239013976142035</v>
      </c>
      <c r="J50">
        <f t="shared" si="8"/>
        <v>29973.246610361472</v>
      </c>
      <c r="K50">
        <f t="shared" si="9"/>
        <v>0.22959923838762281</v>
      </c>
    </row>
    <row r="51" spans="1:11" x14ac:dyDescent="0.35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6.7350241227599823E-5</v>
      </c>
      <c r="H51">
        <f t="shared" si="6"/>
        <v>14847.756767799141</v>
      </c>
      <c r="I51">
        <f t="shared" si="7"/>
        <v>14.914139603172861</v>
      </c>
      <c r="J51">
        <f t="shared" si="8"/>
        <v>29974.08573400366</v>
      </c>
      <c r="K51">
        <f t="shared" si="9"/>
        <v>5.2057148051212247E-2</v>
      </c>
    </row>
    <row r="52" spans="1:11" x14ac:dyDescent="0.35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6.7349963619472338E-5</v>
      </c>
      <c r="H52">
        <f t="shared" si="6"/>
        <v>14847.817968395728</v>
      </c>
      <c r="I52">
        <f t="shared" si="7"/>
        <v>14.603731205034778</v>
      </c>
      <c r="J52">
        <f t="shared" si="8"/>
        <v>29974.209283436521</v>
      </c>
      <c r="K52">
        <f t="shared" si="9"/>
        <v>5.2184782863331121E-2</v>
      </c>
    </row>
    <row r="53" spans="1:11" x14ac:dyDescent="0.35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6.7349702055429181E-5</v>
      </c>
      <c r="H53">
        <f t="shared" si="6"/>
        <v>14847.87563242662</v>
      </c>
      <c r="I53">
        <f t="shared" si="7"/>
        <v>14.305097324637885</v>
      </c>
      <c r="J53">
        <f t="shared" si="8"/>
        <v>29974.325693385439</v>
      </c>
      <c r="K53">
        <f t="shared" si="9"/>
        <v>5.2307714715085413E-2</v>
      </c>
    </row>
    <row r="54" spans="1:11" x14ac:dyDescent="0.35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6.7349456779356996E-5</v>
      </c>
      <c r="H54">
        <f t="shared" si="6"/>
        <v>14847.929706041903</v>
      </c>
      <c r="I54">
        <f t="shared" si="7"/>
        <v>14.019278209627256</v>
      </c>
      <c r="J54">
        <f t="shared" si="8"/>
        <v>29974.434855140025</v>
      </c>
      <c r="K54">
        <f t="shared" si="9"/>
        <v>5.2425498503296017E-2</v>
      </c>
    </row>
    <row r="55" spans="1:11" x14ac:dyDescent="0.35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6.7349225099313208E-5</v>
      </c>
      <c r="H55">
        <f t="shared" si="6"/>
        <v>14847.980782635574</v>
      </c>
      <c r="I55">
        <f t="shared" si="7"/>
        <v>13.743841766629833</v>
      </c>
      <c r="J55">
        <f t="shared" si="8"/>
        <v>29974.537966621552</v>
      </c>
      <c r="K55">
        <f t="shared" si="9"/>
        <v>5.2539121303261035E-2</v>
      </c>
    </row>
    <row r="56" spans="1:11" x14ac:dyDescent="0.35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6.734900732316983E-5</v>
      </c>
      <c r="H56">
        <f t="shared" si="6"/>
        <v>14848.028794271087</v>
      </c>
      <c r="I56">
        <f t="shared" si="7"/>
        <v>13.479801937963879</v>
      </c>
      <c r="J56">
        <f t="shared" si="8"/>
        <v>29973.927841692126</v>
      </c>
      <c r="K56">
        <f t="shared" si="9"/>
        <v>0.22809902898893025</v>
      </c>
    </row>
    <row r="57" spans="1:11" x14ac:dyDescent="0.35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6.7348801142671293E-5</v>
      </c>
      <c r="H57">
        <f t="shared" si="6"/>
        <v>14848.074249779236</v>
      </c>
      <c r="I57">
        <f t="shared" si="7"/>
        <v>13.224961499931183</v>
      </c>
      <c r="J57">
        <f t="shared" si="8"/>
        <v>29974.726654530525</v>
      </c>
      <c r="K57">
        <f t="shared" si="9"/>
        <v>5.275348286004132E-2</v>
      </c>
    </row>
    <row r="58" spans="1:11" x14ac:dyDescent="0.35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6.7348606913286235E-5</v>
      </c>
      <c r="H58">
        <f t="shared" si="6"/>
        <v>14848.117070744109</v>
      </c>
      <c r="I58">
        <f t="shared" si="7"/>
        <v>12.980314688624487</v>
      </c>
      <c r="J58">
        <f t="shared" si="8"/>
        <v>29974.813099863131</v>
      </c>
      <c r="K58">
        <f t="shared" si="9"/>
        <v>5.2854694227197699E-2</v>
      </c>
    </row>
    <row r="59" spans="1:11" x14ac:dyDescent="0.35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6.7348422614441902E-5</v>
      </c>
      <c r="H59">
        <f t="shared" si="6"/>
        <v>14848.157702591305</v>
      </c>
      <c r="I59">
        <f t="shared" si="7"/>
        <v>12.74383238072422</v>
      </c>
      <c r="J59">
        <f t="shared" si="8"/>
        <v>29974.188070759697</v>
      </c>
      <c r="K59">
        <f t="shared" si="9"/>
        <v>0.22747250567021007</v>
      </c>
    </row>
    <row r="60" spans="1:11" x14ac:dyDescent="0.35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6.7348248648494203E-5</v>
      </c>
      <c r="H60">
        <f t="shared" si="6"/>
        <v>14848.196056577908</v>
      </c>
      <c r="I60">
        <f t="shared" si="7"/>
        <v>12.516508251006211</v>
      </c>
      <c r="J60">
        <f t="shared" si="8"/>
        <v>29974.265496500364</v>
      </c>
      <c r="K60">
        <f t="shared" si="9"/>
        <v>0.22727911741717569</v>
      </c>
    </row>
    <row r="61" spans="1:11" x14ac:dyDescent="0.35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6.7348083256313281E-5</v>
      </c>
      <c r="H61">
        <f t="shared" si="6"/>
        <v>14848.232520503974</v>
      </c>
      <c r="I61">
        <f t="shared" si="7"/>
        <v>12.296489593119086</v>
      </c>
      <c r="J61">
        <f t="shared" si="8"/>
        <v>29975.046165440264</v>
      </c>
      <c r="K61">
        <f t="shared" si="9"/>
        <v>5.313807807837409E-2</v>
      </c>
    </row>
    <row r="62" spans="1:11" x14ac:dyDescent="0.35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6.7347926829914036E-5</v>
      </c>
      <c r="H62">
        <f t="shared" si="6"/>
        <v>14848.267007913722</v>
      </c>
      <c r="I62">
        <f t="shared" si="7"/>
        <v>12.084711103372332</v>
      </c>
      <c r="J62">
        <f t="shared" si="8"/>
        <v>29975.11578730926</v>
      </c>
      <c r="K62">
        <f t="shared" si="9"/>
        <v>5.3225985315647401E-2</v>
      </c>
    </row>
    <row r="63" spans="1:11" x14ac:dyDescent="0.35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6.7347777830664438E-5</v>
      </c>
      <c r="H63">
        <f t="shared" si="6"/>
        <v>14848.299858004895</v>
      </c>
      <c r="I63">
        <f t="shared" si="7"/>
        <v>11.879476201528503</v>
      </c>
      <c r="J63">
        <f t="shared" si="8"/>
        <v>29975.182103821884</v>
      </c>
      <c r="K63">
        <f t="shared" si="9"/>
        <v>5.3311241397429987E-2</v>
      </c>
    </row>
    <row r="64" spans="1:11" x14ac:dyDescent="0.35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6.7347636663362429E-5</v>
      </c>
      <c r="H64">
        <f t="shared" si="6"/>
        <v>14848.330981508767</v>
      </c>
      <c r="I64">
        <f t="shared" si="7"/>
        <v>11.681701945051882</v>
      </c>
      <c r="J64">
        <f t="shared" si="8"/>
        <v>29974.537871385786</v>
      </c>
      <c r="K64">
        <f t="shared" si="9"/>
        <v>0.22656946318635873</v>
      </c>
    </row>
    <row r="65" spans="1:11" x14ac:dyDescent="0.35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6.7347501966353755E-5</v>
      </c>
      <c r="H65">
        <f t="shared" si="6"/>
        <v>14848.36067861272</v>
      </c>
      <c r="I65">
        <f t="shared" si="7"/>
        <v>11.489817952259543</v>
      </c>
      <c r="J65">
        <f t="shared" si="8"/>
        <v>29974.597821353786</v>
      </c>
      <c r="K65">
        <f t="shared" si="9"/>
        <v>0.22640646354034766</v>
      </c>
    </row>
    <row r="66" spans="1:11" x14ac:dyDescent="0.35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6.7347374142178018E-5</v>
      </c>
      <c r="H66">
        <f t="shared" si="6"/>
        <v>14848.388860549863</v>
      </c>
      <c r="I66">
        <f t="shared" si="7"/>
        <v>11.304712072039662</v>
      </c>
      <c r="J66">
        <f t="shared" si="8"/>
        <v>29974.654712632895</v>
      </c>
      <c r="K66">
        <f t="shared" si="9"/>
        <v>0.22624926337605436</v>
      </c>
    </row>
    <row r="67" spans="1:11" x14ac:dyDescent="0.35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6.7347251973678295E-5</v>
      </c>
      <c r="H67">
        <f t="shared" si="6"/>
        <v>14848.415795656156</v>
      </c>
      <c r="I67">
        <f t="shared" si="7"/>
        <v>11.124917150350869</v>
      </c>
      <c r="J67">
        <f t="shared" si="8"/>
        <v>29975.416154335577</v>
      </c>
      <c r="K67">
        <f t="shared" si="9"/>
        <v>5.3625240832747501E-2</v>
      </c>
    </row>
    <row r="68" spans="1:11" x14ac:dyDescent="0.35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6.7347135857366688E-5</v>
      </c>
      <c r="H68">
        <f t="shared" si="6"/>
        <v>14848.441396496539</v>
      </c>
      <c r="I68">
        <f t="shared" si="7"/>
        <v>10.951292533087097</v>
      </c>
      <c r="J68">
        <f t="shared" si="8"/>
        <v>29975.467836336873</v>
      </c>
      <c r="K68">
        <f t="shared" si="9"/>
        <v>5.3697614713018316E-2</v>
      </c>
    </row>
    <row r="69" spans="1:11" x14ac:dyDescent="0.35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6.7347024705451515E-5</v>
      </c>
      <c r="H69">
        <f t="shared" si="6"/>
        <v>14848.46590289019</v>
      </c>
      <c r="I69">
        <f t="shared" si="7"/>
        <v>10.782471411074043</v>
      </c>
      <c r="J69">
        <f t="shared" si="8"/>
        <v>29975.517308910796</v>
      </c>
      <c r="K69">
        <f t="shared" si="9"/>
        <v>5.3768030184575766E-2</v>
      </c>
    </row>
    <row r="70" spans="1:11" x14ac:dyDescent="0.35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6.7346918909962826E-5</v>
      </c>
      <c r="H70">
        <f t="shared" ref="H70:H87" si="19">1/G70</f>
        <v>14848.489228392407</v>
      </c>
      <c r="I70">
        <f t="shared" ref="I70:I87" si="20">E70/G70</f>
        <v>10.619292338736546</v>
      </c>
      <c r="J70">
        <f t="shared" ref="J70:J87" si="21">D70/G70</f>
        <v>29974.857326630306</v>
      </c>
      <c r="K70">
        <f t="shared" ref="K70:K87" si="22">(D70-$M$14-$M$15*E70)^2/G70^2</f>
        <v>0.22566753115929247</v>
      </c>
    </row>
    <row r="71" spans="1:11" x14ac:dyDescent="0.35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6.7346817493487213E-5</v>
      </c>
      <c r="H71">
        <f t="shared" si="19"/>
        <v>14848.511588490506</v>
      </c>
      <c r="I71">
        <f t="shared" si="20"/>
        <v>10.460477333353884</v>
      </c>
      <c r="J71">
        <f t="shared" si="21"/>
        <v>29974.902465279923</v>
      </c>
      <c r="K71">
        <f t="shared" si="22"/>
        <v>0.22553282104574096</v>
      </c>
    </row>
    <row r="72" spans="1:11" x14ac:dyDescent="0.35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6.7346720835502442E-5</v>
      </c>
      <c r="H72">
        <f t="shared" si="19"/>
        <v>14848.532899508908</v>
      </c>
      <c r="I72">
        <f t="shared" si="20"/>
        <v>10.306835946513626</v>
      </c>
      <c r="J72">
        <f t="shared" si="21"/>
        <v>29974.945486137214</v>
      </c>
      <c r="K72">
        <f t="shared" si="22"/>
        <v>0.22540252817501108</v>
      </c>
    </row>
    <row r="73" spans="1:11" x14ac:dyDescent="0.35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6.7346628049735809E-5</v>
      </c>
      <c r="H73">
        <f t="shared" si="19"/>
        <v>14848.553356843569</v>
      </c>
      <c r="I73">
        <f t="shared" si="20"/>
        <v>10.157162938711501</v>
      </c>
      <c r="J73">
        <f t="shared" si="21"/>
        <v>29975.693857620146</v>
      </c>
      <c r="K73">
        <f t="shared" si="22"/>
        <v>5.4029223808645679E-2</v>
      </c>
    </row>
    <row r="74" spans="1:11" x14ac:dyDescent="0.35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6.7346539502522723E-5</v>
      </c>
      <c r="H74">
        <f t="shared" si="19"/>
        <v>14848.572879717763</v>
      </c>
      <c r="I74">
        <f t="shared" si="20"/>
        <v>10.012240300488971</v>
      </c>
      <c r="J74">
        <f t="shared" si="21"/>
        <v>29975.026194755981</v>
      </c>
      <c r="K74">
        <f t="shared" si="22"/>
        <v>0.22515278058240842</v>
      </c>
    </row>
    <row r="75" spans="1:11" x14ac:dyDescent="0.35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6.7346454391350584E-5</v>
      </c>
      <c r="H75">
        <f t="shared" si="19"/>
        <v>14848.591645062634</v>
      </c>
      <c r="I75">
        <f t="shared" si="20"/>
        <v>9.8709355111253902</v>
      </c>
      <c r="J75">
        <f t="shared" si="21"/>
        <v>29975.064076625746</v>
      </c>
      <c r="K75">
        <f t="shared" si="22"/>
        <v>0.22503302435320255</v>
      </c>
    </row>
    <row r="76" spans="1:11" x14ac:dyDescent="0.35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6.734637307617026E-5</v>
      </c>
      <c r="H76">
        <f t="shared" si="19"/>
        <v>14848.609573510032</v>
      </c>
      <c r="I76">
        <f t="shared" si="20"/>
        <v>9.7340165746229985</v>
      </c>
      <c r="J76">
        <f t="shared" si="21"/>
        <v>29975.807345684971</v>
      </c>
      <c r="K76">
        <f t="shared" si="22"/>
        <v>5.4206310297192348E-2</v>
      </c>
    </row>
    <row r="77" spans="1:11" x14ac:dyDescent="0.35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6.7346294819415194E-5</v>
      </c>
      <c r="H77">
        <f t="shared" si="19"/>
        <v>14848.626827673837</v>
      </c>
      <c r="I77">
        <f t="shared" si="20"/>
        <v>9.6004032074608414</v>
      </c>
      <c r="J77">
        <f t="shared" si="21"/>
        <v>29975.842177733557</v>
      </c>
      <c r="K77">
        <f t="shared" si="22"/>
        <v>5.4262283806137485E-2</v>
      </c>
    </row>
    <row r="78" spans="1:11" x14ac:dyDescent="0.35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6.7346219962779045E-5</v>
      </c>
      <c r="H78">
        <f t="shared" si="19"/>
        <v>14848.643332211974</v>
      </c>
      <c r="I78">
        <f t="shared" si="20"/>
        <v>9.4708308955963787</v>
      </c>
      <c r="J78">
        <f t="shared" si="21"/>
        <v>29975.168418212506</v>
      </c>
      <c r="K78">
        <f t="shared" si="22"/>
        <v>0.22469406430227021</v>
      </c>
    </row>
    <row r="79" spans="1:11" x14ac:dyDescent="0.35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6.7346147843869812E-5</v>
      </c>
      <c r="H79">
        <f t="shared" si="19"/>
        <v>14848.659233165406</v>
      </c>
      <c r="I79">
        <f t="shared" si="20"/>
        <v>9.3442978168650601</v>
      </c>
      <c r="J79">
        <f t="shared" si="21"/>
        <v>29975.907596705441</v>
      </c>
      <c r="K79">
        <f t="shared" si="22"/>
        <v>5.4369647538849826E-2</v>
      </c>
    </row>
    <row r="80" spans="1:11" x14ac:dyDescent="0.35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6.734607878587404E-5</v>
      </c>
      <c r="H80">
        <f t="shared" si="19"/>
        <v>14848.674459273074</v>
      </c>
      <c r="I80">
        <f t="shared" si="20"/>
        <v>9.2215076301734005</v>
      </c>
      <c r="J80">
        <f t="shared" si="21"/>
        <v>29976.645414327697</v>
      </c>
      <c r="K80">
        <f t="shared" si="22"/>
        <v>0.88428288356436291</v>
      </c>
    </row>
    <row r="81" spans="1:11" x14ac:dyDescent="0.35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6.7346012176155173E-5</v>
      </c>
      <c r="H81">
        <f t="shared" si="19"/>
        <v>14848.689145607115</v>
      </c>
      <c r="I81">
        <f t="shared" si="20"/>
        <v>9.1015008968111992</v>
      </c>
      <c r="J81">
        <f t="shared" si="21"/>
        <v>29977.382143674382</v>
      </c>
      <c r="K81">
        <f t="shared" si="22"/>
        <v>2.7144283335007406</v>
      </c>
    </row>
    <row r="82" spans="1:11" x14ac:dyDescent="0.35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6.7345948327260659E-5</v>
      </c>
      <c r="H82">
        <f t="shared" si="19"/>
        <v>14848.703223252624</v>
      </c>
      <c r="I82">
        <f t="shared" si="20"/>
        <v>8.9849633782374401</v>
      </c>
      <c r="J82">
        <f t="shared" si="21"/>
        <v>29975.289321111853</v>
      </c>
      <c r="K82">
        <f t="shared" si="22"/>
        <v>0.22428270586403495</v>
      </c>
    </row>
    <row r="83" spans="1:11" x14ac:dyDescent="0.35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6.7345886679660331E-5</v>
      </c>
      <c r="H83">
        <f t="shared" si="19"/>
        <v>14848.7168155738</v>
      </c>
      <c r="I83">
        <f t="shared" si="20"/>
        <v>8.8709907964172441</v>
      </c>
      <c r="J83">
        <f t="shared" si="21"/>
        <v>29975.316760124628</v>
      </c>
      <c r="K83">
        <f t="shared" si="22"/>
        <v>0.22418625244846674</v>
      </c>
    </row>
    <row r="84" spans="1:11" x14ac:dyDescent="0.35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6.7345827539903343E-5</v>
      </c>
      <c r="H84">
        <f t="shared" si="19"/>
        <v>14848.729854978559</v>
      </c>
      <c r="I84">
        <f t="shared" si="20"/>
        <v>8.7602609158521538</v>
      </c>
      <c r="J84">
        <f t="shared" si="21"/>
        <v>29975.34308295745</v>
      </c>
      <c r="K84">
        <f t="shared" si="22"/>
        <v>0.22409255792518759</v>
      </c>
    </row>
    <row r="85" spans="1:11" x14ac:dyDescent="0.35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6.7345770375841664E-5</v>
      </c>
      <c r="H85">
        <f t="shared" si="19"/>
        <v>14848.742458794724</v>
      </c>
      <c r="I85">
        <f t="shared" si="20"/>
        <v>8.651883099835878</v>
      </c>
      <c r="J85">
        <f t="shared" si="21"/>
        <v>29975.368526461196</v>
      </c>
      <c r="K85">
        <f t="shared" si="22"/>
        <v>0.22400086801368446</v>
      </c>
    </row>
    <row r="86" spans="1:11" x14ac:dyDescent="0.35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6.7345715485738215E-5</v>
      </c>
      <c r="H86">
        <f t="shared" si="19"/>
        <v>14848.754561257423</v>
      </c>
      <c r="I86">
        <f t="shared" si="20"/>
        <v>8.5465229202766562</v>
      </c>
      <c r="J86">
        <f t="shared" si="21"/>
        <v>29975.392957875541</v>
      </c>
      <c r="K86">
        <f t="shared" si="22"/>
        <v>0.22391174460866037</v>
      </c>
    </row>
    <row r="87" spans="1:11" x14ac:dyDescent="0.35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6.7345662380767857E-5</v>
      </c>
      <c r="H87">
        <f t="shared" si="19"/>
        <v>14848.766270143236</v>
      </c>
      <c r="I87">
        <f t="shared" si="20"/>
        <v>8.4433378065759097</v>
      </c>
      <c r="J87">
        <f t="shared" si="21"/>
        <v>29975.416594770602</v>
      </c>
      <c r="K87">
        <f t="shared" si="22"/>
        <v>0.22382447400016559</v>
      </c>
    </row>
    <row r="88" spans="1:11" x14ac:dyDescent="0.35">
      <c r="A88">
        <v>1779.796</v>
      </c>
      <c r="B88">
        <f t="shared" si="16"/>
        <v>21.233999999999924</v>
      </c>
    </row>
    <row r="89" spans="1:11" x14ac:dyDescent="0.35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5" x14ac:dyDescent="0.35">
      <c r="A3">
        <v>-4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5" x14ac:dyDescent="0.35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5" x14ac:dyDescent="0.35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5" x14ac:dyDescent="0.35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5" x14ac:dyDescent="0.35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5" x14ac:dyDescent="0.35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5" x14ac:dyDescent="0.35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5" x14ac:dyDescent="0.35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5" x14ac:dyDescent="0.35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5" x14ac:dyDescent="0.35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>
        <f>SQRT(M11)</f>
        <v>8.2048850909719795E-6</v>
      </c>
      <c r="O14" t="s">
        <v>42</v>
      </c>
    </row>
    <row r="15" spans="1:15" x14ac:dyDescent="0.35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O15" t="s">
        <v>43</v>
      </c>
    </row>
    <row r="16" spans="1:15" x14ac:dyDescent="0.35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35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35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35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35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35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35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35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35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35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35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35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35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35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35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35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35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35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35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35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35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35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35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35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35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35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35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35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35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35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35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35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35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35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35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35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35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35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35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35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35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35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35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35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35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35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35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35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35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35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35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35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35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35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35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35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35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35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35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35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35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35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35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35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35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35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35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35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35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35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35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35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35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35">
      <c r="A89">
        <v>1785.91</v>
      </c>
      <c r="B89">
        <f t="shared" si="16"/>
        <v>20.990000000000009</v>
      </c>
    </row>
    <row r="90" spans="1:11" x14ac:dyDescent="0.35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5" x14ac:dyDescent="0.35">
      <c r="A3">
        <v>-3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5" x14ac:dyDescent="0.35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5" x14ac:dyDescent="0.35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5" x14ac:dyDescent="0.35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5" x14ac:dyDescent="0.35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5" x14ac:dyDescent="0.35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5" x14ac:dyDescent="0.35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5" x14ac:dyDescent="0.35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5" x14ac:dyDescent="0.35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5" x14ac:dyDescent="0.35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>
        <f>SQRT(M11)</f>
        <v>8.1508548915120714E-6</v>
      </c>
      <c r="O14" t="s">
        <v>42</v>
      </c>
    </row>
    <row r="15" spans="1:15" x14ac:dyDescent="0.35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O15" t="s">
        <v>43</v>
      </c>
    </row>
    <row r="16" spans="1:15" x14ac:dyDescent="0.35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35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35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35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35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35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35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35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35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35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35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35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35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35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35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35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35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35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35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35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35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35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35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35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35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35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35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35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35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35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35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35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35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35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35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35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35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35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35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35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35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35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35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35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35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35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35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35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35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35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35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35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35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35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35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35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35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35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35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35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35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35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35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35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35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35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35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35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35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35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35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35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35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35">
      <c r="A89">
        <v>1787.58</v>
      </c>
      <c r="B89">
        <f t="shared" si="16"/>
        <v>21.146000000000186</v>
      </c>
    </row>
    <row r="90" spans="1:11" x14ac:dyDescent="0.35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5" x14ac:dyDescent="0.35">
      <c r="A3">
        <v>-2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5" x14ac:dyDescent="0.35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5" x14ac:dyDescent="0.35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5" x14ac:dyDescent="0.35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5" x14ac:dyDescent="0.35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5" x14ac:dyDescent="0.35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5" x14ac:dyDescent="0.35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5" x14ac:dyDescent="0.35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5" x14ac:dyDescent="0.35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5" x14ac:dyDescent="0.35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>
        <f>SQRT(M11)</f>
        <v>8.2004357679643336E-6</v>
      </c>
      <c r="O14" t="s">
        <v>42</v>
      </c>
    </row>
    <row r="15" spans="1:15" x14ac:dyDescent="0.35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O15" t="s">
        <v>43</v>
      </c>
    </row>
    <row r="16" spans="1:15" x14ac:dyDescent="0.35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35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35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35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35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35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35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35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35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35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35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35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35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35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35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35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35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35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35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35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35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35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35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35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35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35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35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35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35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35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35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35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35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35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35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35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35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35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35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35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35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35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35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35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35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35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35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35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35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35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35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35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35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35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35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35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35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35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35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35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35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35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35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35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35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35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35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35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35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35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35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35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35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35">
      <c r="A89">
        <v>1788.374</v>
      </c>
      <c r="B89">
        <f t="shared" si="16"/>
        <v>21.16599999999994</v>
      </c>
    </row>
    <row r="90" spans="1:11" x14ac:dyDescent="0.35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O89"/>
  <sheetViews>
    <sheetView workbookViewId="0">
      <selection activeCell="N14" sqref="N14"/>
    </sheetView>
  </sheetViews>
  <sheetFormatPr defaultColWidth="8.81640625" defaultRowHeight="14.5" x14ac:dyDescent="0.35"/>
  <cols>
    <col min="13" max="14" width="11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5" x14ac:dyDescent="0.35">
      <c r="A3">
        <v>-1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5" x14ac:dyDescent="0.35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5" x14ac:dyDescent="0.35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5" x14ac:dyDescent="0.35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5" x14ac:dyDescent="0.35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5" x14ac:dyDescent="0.35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5" x14ac:dyDescent="0.35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5" x14ac:dyDescent="0.35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5" x14ac:dyDescent="0.35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5" x14ac:dyDescent="0.35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>
        <f>SQRT(M11)</f>
        <v>1.0403427922638593E-5</v>
      </c>
      <c r="O14" t="s">
        <v>42</v>
      </c>
    </row>
    <row r="15" spans="1:15" x14ac:dyDescent="0.35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O15" t="s">
        <v>43</v>
      </c>
    </row>
    <row r="16" spans="1:15" x14ac:dyDescent="0.35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35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35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35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35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35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35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35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35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35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35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35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35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35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35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35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35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35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35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35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35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35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35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35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35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35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35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35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35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35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35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35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35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35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35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35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35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35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35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35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35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35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35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35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35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35">
      <c r="A61">
        <v>1200.559</v>
      </c>
      <c r="B61">
        <f t="shared" si="3"/>
        <v>20.952999999999975</v>
      </c>
    </row>
    <row r="62" spans="1:11" x14ac:dyDescent="0.35">
      <c r="A62">
        <v>1221.5119999999999</v>
      </c>
    </row>
    <row r="89" spans="2:2" x14ac:dyDescent="0.35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5" x14ac:dyDescent="0.35">
      <c r="A3">
        <v>0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5" x14ac:dyDescent="0.35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5" x14ac:dyDescent="0.35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5" x14ac:dyDescent="0.35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5" x14ac:dyDescent="0.35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5" x14ac:dyDescent="0.35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5" x14ac:dyDescent="0.35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5" x14ac:dyDescent="0.35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5" x14ac:dyDescent="0.35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5" x14ac:dyDescent="0.35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>
        <f>SQRT(M11)</f>
        <v>8.1828788534252922E-6</v>
      </c>
      <c r="O14" t="s">
        <v>42</v>
      </c>
    </row>
    <row r="15" spans="1:15" x14ac:dyDescent="0.35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O15" t="s">
        <v>43</v>
      </c>
    </row>
    <row r="16" spans="1:15" x14ac:dyDescent="0.35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35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35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35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35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35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35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35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35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35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35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35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35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35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35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35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35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35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35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35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35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35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35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35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35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35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35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35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35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35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35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35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35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35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35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35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35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35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35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35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35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35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35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35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35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35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35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35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35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35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35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35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35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35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35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35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35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35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35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35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35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35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35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35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35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35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35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35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35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35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35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35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35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35">
      <c r="A89">
        <v>1792.047</v>
      </c>
      <c r="B89">
        <f t="shared" si="16"/>
        <v>20.985999999999876</v>
      </c>
    </row>
    <row r="90" spans="1:11" x14ac:dyDescent="0.35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5" x14ac:dyDescent="0.35">
      <c r="A3">
        <v>1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5" x14ac:dyDescent="0.35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5" x14ac:dyDescent="0.35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5" x14ac:dyDescent="0.35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5" x14ac:dyDescent="0.35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5" x14ac:dyDescent="0.35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5" x14ac:dyDescent="0.35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5" x14ac:dyDescent="0.35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5" x14ac:dyDescent="0.35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5" x14ac:dyDescent="0.35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>
        <f>SQRT(M11)</f>
        <v>8.1153559805329161E-6</v>
      </c>
      <c r="O14" t="s">
        <v>42</v>
      </c>
    </row>
    <row r="15" spans="1:15" x14ac:dyDescent="0.35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O15" t="s">
        <v>43</v>
      </c>
    </row>
    <row r="16" spans="1:15" x14ac:dyDescent="0.35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35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35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35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35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35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35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35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35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35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35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35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35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35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35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35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35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35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35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35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35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35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35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35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35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35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35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35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35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35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35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35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35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35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35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35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35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35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35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35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35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35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35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35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35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35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35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35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35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35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35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35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35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35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35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35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35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35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35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35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35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35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35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35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35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35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35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35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35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35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35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35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35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35">
      <c r="A89">
        <v>1793.4480000000001</v>
      </c>
      <c r="B89">
        <f t="shared" si="16"/>
        <v>21.189999999999827</v>
      </c>
    </row>
    <row r="90" spans="1:11" x14ac:dyDescent="0.35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5" x14ac:dyDescent="0.35">
      <c r="A3">
        <v>2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5" x14ac:dyDescent="0.35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5" x14ac:dyDescent="0.35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5" x14ac:dyDescent="0.35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5" x14ac:dyDescent="0.35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5" x14ac:dyDescent="0.35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5" x14ac:dyDescent="0.35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5" x14ac:dyDescent="0.35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5" x14ac:dyDescent="0.35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5" x14ac:dyDescent="0.35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>
        <f>SQRT(M11)</f>
        <v>8.193530454120339E-6</v>
      </c>
      <c r="O14" t="s">
        <v>42</v>
      </c>
    </row>
    <row r="15" spans="1:15" x14ac:dyDescent="0.35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O15" t="s">
        <v>43</v>
      </c>
    </row>
    <row r="16" spans="1:15" x14ac:dyDescent="0.35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35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35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35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35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35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35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35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35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35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35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35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35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35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35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35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35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35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35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35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35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35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35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35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35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35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35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35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35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35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35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35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35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35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35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35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35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35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35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35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35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35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35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35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35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35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35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35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35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35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35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35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35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35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35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35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35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35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35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35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35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35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35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35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35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35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35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35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35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35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35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35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35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35">
      <c r="A89">
        <v>1792.9269999999999</v>
      </c>
      <c r="B89">
        <f t="shared" si="16"/>
        <v>21.027000000000044</v>
      </c>
    </row>
    <row r="90" spans="1:11" x14ac:dyDescent="0.35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5" x14ac:dyDescent="0.35">
      <c r="A3">
        <v>3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5" x14ac:dyDescent="0.35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5" x14ac:dyDescent="0.35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5" x14ac:dyDescent="0.35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5" x14ac:dyDescent="0.35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5" x14ac:dyDescent="0.35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5" x14ac:dyDescent="0.35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5" x14ac:dyDescent="0.35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5" x14ac:dyDescent="0.35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5" x14ac:dyDescent="0.35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>
        <f>SQRT(M11)</f>
        <v>8.0729347669948473E-6</v>
      </c>
      <c r="O14" t="s">
        <v>42</v>
      </c>
    </row>
    <row r="15" spans="1:15" x14ac:dyDescent="0.35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O15" t="s">
        <v>43</v>
      </c>
    </row>
    <row r="16" spans="1:15" x14ac:dyDescent="0.35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35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35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35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35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35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35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35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35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35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35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35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35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35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35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35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35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35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35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35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35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35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35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35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35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35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35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35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35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35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35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35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35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35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35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35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35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35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35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35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35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35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35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35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35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35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35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35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35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35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35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35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35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35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35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35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35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35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35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35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35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35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35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35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35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35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35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35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35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35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35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35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35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35">
      <c r="A89">
        <v>1794.2270000000001</v>
      </c>
      <c r="B89">
        <f t="shared" si="16"/>
        <v>21.159999999999854</v>
      </c>
    </row>
    <row r="90" spans="1:11" x14ac:dyDescent="0.35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O90"/>
  <sheetViews>
    <sheetView workbookViewId="0">
      <selection activeCell="N14" sqref="N14"/>
    </sheetView>
  </sheetViews>
  <sheetFormatPr defaultColWidth="8.81640625"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5" x14ac:dyDescent="0.35">
      <c r="A3">
        <v>4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5" x14ac:dyDescent="0.35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5" x14ac:dyDescent="0.35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5" x14ac:dyDescent="0.35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5" x14ac:dyDescent="0.35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5" x14ac:dyDescent="0.35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5" x14ac:dyDescent="0.35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5" x14ac:dyDescent="0.35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5" x14ac:dyDescent="0.35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5" x14ac:dyDescent="0.35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>
        <f>SQRT(M11)</f>
        <v>8.1559093993960303E-6</v>
      </c>
      <c r="O14" t="s">
        <v>42</v>
      </c>
    </row>
    <row r="15" spans="1:15" x14ac:dyDescent="0.35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O15" t="s">
        <v>43</v>
      </c>
    </row>
    <row r="16" spans="1:15" x14ac:dyDescent="0.35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35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35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35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35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35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35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35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35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35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35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35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35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35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35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35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35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35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35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35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35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35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35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35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35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35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35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35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35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35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35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35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35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35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35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35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35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35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35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35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35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35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35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35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35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35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35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35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35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35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35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35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35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35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35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35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35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35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35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35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35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35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35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35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35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35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35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35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35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35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35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35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35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35">
      <c r="A89">
        <v>1796.075</v>
      </c>
      <c r="B89">
        <f t="shared" si="16"/>
        <v>20.961999999999989</v>
      </c>
    </row>
    <row r="90" spans="1:11" x14ac:dyDescent="0.35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AV42"/>
  <sheetViews>
    <sheetView zoomScale="80" zoomScaleNormal="80" workbookViewId="0">
      <selection activeCell="H3" sqref="H3"/>
    </sheetView>
  </sheetViews>
  <sheetFormatPr defaultColWidth="8.81640625" defaultRowHeight="14.5" x14ac:dyDescent="0.35"/>
  <cols>
    <col min="2" max="3" width="11.81640625" bestFit="1" customWidth="1"/>
    <col min="8" max="8" width="11.81640625" bestFit="1" customWidth="1"/>
    <col min="15" max="15" width="11.81640625" bestFit="1" customWidth="1"/>
    <col min="17" max="17" width="12.36328125" bestFit="1" customWidth="1"/>
    <col min="20" max="20" width="12.1796875" bestFit="1" customWidth="1"/>
    <col min="21" max="21" width="10" customWidth="1"/>
    <col min="26" max="26" width="12.6328125" customWidth="1"/>
    <col min="28" max="28" width="12.453125" customWidth="1"/>
    <col min="29" max="29" width="11.1796875" customWidth="1"/>
    <col min="30" max="30" width="10" customWidth="1"/>
    <col min="33" max="33" width="12.453125" bestFit="1" customWidth="1"/>
    <col min="36" max="37" width="13" bestFit="1" customWidth="1"/>
    <col min="39" max="39" width="13.36328125" bestFit="1" customWidth="1"/>
    <col min="40" max="40" width="11.81640625" customWidth="1"/>
    <col min="41" max="41" width="12.453125" bestFit="1" customWidth="1"/>
    <col min="43" max="43" width="10" customWidth="1"/>
    <col min="44" max="44" width="9.1796875" bestFit="1" customWidth="1"/>
  </cols>
  <sheetData>
    <row r="1" spans="1:47" x14ac:dyDescent="0.35">
      <c r="A1" t="s">
        <v>48</v>
      </c>
      <c r="B1" t="s">
        <v>46</v>
      </c>
      <c r="C1" t="s">
        <v>47</v>
      </c>
      <c r="F1" t="s">
        <v>51</v>
      </c>
      <c r="G1">
        <v>0.01</v>
      </c>
      <c r="I1">
        <v>2.1865287148656164E-3</v>
      </c>
      <c r="P1" s="3"/>
      <c r="AC1">
        <v>7.1500032914886824E-4</v>
      </c>
    </row>
    <row r="2" spans="1:47" x14ac:dyDescent="0.35">
      <c r="A2">
        <v>-4</v>
      </c>
      <c r="B2" s="4">
        <f>'U -4'!M14</f>
        <v>1.9962664415886664</v>
      </c>
      <c r="C2" s="4">
        <f>'D -4'!M14</f>
        <v>2.0013007762116621</v>
      </c>
      <c r="F2" t="s">
        <v>31</v>
      </c>
      <c r="G2" t="s">
        <v>49</v>
      </c>
      <c r="H2" t="s">
        <v>50</v>
      </c>
      <c r="I2" t="s">
        <v>53</v>
      </c>
      <c r="J2" t="s">
        <v>33</v>
      </c>
      <c r="K2" t="s">
        <v>34</v>
      </c>
      <c r="L2" t="s">
        <v>35</v>
      </c>
      <c r="M2" t="s">
        <v>36</v>
      </c>
      <c r="N2" t="s">
        <v>55</v>
      </c>
      <c r="O2" cm="1">
        <f t="array" ref="O2:P3">MMULT(TRANSPOSE(J3:K11),J3:K11)</f>
        <v>89999.999998955507</v>
      </c>
      <c r="P2">
        <v>2.4087712517939508E-6</v>
      </c>
      <c r="X2" t="s">
        <v>70</v>
      </c>
      <c r="Y2" t="s">
        <v>31</v>
      </c>
      <c r="Z2" t="s">
        <v>49</v>
      </c>
      <c r="AA2" t="s">
        <v>63</v>
      </c>
      <c r="AB2" t="s">
        <v>64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I2" t="s">
        <v>55</v>
      </c>
      <c r="AJ2">
        <f t="array" ref="AJ2:AK3">MMULT(TRANSPOSE(AD3:AE11),AD3:AE11)</f>
        <v>47933.5320843234</v>
      </c>
      <c r="AK2">
        <v>11876.516162465959</v>
      </c>
      <c r="AM2" t="s">
        <v>40</v>
      </c>
      <c r="AN2">
        <f t="array" ref="AN2:AN3">MMULT(AJ8:AK9,AJ5:AJ6)</f>
        <v>2.0006845648629592</v>
      </c>
      <c r="AO2">
        <f>SQRT(AJ8)</f>
        <v>4.590808412487146E-3</v>
      </c>
      <c r="AQ2">
        <v>2.0006845648629592</v>
      </c>
    </row>
    <row r="3" spans="1:47" x14ac:dyDescent="0.35">
      <c r="A3">
        <v>-3</v>
      </c>
      <c r="B3" s="4">
        <f>'U -3'!M14</f>
        <v>1.9990250876773188</v>
      </c>
      <c r="C3" s="4">
        <f>'D -3'!M14</f>
        <v>2.0030884277980414</v>
      </c>
      <c r="F3">
        <v>-4</v>
      </c>
      <c r="G3" s="4">
        <f>B2</f>
        <v>1.9962664415886664</v>
      </c>
      <c r="H3">
        <f>'U -4'!$N$14</f>
        <v>3.816363706787402E-5</v>
      </c>
      <c r="I3">
        <f>SQRT($G$1^2+($I$1*H3)^2)</f>
        <v>1.0000000000348161E-2</v>
      </c>
      <c r="J3">
        <f>1/I3</f>
        <v>99.999999996518397</v>
      </c>
      <c r="K3">
        <f>F3/I3</f>
        <v>-399.99999998607359</v>
      </c>
      <c r="L3">
        <f>G3/I3</f>
        <v>199.62664415191642</v>
      </c>
      <c r="M3">
        <f>(F3-$O$11-$O$12*G3)^2/I3^2</f>
        <v>361402.0370412998</v>
      </c>
      <c r="O3">
        <v>2.4087712517939508E-6</v>
      </c>
      <c r="P3">
        <v>599999.99998664984</v>
      </c>
      <c r="Y3">
        <v>-4</v>
      </c>
      <c r="Z3" s="7">
        <v>1.9962665226577414</v>
      </c>
      <c r="AA3">
        <v>0.02</v>
      </c>
      <c r="AB3">
        <v>2.9434267105724518E-5</v>
      </c>
      <c r="AC3">
        <f>SQRT(AB3^2+($AC$1*AA3)^2)*574.370990478104*1.03911363468679</f>
        <v>1.9530940630497803E-2</v>
      </c>
      <c r="AD3">
        <f>1/AC3</f>
        <v>51.200811006433952</v>
      </c>
      <c r="AE3">
        <f>Y3/AC3</f>
        <v>-204.80324402573581</v>
      </c>
      <c r="AF3">
        <f>Z3/AC3</f>
        <v>102.21046494507011</v>
      </c>
      <c r="AG3">
        <f>(Z3-$AN$2-$AN$3*Y3)^2/AC3^2</f>
        <v>6.3637378931547329E-3</v>
      </c>
      <c r="AJ3">
        <v>11876.516162465959</v>
      </c>
      <c r="AK3">
        <v>290754.83776161814</v>
      </c>
      <c r="AN3">
        <v>7.1499992480715535E-4</v>
      </c>
      <c r="AO3">
        <f>SQRT(AK9)</f>
        <v>1.8639978628329742E-3</v>
      </c>
      <c r="AQ3">
        <v>7.1499992480715535E-4</v>
      </c>
    </row>
    <row r="4" spans="1:47" x14ac:dyDescent="0.35">
      <c r="A4">
        <v>-2</v>
      </c>
      <c r="B4" s="4">
        <f>'U -2'!M14</f>
        <v>2.0039311329481135</v>
      </c>
      <c r="C4" s="4">
        <f>'D -2'!M14</f>
        <v>2.0046117725481953</v>
      </c>
      <c r="F4">
        <v>-3</v>
      </c>
      <c r="G4" s="4">
        <f t="shared" ref="G4:G11" si="0">B3</f>
        <v>1.9990250876773188</v>
      </c>
      <c r="H4">
        <f>'U -3'!$N$14</f>
        <v>8.4850367615936243E-6</v>
      </c>
      <c r="I4">
        <f t="shared" ref="I4:I11" si="1">SQRT($G$1^2+($I$1*H4)^2)</f>
        <v>1.000000000001721E-2</v>
      </c>
      <c r="J4">
        <f t="shared" ref="J4:J11" si="2">1/I4</f>
        <v>99.999999999827892</v>
      </c>
      <c r="K4">
        <f t="shared" ref="K4:K11" si="3">F4/I4</f>
        <v>-299.99999999948369</v>
      </c>
      <c r="L4">
        <f t="shared" ref="L4:L11" si="4">G4/I4</f>
        <v>199.90250876738784</v>
      </c>
      <c r="M4">
        <f t="shared" ref="M4:M11" si="5">(F4-$O$11-$O$12*G4)^2/I4^2</f>
        <v>251169.25759774572</v>
      </c>
      <c r="Y4">
        <v>-3</v>
      </c>
      <c r="Z4" s="7">
        <v>1.9990286107168584</v>
      </c>
      <c r="AA4">
        <v>0.02</v>
      </c>
      <c r="AB4">
        <v>1.7054145943277208E-5</v>
      </c>
      <c r="AC4">
        <f t="shared" ref="AC4:AC11" si="6">SQRT(AB4^2+($AC$1*AA4)^2)*574.370990478104*1.03911363468679</f>
        <v>1.3283259165261883E-2</v>
      </c>
      <c r="AD4">
        <f t="shared" ref="AD4:AD11" si="7">1/AC4</f>
        <v>75.282729001868773</v>
      </c>
      <c r="AE4">
        <f t="shared" ref="AE4:AE11" si="8">Y4/AC4</f>
        <v>-225.84818700560635</v>
      </c>
      <c r="AF4">
        <f t="shared" ref="AF4:AF11" si="9">Z4/AC4</f>
        <v>150.4923291675795</v>
      </c>
      <c r="AG4">
        <f t="shared" ref="AG4:AG11" si="10">(Z4-$AN$2-$AN$3*Y4)^2/AC4^2</f>
        <v>1.3554686262118815E-3</v>
      </c>
    </row>
    <row r="5" spans="1:47" x14ac:dyDescent="0.35">
      <c r="A5">
        <v>-1</v>
      </c>
      <c r="B5" s="4">
        <f>'U +2'!M14</f>
        <v>2.0064414172268776</v>
      </c>
      <c r="C5" s="4">
        <f>'D -1'!M14</f>
        <v>2.0064791732083078</v>
      </c>
      <c r="F5">
        <v>-2</v>
      </c>
      <c r="G5" s="4">
        <f t="shared" si="0"/>
        <v>2.0039311329481135</v>
      </c>
      <c r="H5">
        <f>'U -2'!$N$14</f>
        <v>8.2900987669174676E-6</v>
      </c>
      <c r="I5">
        <f t="shared" si="1"/>
        <v>1.0000000000016428E-2</v>
      </c>
      <c r="J5">
        <f t="shared" si="2"/>
        <v>99.999999999835723</v>
      </c>
      <c r="K5">
        <f t="shared" si="3"/>
        <v>-199.99999999967145</v>
      </c>
      <c r="L5">
        <f t="shared" si="4"/>
        <v>200.39311329448213</v>
      </c>
      <c r="M5">
        <f t="shared" si="5"/>
        <v>160936.62740801144</v>
      </c>
      <c r="N5" t="s">
        <v>56</v>
      </c>
      <c r="O5" cm="1">
        <f t="array" ref="O5:O6">MMULT(TRANSPOSE(J3:K11),L3:L11)</f>
        <v>180617.56787273288</v>
      </c>
      <c r="Y5">
        <v>-2</v>
      </c>
      <c r="Z5" s="7">
        <v>2.0039301508939351</v>
      </c>
      <c r="AA5">
        <v>0.02</v>
      </c>
      <c r="AB5">
        <v>1.6933495669724919E-5</v>
      </c>
      <c r="AC5">
        <f t="shared" si="6"/>
        <v>1.3228162234182141E-2</v>
      </c>
      <c r="AD5">
        <f t="shared" si="7"/>
        <v>75.596290875232611</v>
      </c>
      <c r="AE5">
        <f t="shared" si="8"/>
        <v>-151.19258175046522</v>
      </c>
      <c r="AF5">
        <f t="shared" si="9"/>
        <v>151.48968658062671</v>
      </c>
      <c r="AG5">
        <f t="shared" si="10"/>
        <v>0.12493181567383066</v>
      </c>
      <c r="AI5" t="s">
        <v>56</v>
      </c>
      <c r="AJ5">
        <f t="array" ref="AJ5:AJ6">MMULT(TRANSPOSE(AD3:AE11),AF3:AF11)</f>
        <v>95908.369488632394</v>
      </c>
      <c r="AM5" t="s">
        <v>41</v>
      </c>
      <c r="AN5">
        <f>+SUM(AG3:AG11)/(COUNT(AG3:AG11)-2)</f>
        <v>1.0000000000000031</v>
      </c>
    </row>
    <row r="6" spans="1:47" x14ac:dyDescent="0.35">
      <c r="A6">
        <v>0</v>
      </c>
      <c r="B6" s="4">
        <f>'U -1'!M14</f>
        <v>2.0064414172268776</v>
      </c>
      <c r="C6" s="4">
        <f>'D 0'!M14</f>
        <v>2.0079511572584052</v>
      </c>
      <c r="F6">
        <v>-1</v>
      </c>
      <c r="G6" s="4">
        <f t="shared" si="0"/>
        <v>2.0064414172268776</v>
      </c>
      <c r="H6">
        <f>'U -1'!$N$14</f>
        <v>8.3316997978908053E-6</v>
      </c>
      <c r="I6">
        <f t="shared" si="1"/>
        <v>1.0000000000016595E-2</v>
      </c>
      <c r="J6">
        <f t="shared" si="2"/>
        <v>99.99999999983406</v>
      </c>
      <c r="K6">
        <f t="shared" si="3"/>
        <v>-99.99999999983406</v>
      </c>
      <c r="L6">
        <f t="shared" si="4"/>
        <v>200.64414172235479</v>
      </c>
      <c r="M6">
        <f t="shared" si="5"/>
        <v>90703.176598853679</v>
      </c>
      <c r="O6">
        <v>1445.8260681667889</v>
      </c>
      <c r="Y6">
        <v>-1</v>
      </c>
      <c r="Z6" s="7">
        <v>2.0064418884331521</v>
      </c>
      <c r="AA6">
        <v>0.02</v>
      </c>
      <c r="AB6">
        <v>1.7029600173168666E-5</v>
      </c>
      <c r="AC6">
        <f t="shared" si="6"/>
        <v>1.3272036812433266E-2</v>
      </c>
      <c r="AD6">
        <f t="shared" si="7"/>
        <v>75.346385346309347</v>
      </c>
      <c r="AE6">
        <f t="shared" si="8"/>
        <v>-75.346385346309347</v>
      </c>
      <c r="AF6">
        <f t="shared" si="9"/>
        <v>151.17814370086089</v>
      </c>
      <c r="AG6">
        <f t="shared" si="10"/>
        <v>0.23781830325257683</v>
      </c>
      <c r="AJ6">
        <v>23969.052257727984</v>
      </c>
      <c r="AM6" t="s">
        <v>65</v>
      </c>
      <c r="AN6">
        <f>SQRT(AN5)</f>
        <v>1.0000000000000016</v>
      </c>
      <c r="AQ6">
        <f>AN3*(-9.7)+AN2</f>
        <v>1.9937490655923298</v>
      </c>
    </row>
    <row r="7" spans="1:47" x14ac:dyDescent="0.35">
      <c r="A7">
        <v>1</v>
      </c>
      <c r="B7" s="4">
        <f>'U +3'!M14</f>
        <v>2.0088907216106278</v>
      </c>
      <c r="C7" s="4">
        <f>'D +1'!M14</f>
        <v>2.0100730496694679</v>
      </c>
      <c r="F7">
        <v>0</v>
      </c>
      <c r="G7" s="4">
        <f t="shared" si="0"/>
        <v>2.0064414172268776</v>
      </c>
      <c r="H7">
        <f>'U 0'!$N$14</f>
        <v>8.273141060995267E-6</v>
      </c>
      <c r="I7">
        <f t="shared" si="1"/>
        <v>1.0000000000016362E-2</v>
      </c>
      <c r="J7">
        <f t="shared" si="2"/>
        <v>99.999999999836376</v>
      </c>
      <c r="K7">
        <f t="shared" si="3"/>
        <v>0</v>
      </c>
      <c r="L7">
        <f t="shared" si="4"/>
        <v>200.64414172235948</v>
      </c>
      <c r="M7">
        <f t="shared" si="5"/>
        <v>40469.240450317964</v>
      </c>
      <c r="Y7">
        <v>0</v>
      </c>
      <c r="Z7" s="7">
        <v>2.0088915111447041</v>
      </c>
      <c r="AA7">
        <v>0.02</v>
      </c>
      <c r="AB7">
        <v>1.7134121859285753E-5</v>
      </c>
      <c r="AC7">
        <f t="shared" si="6"/>
        <v>1.3319870424883886E-2</v>
      </c>
      <c r="AD7">
        <f t="shared" si="7"/>
        <v>75.075805402117297</v>
      </c>
      <c r="AE7">
        <f t="shared" si="8"/>
        <v>0</v>
      </c>
      <c r="AF7">
        <f t="shared" si="9"/>
        <v>150.81914816466514</v>
      </c>
      <c r="AG7">
        <f t="shared" si="10"/>
        <v>0.37963232213467779</v>
      </c>
      <c r="AN7">
        <v>574.37099047810409</v>
      </c>
    </row>
    <row r="8" spans="1:47" x14ac:dyDescent="0.35">
      <c r="A8">
        <v>2</v>
      </c>
      <c r="B8" s="4">
        <f>'U 0'!M14</f>
        <v>2.0088907471448882</v>
      </c>
      <c r="C8" s="4">
        <f>'D +2'!M14</f>
        <v>2.0094607246394665</v>
      </c>
      <c r="F8">
        <v>1</v>
      </c>
      <c r="G8" s="4">
        <f t="shared" si="0"/>
        <v>2.0088907216106278</v>
      </c>
      <c r="H8">
        <f>'U +1'!$N$14</f>
        <v>8.2957958200296766E-6</v>
      </c>
      <c r="I8">
        <f t="shared" si="1"/>
        <v>1.0000000000016452E-2</v>
      </c>
      <c r="J8">
        <f t="shared" si="2"/>
        <v>99.999999999835481</v>
      </c>
      <c r="K8">
        <f t="shared" si="3"/>
        <v>99.999999999835481</v>
      </c>
      <c r="L8">
        <f t="shared" si="4"/>
        <v>200.88907216073227</v>
      </c>
      <c r="M8">
        <f t="shared" si="5"/>
        <v>10235.423725048962</v>
      </c>
      <c r="N8" t="s">
        <v>57</v>
      </c>
      <c r="O8" cm="1">
        <f t="array" ref="O8:P9">MINVERSE(_xlfn.ANCHORARRAY(O2))</f>
        <v>1.1111111111240061E-5</v>
      </c>
      <c r="P8">
        <v>-4.4606875034731507E-17</v>
      </c>
      <c r="Y8">
        <v>1</v>
      </c>
      <c r="Z8" s="7">
        <v>1.98490489585918</v>
      </c>
      <c r="AA8">
        <v>0.02</v>
      </c>
      <c r="AB8">
        <v>1.7053876913221556E-5</v>
      </c>
      <c r="AC8">
        <f t="shared" si="6"/>
        <v>1.328313612824371E-2</v>
      </c>
      <c r="AD8">
        <f t="shared" si="7"/>
        <v>75.283426319309996</v>
      </c>
      <c r="AE8">
        <f t="shared" si="8"/>
        <v>75.283426319309996</v>
      </c>
      <c r="AF8">
        <f t="shared" si="9"/>
        <v>149.43044147825225</v>
      </c>
      <c r="AG8">
        <f t="shared" si="10"/>
        <v>1.5420056298176816</v>
      </c>
      <c r="AI8" t="s">
        <v>57</v>
      </c>
      <c r="AJ8">
        <f t="array" ref="AJ8:AK9">MINVERSE(AJ2:AK3)</f>
        <v>2.1075521880162753E-5</v>
      </c>
      <c r="AK8">
        <v>-8.6087570603855276E-7</v>
      </c>
      <c r="AN8">
        <v>1.0391136346867915</v>
      </c>
    </row>
    <row r="9" spans="1:47" x14ac:dyDescent="0.35">
      <c r="A9">
        <v>3</v>
      </c>
      <c r="B9" s="4">
        <f>'U +1'!M14</f>
        <v>2.0131241852894881</v>
      </c>
      <c r="C9" s="4">
        <f>'D +3'!M14</f>
        <v>2.0113060933588018</v>
      </c>
      <c r="F9">
        <v>2</v>
      </c>
      <c r="G9" s="4">
        <f t="shared" si="0"/>
        <v>2.0088907471448882</v>
      </c>
      <c r="H9">
        <f>'U +2'!$N$14</f>
        <v>8.3316997978908053E-6</v>
      </c>
      <c r="I9">
        <f t="shared" si="1"/>
        <v>1.0000000000016595E-2</v>
      </c>
      <c r="J9">
        <f t="shared" si="2"/>
        <v>99.99999999983406</v>
      </c>
      <c r="K9">
        <f t="shared" si="3"/>
        <v>199.99999999966812</v>
      </c>
      <c r="L9">
        <f t="shared" si="4"/>
        <v>200.88907471415547</v>
      </c>
      <c r="M9">
        <f t="shared" si="5"/>
        <v>1.3695341222187905</v>
      </c>
      <c r="O9">
        <v>-4.4606875034731513E-17</v>
      </c>
      <c r="P9">
        <v>1.6666666667037504E-6</v>
      </c>
      <c r="Y9">
        <v>2</v>
      </c>
      <c r="Z9" s="7">
        <v>1.9783780875450274</v>
      </c>
      <c r="AA9">
        <v>0.02</v>
      </c>
      <c r="AB9">
        <v>1.702960335146477E-5</v>
      </c>
      <c r="AC9">
        <f t="shared" si="6"/>
        <v>1.3272038265121194E-2</v>
      </c>
      <c r="AD9">
        <f t="shared" si="7"/>
        <v>75.346377099287878</v>
      </c>
      <c r="AE9">
        <f t="shared" si="8"/>
        <v>150.69275419857576</v>
      </c>
      <c r="AF9">
        <f t="shared" si="9"/>
        <v>149.06362142913562</v>
      </c>
      <c r="AG9">
        <f t="shared" si="10"/>
        <v>3.1985804427570987</v>
      </c>
      <c r="AJ9">
        <v>-8.6087570603855287E-7</v>
      </c>
      <c r="AK9">
        <v>3.4744880326458954E-6</v>
      </c>
      <c r="AQ9" t="s">
        <v>66</v>
      </c>
      <c r="AR9" t="s">
        <v>68</v>
      </c>
    </row>
    <row r="10" spans="1:47" x14ac:dyDescent="0.35">
      <c r="A10">
        <v>4</v>
      </c>
      <c r="B10" s="4">
        <f>'U +4'!M14</f>
        <v>2.0187456367693937</v>
      </c>
      <c r="C10" s="4">
        <f>'D +4'!M14</f>
        <v>2.013027892740118</v>
      </c>
      <c r="F10">
        <v>3</v>
      </c>
      <c r="G10" s="4">
        <f t="shared" si="0"/>
        <v>2.0131241852894881</v>
      </c>
      <c r="H10">
        <f>'U +3'!$N$14</f>
        <v>1.5590391129287807E-5</v>
      </c>
      <c r="I10">
        <f t="shared" si="1"/>
        <v>1.0000000000058103E-2</v>
      </c>
      <c r="J10">
        <f t="shared" si="2"/>
        <v>99.999999999418975</v>
      </c>
      <c r="K10">
        <f t="shared" si="3"/>
        <v>299.9999999982569</v>
      </c>
      <c r="L10">
        <f t="shared" si="4"/>
        <v>201.31241852777913</v>
      </c>
      <c r="M10">
        <f t="shared" si="5"/>
        <v>9767.1137033411705</v>
      </c>
      <c r="Y10">
        <v>3</v>
      </c>
      <c r="Z10" s="7">
        <v>2.0088915111447041</v>
      </c>
      <c r="AA10">
        <v>0.02</v>
      </c>
      <c r="AB10">
        <v>1.7134121859285753E-5</v>
      </c>
      <c r="AC10">
        <f t="shared" si="6"/>
        <v>1.3319870424883886E-2</v>
      </c>
      <c r="AD10">
        <f t="shared" si="7"/>
        <v>75.075805402117297</v>
      </c>
      <c r="AE10">
        <f t="shared" si="8"/>
        <v>225.22741620635188</v>
      </c>
      <c r="AF10">
        <f t="shared" si="9"/>
        <v>150.81914816466514</v>
      </c>
      <c r="AG10">
        <f t="shared" si="10"/>
        <v>0.20712103100478968</v>
      </c>
    </row>
    <row r="11" spans="1:47" x14ac:dyDescent="0.35">
      <c r="F11">
        <v>4</v>
      </c>
      <c r="G11" s="4">
        <f t="shared" si="0"/>
        <v>2.0187456367693937</v>
      </c>
      <c r="H11">
        <f>'U +4'!$N$14</f>
        <v>8.2692201131698394E-6</v>
      </c>
      <c r="I11">
        <f t="shared" si="1"/>
        <v>1.0000000000016347E-2</v>
      </c>
      <c r="J11">
        <f t="shared" si="2"/>
        <v>99.999999999836533</v>
      </c>
      <c r="K11">
        <f t="shared" si="3"/>
        <v>399.99999999934613</v>
      </c>
      <c r="L11">
        <f t="shared" si="4"/>
        <v>201.87456367660937</v>
      </c>
      <c r="M11">
        <f t="shared" si="5"/>
        <v>39532.316816321698</v>
      </c>
      <c r="N11" t="s">
        <v>58</v>
      </c>
      <c r="O11" cm="1">
        <f t="array" ref="O11:O12">MMULT(_xlfn.ANCHORARRAY(O8),_xlfn.ANCHORARRAY(O5))</f>
        <v>2.0068618652758135</v>
      </c>
      <c r="P11">
        <f>SQRT(O8)</f>
        <v>3.3333333333526757E-3</v>
      </c>
      <c r="S11">
        <v>-6</v>
      </c>
      <c r="T11">
        <f>S11*O12+O11</f>
        <v>1.9924036046421645</v>
      </c>
      <c r="Y11">
        <v>4</v>
      </c>
      <c r="Z11" s="7">
        <v>2.0187459087772237</v>
      </c>
      <c r="AA11">
        <v>0.02</v>
      </c>
      <c r="AB11">
        <v>1.7137107596439623E-5</v>
      </c>
      <c r="AC11">
        <f t="shared" si="6"/>
        <v>1.3321238594805135E-2</v>
      </c>
      <c r="AD11">
        <f t="shared" si="7"/>
        <v>75.068094673266245</v>
      </c>
      <c r="AE11">
        <f t="shared" si="8"/>
        <v>300.27237869306498</v>
      </c>
      <c r="AF11">
        <f t="shared" si="9"/>
        <v>151.54340900135753</v>
      </c>
      <c r="AG11">
        <f t="shared" si="10"/>
        <v>1.30219124884</v>
      </c>
    </row>
    <row r="12" spans="1:47" x14ac:dyDescent="0.35">
      <c r="O12">
        <v>2.4097101056081462E-3</v>
      </c>
      <c r="P12">
        <f>SQRT(P9)</f>
        <v>1.2909944487501681E-3</v>
      </c>
      <c r="Q12">
        <f>SQRT(-O9)</f>
        <v>6.6788378506093048E-9</v>
      </c>
      <c r="S12">
        <v>6</v>
      </c>
      <c r="T12">
        <f>S12*O12+O11</f>
        <v>2.0213201259094622</v>
      </c>
    </row>
    <row r="13" spans="1:47" x14ac:dyDescent="0.35">
      <c r="G13" s="3"/>
      <c r="Q13" s="3"/>
    </row>
    <row r="14" spans="1:47" x14ac:dyDescent="0.35">
      <c r="B14">
        <f>'U +1'!M14</f>
        <v>2.0131241852894881</v>
      </c>
      <c r="N14" s="3" t="s">
        <v>59</v>
      </c>
      <c r="O14">
        <f>SUM(M3:M11)/(COUNT(M3:M11)-2)</f>
        <v>137745.22326786609</v>
      </c>
      <c r="Q14" t="s">
        <v>60</v>
      </c>
      <c r="R14">
        <f>SQRT(O14)</f>
        <v>371.14043604526051</v>
      </c>
      <c r="T14">
        <v>0.8</v>
      </c>
      <c r="X14" t="s">
        <v>71</v>
      </c>
      <c r="Y14" t="s">
        <v>54</v>
      </c>
      <c r="AC14">
        <v>1.4154648020927368E-3</v>
      </c>
    </row>
    <row r="15" spans="1:47" x14ac:dyDescent="0.35">
      <c r="Y15" t="s">
        <v>31</v>
      </c>
      <c r="Z15" t="s">
        <v>49</v>
      </c>
      <c r="AA15" t="s">
        <v>63</v>
      </c>
      <c r="AB15" t="s">
        <v>64</v>
      </c>
      <c r="AC15" t="s">
        <v>32</v>
      </c>
      <c r="AD15" t="s">
        <v>33</v>
      </c>
      <c r="AE15" t="s">
        <v>34</v>
      </c>
      <c r="AF15" t="s">
        <v>35</v>
      </c>
      <c r="AG15" t="s">
        <v>36</v>
      </c>
      <c r="AI15" t="s">
        <v>55</v>
      </c>
      <c r="AJ15">
        <f t="array" ref="AJ15:AK16">MMULT(TRANSPOSE(AD16:AE24),AD16:AE24)</f>
        <v>21089511.512864511</v>
      </c>
      <c r="AK15">
        <v>12995.285634594038</v>
      </c>
      <c r="AM15" t="s">
        <v>40</v>
      </c>
      <c r="AN15">
        <f t="array" ref="AN15:AN16">MMULT(AJ21:AK22,AJ18:AJ19)</f>
        <v>2.0074723140149651</v>
      </c>
      <c r="AO15">
        <f>SQRT(AJ21)</f>
        <v>2.1775430611843343E-4</v>
      </c>
      <c r="AQ15">
        <v>2.0074723140149651</v>
      </c>
      <c r="AR15">
        <v>2.1775430611843343E-4</v>
      </c>
      <c r="AT15">
        <v>4.5</v>
      </c>
      <c r="AU15">
        <f>AN16*AT15+AN15</f>
        <v>2.0138419056315784</v>
      </c>
    </row>
    <row r="16" spans="1:47" x14ac:dyDescent="0.35">
      <c r="G16">
        <v>1E-3</v>
      </c>
      <c r="I16">
        <v>1.4142207239967771E-3</v>
      </c>
      <c r="Y16">
        <v>-4</v>
      </c>
      <c r="Z16">
        <v>2.0013016985147747</v>
      </c>
      <c r="AA16">
        <v>0.02</v>
      </c>
      <c r="AB16">
        <v>1.7171114853154658E-5</v>
      </c>
      <c r="AC16">
        <f>SQRT(AB16^2+($AC$14*AA16)^2)*19.7080052111568</f>
        <v>6.5252947153331662E-4</v>
      </c>
      <c r="AD16">
        <f>1/AC16</f>
        <v>1532.4978313243012</v>
      </c>
      <c r="AE16">
        <f>Y16/AC16</f>
        <v>-6129.9913252972046</v>
      </c>
      <c r="AF16">
        <f>Z16/AC16</f>
        <v>3066.9905127995326</v>
      </c>
      <c r="AG16">
        <f>(Z16-$AN$15-$AN$16*Y16)^2/AC16^2</f>
        <v>0.60788204065730689</v>
      </c>
      <c r="AJ16">
        <v>12995.285634594038</v>
      </c>
      <c r="AK16">
        <v>142139987.81169415</v>
      </c>
      <c r="AN16">
        <v>1.4154648036918893E-3</v>
      </c>
      <c r="AO16">
        <f>SQRT(AK22)</f>
        <v>8.3876804257332411E-5</v>
      </c>
      <c r="AQ16">
        <v>1.4154648036918893E-3</v>
      </c>
      <c r="AR16">
        <v>8.3876804257332411E-5</v>
      </c>
      <c r="AT16">
        <v>-4.5</v>
      </c>
      <c r="AU16">
        <f>AN16*AT16+AN15</f>
        <v>2.0011027223983517</v>
      </c>
    </row>
    <row r="17" spans="7:48" x14ac:dyDescent="0.35">
      <c r="G17" t="s">
        <v>49</v>
      </c>
      <c r="H17" t="s">
        <v>50</v>
      </c>
      <c r="I17" t="s">
        <v>53</v>
      </c>
      <c r="J17" t="s">
        <v>33</v>
      </c>
      <c r="K17" t="s">
        <v>34</v>
      </c>
      <c r="L17" t="s">
        <v>35</v>
      </c>
      <c r="M17" t="s">
        <v>36</v>
      </c>
      <c r="N17" t="s">
        <v>55</v>
      </c>
      <c r="O17" cm="1">
        <f t="array" ref="O17:P18">MMULT(TRANSPOSE(J18:K26),J18:K26)</f>
        <v>8000000.0714879856</v>
      </c>
      <c r="P17">
        <v>3999999.7090201643</v>
      </c>
      <c r="Q17" s="3"/>
      <c r="Y17">
        <v>-3</v>
      </c>
      <c r="Z17">
        <v>2.0030869233542421</v>
      </c>
      <c r="AA17">
        <v>0.02</v>
      </c>
      <c r="AB17">
        <v>1.5462740670103753E-5</v>
      </c>
      <c r="AC17">
        <f t="shared" ref="AC17:AC24" si="11">SQRT(AB17^2+($AC$14*AA17)^2)*19.7080052111568</f>
        <v>6.3572067882737972E-4</v>
      </c>
      <c r="AD17">
        <f t="shared" ref="AD17:AD24" si="12">1/AC17</f>
        <v>1573.017888681162</v>
      </c>
      <c r="AE17">
        <f t="shared" ref="AE17:AE24" si="13">Y17/AC17</f>
        <v>-4719.0536660434864</v>
      </c>
      <c r="AF17">
        <f t="shared" ref="AF17:AF24" si="14">Z17/AC17</f>
        <v>3150.8915630195347</v>
      </c>
      <c r="AG17">
        <f t="shared" ref="AG17:AG24" si="15">(Z17-$AN$15-$AN$16*Y17)^2/AC17^2</f>
        <v>4.7805018203914876E-2</v>
      </c>
    </row>
    <row r="18" spans="7:48" x14ac:dyDescent="0.35">
      <c r="G18" s="4">
        <f t="shared" ref="G18:G26" si="16">C2</f>
        <v>2.0013007762116621</v>
      </c>
      <c r="H18">
        <f>'D -4'!$N$14</f>
        <v>8.2048850909719795E-6</v>
      </c>
      <c r="I18">
        <f>SQRT($G$16^2+($I$16*H18)^2)*3710.450854</f>
        <v>3.7104508542497903</v>
      </c>
      <c r="J18">
        <f>1/I18</f>
        <v>0.26950902714548641</v>
      </c>
      <c r="K18">
        <f t="shared" ref="K18:K26" si="17">Y16*J18</f>
        <v>-1.0780361085819457</v>
      </c>
      <c r="L18">
        <f>G18*J18</f>
        <v>0.53936862522231188</v>
      </c>
      <c r="M18">
        <f t="shared" ref="M18:M26" si="18">(Y16-$O$26-$O$27*G18)^2/I18^2</f>
        <v>2.6238402388648647</v>
      </c>
      <c r="O18">
        <v>3999999.7090201643</v>
      </c>
      <c r="P18">
        <v>44000001.156241</v>
      </c>
      <c r="Q18" s="3"/>
      <c r="Y18">
        <v>-2</v>
      </c>
      <c r="Z18">
        <v>2.00461146073904</v>
      </c>
      <c r="AA18">
        <v>0.02</v>
      </c>
      <c r="AB18">
        <v>1.6905671399311102E-5</v>
      </c>
      <c r="AC18">
        <f t="shared" si="11"/>
        <v>6.498318283563191E-4</v>
      </c>
      <c r="AD18">
        <f t="shared" si="12"/>
        <v>1538.8596808645004</v>
      </c>
      <c r="AE18">
        <f t="shared" si="13"/>
        <v>-3077.7193617290009</v>
      </c>
      <c r="AF18">
        <f t="shared" si="14"/>
        <v>3084.8157527301987</v>
      </c>
      <c r="AG18">
        <f t="shared" si="15"/>
        <v>2.1204484215077875E-3</v>
      </c>
      <c r="AI18" t="s">
        <v>56</v>
      </c>
      <c r="AJ18">
        <f t="array" ref="AJ18:AJ19">MMULT(TRANSPOSE(AD16:AE24),AF16:AF24)</f>
        <v>42336628.872544795</v>
      </c>
      <c r="AM18" t="s">
        <v>41</v>
      </c>
      <c r="AN18">
        <f>+SUM(AG16:AG24)/(COUNT(AG16:AG24)-2)</f>
        <v>1.0000000000000022</v>
      </c>
    </row>
    <row r="19" spans="7:48" x14ac:dyDescent="0.35">
      <c r="G19" s="4">
        <f t="shared" si="16"/>
        <v>2.0030884277980414</v>
      </c>
      <c r="H19">
        <f>'D -3'!$N$14</f>
        <v>8.1508548915120714E-6</v>
      </c>
      <c r="I19">
        <f t="shared" ref="I19:I26" si="19">SQRT($G$16^2+($I$16*H19)^2)</f>
        <v>1.0000000000664371E-3</v>
      </c>
      <c r="J19">
        <f t="shared" ref="J19:J26" si="20">1/I19</f>
        <v>999.99999993356289</v>
      </c>
      <c r="K19">
        <f t="shared" si="17"/>
        <v>-2999.9999998006888</v>
      </c>
      <c r="L19">
        <f t="shared" ref="L19:L26" si="21">G19*J19</f>
        <v>2003.088427664962</v>
      </c>
      <c r="M19">
        <f t="shared" si="18"/>
        <v>25103023.309434865</v>
      </c>
      <c r="Y19">
        <v>-1</v>
      </c>
      <c r="Z19">
        <v>2.0064790982885867</v>
      </c>
      <c r="AA19">
        <v>0.02</v>
      </c>
      <c r="AB19">
        <v>2.1543869312175332E-5</v>
      </c>
      <c r="AC19">
        <f t="shared" si="11"/>
        <v>7.011050620335204E-4</v>
      </c>
      <c r="AD19">
        <f t="shared" si="12"/>
        <v>1426.3197545593946</v>
      </c>
      <c r="AE19">
        <f t="shared" si="13"/>
        <v>-1426.3197545593946</v>
      </c>
      <c r="AF19">
        <f t="shared" si="14"/>
        <v>2861.8807749995326</v>
      </c>
      <c r="AG19">
        <f t="shared" si="15"/>
        <v>0.36271975793042749</v>
      </c>
      <c r="AJ19">
        <v>227281.82606881112</v>
      </c>
      <c r="AM19" t="s">
        <v>60</v>
      </c>
      <c r="AN19">
        <f>SQRT(AN18)</f>
        <v>1.0000000000000011</v>
      </c>
    </row>
    <row r="20" spans="7:48" x14ac:dyDescent="0.35">
      <c r="G20" s="4">
        <f t="shared" si="16"/>
        <v>2.0046117725481953</v>
      </c>
      <c r="H20">
        <f>'D -2'!$N$14</f>
        <v>8.2004357679643336E-6</v>
      </c>
      <c r="I20">
        <f t="shared" si="19"/>
        <v>1.0000000000672479E-3</v>
      </c>
      <c r="J20">
        <f t="shared" si="20"/>
        <v>999.99999993275208</v>
      </c>
      <c r="K20">
        <f t="shared" si="17"/>
        <v>-1999.9999998655042</v>
      </c>
      <c r="L20">
        <f t="shared" si="21"/>
        <v>2004.6117724133894</v>
      </c>
      <c r="M20">
        <f t="shared" si="18"/>
        <v>16082456.430403652</v>
      </c>
      <c r="N20" t="s">
        <v>56</v>
      </c>
      <c r="O20" cm="1">
        <f t="array" ref="O20:O21">MMULT(TRANSPOSE(J18:K26),L18:L26)</f>
        <v>16065998.434281958</v>
      </c>
      <c r="Y20">
        <v>0</v>
      </c>
      <c r="Z20">
        <v>2.0079507586191268</v>
      </c>
      <c r="AA20">
        <v>0.02</v>
      </c>
      <c r="AB20">
        <v>1.6211941166583773E-5</v>
      </c>
      <c r="AC20">
        <f t="shared" si="11"/>
        <v>6.4292916425625181E-4</v>
      </c>
      <c r="AD20">
        <f t="shared" si="12"/>
        <v>1555.3813010750757</v>
      </c>
      <c r="AE20">
        <f t="shared" si="13"/>
        <v>0</v>
      </c>
      <c r="AF20">
        <f t="shared" si="14"/>
        <v>3123.1290634357028</v>
      </c>
      <c r="AG20">
        <f t="shared" si="15"/>
        <v>0.55377974770653549</v>
      </c>
      <c r="AN20">
        <v>19.708005211156816</v>
      </c>
    </row>
    <row r="21" spans="7:48" x14ac:dyDescent="0.35">
      <c r="G21" s="4">
        <f t="shared" si="16"/>
        <v>2.0064791732083078</v>
      </c>
      <c r="H21">
        <f>'D -1'!$N$14</f>
        <v>1.0403427922638593E-5</v>
      </c>
      <c r="I21">
        <f t="shared" si="19"/>
        <v>1.0000000001082325E-3</v>
      </c>
      <c r="J21">
        <f t="shared" si="20"/>
        <v>999.99999989176752</v>
      </c>
      <c r="K21">
        <f t="shared" si="17"/>
        <v>-999.99999989176752</v>
      </c>
      <c r="L21">
        <f t="shared" si="21"/>
        <v>2006.4791729911417</v>
      </c>
      <c r="M21">
        <f t="shared" si="18"/>
        <v>9061884.0865596402</v>
      </c>
      <c r="O21">
        <v>8090055.7659375099</v>
      </c>
      <c r="Y21">
        <v>1</v>
      </c>
      <c r="Z21">
        <v>2.010072709267841</v>
      </c>
      <c r="AA21">
        <v>0.02</v>
      </c>
      <c r="AB21">
        <v>1.6920391390497998E-5</v>
      </c>
      <c r="AC21">
        <f t="shared" si="11"/>
        <v>6.4998061489730916E-4</v>
      </c>
      <c r="AD21">
        <f t="shared" si="12"/>
        <v>1538.5074217297858</v>
      </c>
      <c r="AE21">
        <f t="shared" si="13"/>
        <v>1538.5074217297858</v>
      </c>
      <c r="AF21">
        <f t="shared" si="14"/>
        <v>3092.5117814250716</v>
      </c>
      <c r="AG21">
        <f t="shared" si="15"/>
        <v>3.3234175630356324</v>
      </c>
      <c r="AI21" t="s">
        <v>57</v>
      </c>
      <c r="AJ21">
        <f t="array" ref="AJ21:AK22">MINVERSE(AJ15:AK16)</f>
        <v>4.7416937833120415E-8</v>
      </c>
      <c r="AK21">
        <v>-4.3351393267003821E-12</v>
      </c>
      <c r="AS21" t="s">
        <v>42</v>
      </c>
      <c r="AT21">
        <v>2.0081500000000001</v>
      </c>
    </row>
    <row r="22" spans="7:48" x14ac:dyDescent="0.35">
      <c r="G22" s="4">
        <f t="shared" si="16"/>
        <v>2.0079511572584052</v>
      </c>
      <c r="H22">
        <f>'D 0'!$N$14</f>
        <v>8.1828788534252922E-6</v>
      </c>
      <c r="I22">
        <f t="shared" si="19"/>
        <v>1.0000000000669601E-3</v>
      </c>
      <c r="J22">
        <f t="shared" si="20"/>
        <v>999.99999993303982</v>
      </c>
      <c r="K22">
        <f t="shared" si="17"/>
        <v>0</v>
      </c>
      <c r="L22">
        <f t="shared" si="21"/>
        <v>2007.9511571239525</v>
      </c>
      <c r="M22">
        <f t="shared" si="18"/>
        <v>4041299.4366903165</v>
      </c>
      <c r="Y22">
        <v>2</v>
      </c>
      <c r="Z22">
        <v>2.0094608596473993</v>
      </c>
      <c r="AA22">
        <v>0.02</v>
      </c>
      <c r="AB22">
        <v>1.7034529291877434E-5</v>
      </c>
      <c r="AC22">
        <f t="shared" si="11"/>
        <v>6.5113752924491025E-4</v>
      </c>
      <c r="AD22">
        <f t="shared" si="12"/>
        <v>1535.7738650998156</v>
      </c>
      <c r="AE22">
        <f t="shared" si="13"/>
        <v>3071.5477301996311</v>
      </c>
      <c r="AF22">
        <f t="shared" si="14"/>
        <v>3086.0774711874842</v>
      </c>
      <c r="AG22">
        <f t="shared" si="15"/>
        <v>1.6736889099110934</v>
      </c>
      <c r="AJ22">
        <v>-4.3351393267003821E-12</v>
      </c>
      <c r="AK22">
        <v>7.0353182924228572E-9</v>
      </c>
    </row>
    <row r="23" spans="7:48" x14ac:dyDescent="0.35">
      <c r="G23" s="4">
        <f t="shared" si="16"/>
        <v>2.0100730496694679</v>
      </c>
      <c r="H23">
        <f>'D +1'!$N$14</f>
        <v>8.1153559805329161E-6</v>
      </c>
      <c r="I23">
        <f t="shared" si="19"/>
        <v>1.0000000000658597E-3</v>
      </c>
      <c r="J23">
        <f t="shared" si="20"/>
        <v>999.99999993414031</v>
      </c>
      <c r="K23">
        <f t="shared" si="17"/>
        <v>999.99999993414031</v>
      </c>
      <c r="L23">
        <f t="shared" si="21"/>
        <v>2010.0730495370851</v>
      </c>
      <c r="M23">
        <f t="shared" si="18"/>
        <v>1020708.5710221125</v>
      </c>
      <c r="N23" t="s">
        <v>57</v>
      </c>
      <c r="O23" cm="1">
        <f t="array" ref="O23:P24">MINVERSE(_xlfn.ANCHORARRAY(O17))</f>
        <v>1.3095237865535107E-7</v>
      </c>
      <c r="P23">
        <v>-1.1904760517093874E-8</v>
      </c>
      <c r="Y23">
        <v>3</v>
      </c>
      <c r="Z23">
        <v>2.0113060526536879</v>
      </c>
      <c r="AA23">
        <v>0.02</v>
      </c>
      <c r="AB23">
        <v>1.7009823392425612E-5</v>
      </c>
      <c r="AC23">
        <f t="shared" si="11"/>
        <v>6.508866226669996E-4</v>
      </c>
      <c r="AD23">
        <f t="shared" si="12"/>
        <v>1536.3658818221104</v>
      </c>
      <c r="AE23">
        <f t="shared" si="13"/>
        <v>4609.0976454663305</v>
      </c>
      <c r="AF23">
        <f t="shared" si="14"/>
        <v>3090.101997199431</v>
      </c>
      <c r="AG23">
        <f t="shared" si="15"/>
        <v>0.40194363656232718</v>
      </c>
    </row>
    <row r="24" spans="7:48" x14ac:dyDescent="0.35">
      <c r="G24" s="4">
        <f t="shared" si="16"/>
        <v>2.0094607246394665</v>
      </c>
      <c r="H24">
        <f>'D +2'!$N$14</f>
        <v>8.193530454120339E-6</v>
      </c>
      <c r="I24">
        <f t="shared" si="19"/>
        <v>1.0000000000671347E-3</v>
      </c>
      <c r="J24">
        <f t="shared" si="20"/>
        <v>999.99999993286531</v>
      </c>
      <c r="K24">
        <f t="shared" si="17"/>
        <v>1999.9999998657306</v>
      </c>
      <c r="L24">
        <f t="shared" si="21"/>
        <v>2009.460724504562</v>
      </c>
      <c r="M24">
        <f t="shared" si="18"/>
        <v>106.09815945936505</v>
      </c>
      <c r="O24">
        <v>-1.1904760517093874E-8</v>
      </c>
      <c r="P24">
        <v>2.3809522978972357E-8</v>
      </c>
      <c r="Y24">
        <v>4</v>
      </c>
      <c r="Z24">
        <v>2.0130278962249566</v>
      </c>
      <c r="AA24">
        <v>0.02</v>
      </c>
      <c r="AB24">
        <v>1.7030989976265042E-5</v>
      </c>
      <c r="AC24">
        <f t="shared" si="11"/>
        <v>6.5110156848074985E-4</v>
      </c>
      <c r="AD24">
        <f t="shared" si="12"/>
        <v>1535.858686891745</v>
      </c>
      <c r="AE24">
        <f t="shared" si="13"/>
        <v>6143.4347475669801</v>
      </c>
      <c r="AF24">
        <f t="shared" si="14"/>
        <v>3091.7263813725135</v>
      </c>
      <c r="AG24">
        <f t="shared" si="15"/>
        <v>2.6642877571270197E-2</v>
      </c>
      <c r="AQ24">
        <f>(AN29*AN16-AN15*AN30)/(AN16-AN30)</f>
        <v>2.0081689694559457</v>
      </c>
    </row>
    <row r="25" spans="7:48" x14ac:dyDescent="0.35">
      <c r="G25" s="4">
        <f t="shared" si="16"/>
        <v>2.0113060933588018</v>
      </c>
      <c r="H25">
        <f>'D +3'!$N$14</f>
        <v>8.0729347669948473E-6</v>
      </c>
      <c r="I25">
        <f t="shared" si="19"/>
        <v>1.0000000000651729E-3</v>
      </c>
      <c r="J25">
        <f t="shared" si="20"/>
        <v>999.99999993482709</v>
      </c>
      <c r="K25">
        <f t="shared" si="17"/>
        <v>2999.9999998044814</v>
      </c>
      <c r="L25">
        <f t="shared" si="21"/>
        <v>2011.3060932277192</v>
      </c>
      <c r="M25">
        <f t="shared" si="18"/>
        <v>979500.34363176511</v>
      </c>
    </row>
    <row r="26" spans="7:48" x14ac:dyDescent="0.35">
      <c r="G26" s="4">
        <f t="shared" si="16"/>
        <v>2.013027892740118</v>
      </c>
      <c r="H26">
        <f>'D +4'!$N$14</f>
        <v>8.1559093993960303E-6</v>
      </c>
      <c r="I26">
        <f t="shared" si="19"/>
        <v>1.0000000000665195E-3</v>
      </c>
      <c r="J26">
        <f t="shared" si="20"/>
        <v>999.99999993348047</v>
      </c>
      <c r="K26">
        <f t="shared" si="17"/>
        <v>3999.9999997339219</v>
      </c>
      <c r="L26">
        <f t="shared" si="21"/>
        <v>2013.0278926062124</v>
      </c>
      <c r="M26">
        <f t="shared" si="18"/>
        <v>3958885.2290942688</v>
      </c>
      <c r="N26" t="s">
        <v>58</v>
      </c>
      <c r="O26" cm="1">
        <f t="array" ref="O26:O27">MMULT(_xlfn.ANCHORARRAY(O23),_xlfn.ANCHORARRAY(O20))</f>
        <v>2.007570533978948</v>
      </c>
      <c r="P26">
        <f>SQRT(O23)</f>
        <v>3.6187342905407007E-4</v>
      </c>
      <c r="S26">
        <v>-6</v>
      </c>
      <c r="T26">
        <f>S26*O27+O26</f>
        <v>1.9994195049861974</v>
      </c>
    </row>
    <row r="27" spans="7:48" x14ac:dyDescent="0.35">
      <c r="O27">
        <v>1.3585048321251014E-3</v>
      </c>
      <c r="P27">
        <f>SQRT(P24)</f>
        <v>1.543033472707976E-4</v>
      </c>
      <c r="Q27">
        <f>SQRT(-O24)</f>
        <v>1.0910893875890221E-4</v>
      </c>
      <c r="S27">
        <v>6</v>
      </c>
      <c r="T27">
        <f>S27*O27+O26</f>
        <v>2.0157215629716987</v>
      </c>
    </row>
    <row r="28" spans="7:48" x14ac:dyDescent="0.35">
      <c r="AC28">
        <v>2.2732195578685777E-3</v>
      </c>
    </row>
    <row r="29" spans="7:48" x14ac:dyDescent="0.35">
      <c r="N29" s="3" t="s">
        <v>59</v>
      </c>
      <c r="O29">
        <f>SUM(M18:M26)/(COUNT(M18:M26)-2)</f>
        <v>8606838.0184051879</v>
      </c>
      <c r="Q29" t="s">
        <v>60</v>
      </c>
      <c r="R29">
        <f>SQRT(O29)</f>
        <v>2933.7413005248413</v>
      </c>
      <c r="X29" t="s">
        <v>70</v>
      </c>
      <c r="Y29" t="s">
        <v>31</v>
      </c>
      <c r="Z29" t="s">
        <v>49</v>
      </c>
      <c r="AA29" t="s">
        <v>63</v>
      </c>
      <c r="AB29" t="s">
        <v>64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I29" t="s">
        <v>55</v>
      </c>
      <c r="AJ29">
        <f t="array" ref="AJ29:AK30">MMULT(TRANSPOSE(AD30:AE36),AD30:AE36)</f>
        <v>782568.00946298346</v>
      </c>
      <c r="AK29">
        <v>-256238.01767630421</v>
      </c>
      <c r="AM29" t="s">
        <v>58</v>
      </c>
      <c r="AN29">
        <f t="array" ref="AN29:AN30">MMULT(AJ35:AK36,AJ32:AJ33)</f>
        <v>2.0070501514528836</v>
      </c>
      <c r="AO29">
        <f>SQRT(AJ35)</f>
        <v>1.138454323675449E-3</v>
      </c>
      <c r="AQ29" t="s">
        <v>67</v>
      </c>
      <c r="AR29">
        <v>2.0070501514528836</v>
      </c>
      <c r="AS29">
        <v>1.138454323675449E-3</v>
      </c>
      <c r="AU29">
        <v>4.5</v>
      </c>
      <c r="AV29">
        <f>AR30*AU29+AR29</f>
        <v>2.0172796183508783</v>
      </c>
    </row>
    <row r="30" spans="7:48" x14ac:dyDescent="0.35">
      <c r="Y30">
        <v>-4</v>
      </c>
      <c r="Z30" s="7">
        <v>1.9962665226577414</v>
      </c>
      <c r="AA30">
        <v>0.02</v>
      </c>
      <c r="AB30">
        <v>2.9434267105724518E-5</v>
      </c>
      <c r="AC30">
        <f>SQRT(AB30^2+($AC$28*AA30)^2)*60.7170724223515</f>
        <v>3.288482237820506E-3</v>
      </c>
      <c r="AD30">
        <f>1/AC30</f>
        <v>304.09165313380737</v>
      </c>
      <c r="AE30">
        <f>Y30/AC30</f>
        <v>-1216.3666125352295</v>
      </c>
      <c r="AF30">
        <f>Z30/AC30</f>
        <v>607.04798697066974</v>
      </c>
      <c r="AG30">
        <f>(Z30-$AN$29-$AN$30*Y30)^2/AC30^2</f>
        <v>0.26434903039936009</v>
      </c>
      <c r="AJ30">
        <v>-256238.01767630421</v>
      </c>
      <c r="AK30">
        <v>5963667.6731653558</v>
      </c>
      <c r="AN30">
        <v>2.2732148662210905E-3</v>
      </c>
      <c r="AO30">
        <f>SQRT(AK36)</f>
        <v>4.1240121763902487E-4</v>
      </c>
      <c r="AR30">
        <v>2.2732148662210905E-3</v>
      </c>
      <c r="AS30">
        <v>4.1240121763902487E-4</v>
      </c>
      <c r="AU30">
        <v>-4.5</v>
      </c>
      <c r="AV30">
        <f>AU30*AR30+AR29</f>
        <v>1.9968206845548886</v>
      </c>
    </row>
    <row r="31" spans="7:48" x14ac:dyDescent="0.35">
      <c r="Y31">
        <v>-3</v>
      </c>
      <c r="Z31" s="7">
        <v>1.9990286107168584</v>
      </c>
      <c r="AA31">
        <v>0.02</v>
      </c>
      <c r="AB31">
        <v>1.7054145943277208E-5</v>
      </c>
      <c r="AC31">
        <f t="shared" ref="AC31:AC36" si="22">SQRT(AB31^2+($AC$28*AA31)^2)*60.7170724223515</f>
        <v>2.9482842184134074E-3</v>
      </c>
      <c r="AD31">
        <f t="shared" ref="AD31:AD36" si="23">1/AC31</f>
        <v>339.18032520560075</v>
      </c>
      <c r="AE31">
        <f t="shared" ref="AE31:AE36" si="24">Y31/AC31</f>
        <v>-1017.5409756168023</v>
      </c>
      <c r="AF31">
        <f t="shared" ref="AF31:AF36" si="25">Z31/AC31</f>
        <v>678.03117427824429</v>
      </c>
      <c r="AG31">
        <f t="shared" ref="AG31:AG36" si="26">(Z31-$AN$29-$AN$30*Y31)^2/AC31^2</f>
        <v>0.16618628647550751</v>
      </c>
    </row>
    <row r="32" spans="7:48" x14ac:dyDescent="0.35">
      <c r="Y32">
        <v>-2</v>
      </c>
      <c r="Z32" s="7">
        <v>2.0039301508939351</v>
      </c>
      <c r="AA32">
        <v>0.02</v>
      </c>
      <c r="AB32">
        <v>1.6933495669724919E-5</v>
      </c>
      <c r="AC32">
        <f t="shared" si="22"/>
        <v>2.945719376565938E-3</v>
      </c>
      <c r="AD32">
        <f t="shared" si="23"/>
        <v>339.47564997375292</v>
      </c>
      <c r="AE32">
        <f t="shared" si="24"/>
        <v>-678.95129994750585</v>
      </c>
      <c r="AF32">
        <f t="shared" si="25"/>
        <v>680.28549047671936</v>
      </c>
      <c r="AG32">
        <f t="shared" si="26"/>
        <v>0.2344864123773881</v>
      </c>
      <c r="AI32" t="s">
        <v>56</v>
      </c>
      <c r="AJ32">
        <f t="array" ref="AJ32:AJ33">MMULT(TRANSPOSE(AD30:AE36),AF30:AF36)</f>
        <v>1570070.7578437896</v>
      </c>
      <c r="AM32" t="s">
        <v>69</v>
      </c>
      <c r="AN32">
        <f>+SUM(AG30:AG36)/(COUNT(AG30:AG36)-2)</f>
        <v>0.99999999999999944</v>
      </c>
    </row>
    <row r="33" spans="20:40" x14ac:dyDescent="0.35">
      <c r="Y33">
        <v>-1</v>
      </c>
      <c r="Z33" s="7">
        <v>2.0064418884331521</v>
      </c>
      <c r="AA33">
        <v>0.02</v>
      </c>
      <c r="AB33">
        <v>1.7029600173168666E-5</v>
      </c>
      <c r="AC33">
        <f t="shared" si="22"/>
        <v>2.9477611182977888E-3</v>
      </c>
      <c r="AD33">
        <f t="shared" si="23"/>
        <v>339.24051504467195</v>
      </c>
      <c r="AE33">
        <f t="shared" si="24"/>
        <v>-339.24051504467195</v>
      </c>
      <c r="AF33">
        <f t="shared" si="25"/>
        <v>680.66637963926667</v>
      </c>
      <c r="AG33">
        <f t="shared" si="26"/>
        <v>0.31902064049518813</v>
      </c>
      <c r="AJ33">
        <v>-500725.85417337134</v>
      </c>
      <c r="AN33">
        <f>SQRT(AN32)</f>
        <v>0.99999999999999978</v>
      </c>
    </row>
    <row r="34" spans="20:40" ht="15" thickBot="1" x14ac:dyDescent="0.4">
      <c r="T34" t="s">
        <v>61</v>
      </c>
      <c r="U34">
        <f>((O11-O26)/(O27-O12))</f>
        <v>0.67414873289826993</v>
      </c>
      <c r="Y34">
        <v>0</v>
      </c>
      <c r="Z34" s="7">
        <v>2.0088915111447041</v>
      </c>
      <c r="AA34">
        <v>0.02</v>
      </c>
      <c r="AB34">
        <v>1.7134121859285753E-5</v>
      </c>
      <c r="AC34">
        <f t="shared" si="22"/>
        <v>2.9499931818560881E-3</v>
      </c>
      <c r="AD34">
        <f t="shared" si="23"/>
        <v>338.98383431883599</v>
      </c>
      <c r="AE34">
        <f t="shared" si="24"/>
        <v>0</v>
      </c>
      <c r="AF34">
        <f t="shared" si="25"/>
        <v>680.98174717839242</v>
      </c>
      <c r="AG34">
        <f t="shared" si="26"/>
        <v>0.38961461507492517</v>
      </c>
      <c r="AN34">
        <v>60.717072422351485</v>
      </c>
    </row>
    <row r="35" spans="20:40" ht="15" thickBot="1" x14ac:dyDescent="0.4">
      <c r="T35" s="5" t="s">
        <v>62</v>
      </c>
      <c r="U35" s="6">
        <f>O27*U34+O26</f>
        <v>2.0084863682901615</v>
      </c>
      <c r="V35">
        <f>SQRT(P27^2+P12^2-2*Q12^2-2*Q27^2)</f>
        <v>1.2909944494688276E-3</v>
      </c>
      <c r="Y35">
        <v>3</v>
      </c>
      <c r="Z35" s="7">
        <v>2.0088915111447041</v>
      </c>
      <c r="AA35">
        <v>0.02</v>
      </c>
      <c r="AB35">
        <v>1.7134121859285753E-5</v>
      </c>
      <c r="AC35">
        <f t="shared" si="22"/>
        <v>2.9499931818560881E-3</v>
      </c>
      <c r="AD35">
        <f t="shared" si="23"/>
        <v>338.98383431883599</v>
      </c>
      <c r="AE35">
        <f t="shared" si="24"/>
        <v>1016.951502956508</v>
      </c>
      <c r="AF35">
        <f t="shared" si="25"/>
        <v>680.98174717839242</v>
      </c>
      <c r="AG35">
        <f t="shared" si="26"/>
        <v>2.8478523613056645</v>
      </c>
      <c r="AI35" t="s">
        <v>57</v>
      </c>
      <c r="AJ35">
        <f t="array" ref="AJ35:AK36">MINVERSE(AJ29:AK30)</f>
        <v>1.296078247095324E-6</v>
      </c>
      <c r="AK35">
        <v>5.5687965693234681E-8</v>
      </c>
    </row>
    <row r="36" spans="20:40" x14ac:dyDescent="0.35">
      <c r="Y36">
        <v>4</v>
      </c>
      <c r="Z36" s="7">
        <v>2.0187459087772237</v>
      </c>
      <c r="AA36">
        <v>0.02</v>
      </c>
      <c r="AB36">
        <v>1.7137107596439623E-5</v>
      </c>
      <c r="AC36">
        <f t="shared" si="22"/>
        <v>2.9500571181103404E-3</v>
      </c>
      <c r="AD36">
        <f t="shared" si="23"/>
        <v>338.97648756053582</v>
      </c>
      <c r="AE36">
        <f t="shared" si="24"/>
        <v>1355.9059502421433</v>
      </c>
      <c r="AF36">
        <f t="shared" si="25"/>
        <v>684.30739743450522</v>
      </c>
      <c r="AG36">
        <f t="shared" si="26"/>
        <v>0.77849065387196359</v>
      </c>
      <c r="AJ36">
        <v>5.5687965693234674E-8</v>
      </c>
      <c r="AK36">
        <v>1.7007476431015034E-7</v>
      </c>
    </row>
    <row r="37" spans="20:40" x14ac:dyDescent="0.35">
      <c r="Z37" s="7"/>
    </row>
    <row r="38" spans="20:40" x14ac:dyDescent="0.35">
      <c r="T38" t="s">
        <v>73</v>
      </c>
      <c r="U38" s="4">
        <f>4*3.14159^2*1.0006/U35^2</f>
        <v>9.7922326824635011</v>
      </c>
      <c r="V38">
        <f>SQRT(0.001^2+P227^2+P12^2-2*Q12^2-2*Q27^2)</f>
        <v>1.6256866689434186E-3</v>
      </c>
      <c r="Z38" s="7"/>
    </row>
    <row r="39" spans="20:40" x14ac:dyDescent="0.35">
      <c r="U39">
        <v>9.7908000000000008</v>
      </c>
    </row>
    <row r="40" spans="20:40" x14ac:dyDescent="0.35">
      <c r="W40" s="4">
        <f>U39-U38</f>
        <v>-1.4326824635002566E-3</v>
      </c>
    </row>
    <row r="41" spans="20:40" x14ac:dyDescent="0.35">
      <c r="V41" s="3" t="s">
        <v>74</v>
      </c>
      <c r="W41">
        <f>W40/V38</f>
        <v>-0.88127834894001988</v>
      </c>
    </row>
    <row r="42" spans="20:40" x14ac:dyDescent="0.35">
      <c r="W42" t="s"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Corbin Rochlle</cp:lastModifiedBy>
  <dcterms:created xsi:type="dcterms:W3CDTF">2022-02-24T22:43:18Z</dcterms:created>
  <dcterms:modified xsi:type="dcterms:W3CDTF">2022-05-02T05:42:13Z</dcterms:modified>
</cp:coreProperties>
</file>