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Ex3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charts/chartEx4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charts/chartEx5.xml" ContentType="application/vnd.ms-office.chartex+xml"/>
  <Override PartName="/xl/charts/style5.xml" ContentType="application/vnd.ms-office.chartstyle+xml"/>
  <Override PartName="/xl/charts/colors5.xml" ContentType="application/vnd.ms-office.chartcolorstyle+xml"/>
  <Override PartName="/xl/charts/chartEx6.xml" ContentType="application/vnd.ms-office.chartex+xml"/>
  <Override PartName="/xl/charts/style6.xml" ContentType="application/vnd.ms-office.chartstyle+xml"/>
  <Override PartName="/xl/charts/colors6.xml" ContentType="application/vnd.ms-office.chartcolorstyle+xml"/>
  <Override PartName="/xl/drawings/drawing4.xml" ContentType="application/vnd.openxmlformats-officedocument.drawing+xml"/>
  <Override PartName="/xl/charts/chartEx7.xml" ContentType="application/vnd.ms-office.chartex+xml"/>
  <Override PartName="/xl/charts/style7.xml" ContentType="application/vnd.ms-office.chartstyle+xml"/>
  <Override PartName="/xl/charts/colors7.xml" ContentType="application/vnd.ms-office.chartcolorstyle+xml"/>
  <Override PartName="/xl/drawings/drawing5.xml" ContentType="application/vnd.openxmlformats-officedocument.drawing+xml"/>
  <Override PartName="/xl/charts/chartEx8.xml" ContentType="application/vnd.ms-office.chartex+xml"/>
  <Override PartName="/xl/charts/style8.xml" ContentType="application/vnd.ms-office.chartstyle+xml"/>
  <Override PartName="/xl/charts/colors8.xml" ContentType="application/vnd.ms-office.chartcolorstyle+xml"/>
  <Override PartName="/xl/charts/chartEx9.xml" ContentType="application/vnd.ms-office.chartex+xml"/>
  <Override PartName="/xl/charts/style9.xml" ContentType="application/vnd.ms-office.chartstyle+xml"/>
  <Override PartName="/xl/charts/colors9.xml" ContentType="application/vnd.ms-office.chartcolorstyle+xml"/>
  <Override PartName="/xl/drawings/drawing6.xml" ContentType="application/vnd.openxmlformats-officedocument.drawing+xml"/>
  <Override PartName="/xl/charts/chartEx10.xml" ContentType="application/vnd.ms-office.chartex+xml"/>
  <Override PartName="/xl/charts/style10.xml" ContentType="application/vnd.ms-office.chartstyle+xml"/>
  <Override PartName="/xl/charts/colors10.xml" ContentType="application/vnd.ms-office.chartcolorstyle+xml"/>
  <Override PartName="/xl/charts/chartEx11.xml" ContentType="application/vnd.ms-office.chartex+xml"/>
  <Override PartName="/xl/charts/style11.xml" ContentType="application/vnd.ms-office.chartstyle+xml"/>
  <Override PartName="/xl/charts/colors11.xml" ContentType="application/vnd.ms-office.chartcolorstyle+xml"/>
  <Override PartName="/xl/drawings/drawing7.xml" ContentType="application/vnd.openxmlformats-officedocument.drawing+xml"/>
  <Override PartName="/xl/charts/chartEx12.xml" ContentType="application/vnd.ms-office.chartex+xml"/>
  <Override PartName="/xl/charts/style12.xml" ContentType="application/vnd.ms-office.chartstyle+xml"/>
  <Override PartName="/xl/charts/colors12.xml" ContentType="application/vnd.ms-office.chartcolorstyle+xml"/>
  <Override PartName="/xl/charts/chartEx13.xml" ContentType="application/vnd.ms-office.chartex+xml"/>
  <Override PartName="/xl/charts/style13.xml" ContentType="application/vnd.ms-office.chartstyle+xml"/>
  <Override PartName="/xl/charts/colors13.xml" ContentType="application/vnd.ms-office.chartcolorstyle+xml"/>
  <Override PartName="/xl/drawings/drawing8.xml" ContentType="application/vnd.openxmlformats-officedocument.drawing+xml"/>
  <Override PartName="/xl/charts/chartEx14.xml" ContentType="application/vnd.ms-office.chartex+xml"/>
  <Override PartName="/xl/charts/style14.xml" ContentType="application/vnd.ms-office.chartstyle+xml"/>
  <Override PartName="/xl/charts/colors14.xml" ContentType="application/vnd.ms-office.chartcolorstyle+xml"/>
  <Override PartName="/xl/charts/chartEx15.xml" ContentType="application/vnd.ms-office.chartex+xml"/>
  <Override PartName="/xl/charts/style15.xml" ContentType="application/vnd.ms-office.chartstyle+xml"/>
  <Override PartName="/xl/charts/colors15.xml" ContentType="application/vnd.ms-office.chartcolorstyle+xml"/>
  <Override PartName="/xl/drawings/drawing9.xml" ContentType="application/vnd.openxmlformats-officedocument.drawing+xml"/>
  <Override PartName="/xl/charts/chartEx16.xml" ContentType="application/vnd.ms-office.chartex+xml"/>
  <Override PartName="/xl/charts/style16.xml" ContentType="application/vnd.ms-office.chartstyle+xml"/>
  <Override PartName="/xl/charts/colors16.xml" ContentType="application/vnd.ms-office.chartcolorstyle+xml"/>
  <Override PartName="/xl/charts/chartEx17.xml" ContentType="application/vnd.ms-office.chartex+xml"/>
  <Override PartName="/xl/charts/style17.xml" ContentType="application/vnd.ms-office.chartstyle+xml"/>
  <Override PartName="/xl/charts/colors17.xml" ContentType="application/vnd.ms-office.chartcolorstyle+xml"/>
  <Override PartName="/xl/drawings/drawing10.xml" ContentType="application/vnd.openxmlformats-officedocument.drawing+xml"/>
  <Override PartName="/xl/charts/chartEx18.xml" ContentType="application/vnd.ms-office.chartex+xml"/>
  <Override PartName="/xl/charts/style18.xml" ContentType="application/vnd.ms-office.chartstyle+xml"/>
  <Override PartName="/xl/charts/colors18.xml" ContentType="application/vnd.ms-office.chartcolorstyle+xml"/>
  <Override PartName="/xl/drawings/drawing11.xml" ContentType="application/vnd.openxmlformats-officedocument.drawing+xml"/>
  <Override PartName="/xl/charts/chartEx19.xml" ContentType="application/vnd.ms-office.chartex+xml"/>
  <Override PartName="/xl/charts/style19.xml" ContentType="application/vnd.ms-office.chartstyle+xml"/>
  <Override PartName="/xl/charts/colors19.xml" ContentType="application/vnd.ms-office.chartcolorstyle+xml"/>
  <Override PartName="/xl/charts/chartEx20.xml" ContentType="application/vnd.ms-office.chartex+xml"/>
  <Override PartName="/xl/charts/style20.xml" ContentType="application/vnd.ms-office.chartstyle+xml"/>
  <Override PartName="/xl/charts/colors20.xml" ContentType="application/vnd.ms-office.chartcolorstyle+xml"/>
  <Override PartName="/xl/drawings/drawing12.xml" ContentType="application/vnd.openxmlformats-officedocument.drawing+xml"/>
  <Override PartName="/xl/charts/chartEx21.xml" ContentType="application/vnd.ms-office.chartex+xml"/>
  <Override PartName="/xl/charts/style21.xml" ContentType="application/vnd.ms-office.chartstyle+xml"/>
  <Override PartName="/xl/charts/colors21.xml" ContentType="application/vnd.ms-office.chartcolorstyle+xml"/>
  <Override PartName="/xl/charts/chartEx22.xml" ContentType="application/vnd.ms-office.chartex+xml"/>
  <Override PartName="/xl/charts/style22.xml" ContentType="application/vnd.ms-office.chartstyle+xml"/>
  <Override PartName="/xl/charts/colors22.xml" ContentType="application/vnd.ms-office.chartcolorstyle+xml"/>
  <Override PartName="/xl/drawings/drawing13.xml" ContentType="application/vnd.openxmlformats-officedocument.drawing+xml"/>
  <Override PartName="/xl/charts/chartEx23.xml" ContentType="application/vnd.ms-office.chartex+xml"/>
  <Override PartName="/xl/charts/style23.xml" ContentType="application/vnd.ms-office.chartstyle+xml"/>
  <Override PartName="/xl/charts/colors23.xml" ContentType="application/vnd.ms-office.chartcolorstyle+xml"/>
  <Override PartName="/xl/charts/chartEx24.xml" ContentType="application/vnd.ms-office.chartex+xml"/>
  <Override PartName="/xl/charts/style24.xml" ContentType="application/vnd.ms-office.chartstyle+xml"/>
  <Override PartName="/xl/charts/colors24.xml" ContentType="application/vnd.ms-office.chartcolorstyle+xml"/>
  <Override PartName="/xl/drawings/drawing14.xml" ContentType="application/vnd.openxmlformats-officedocument.drawing+xml"/>
  <Override PartName="/xl/charts/chartEx25.xml" ContentType="application/vnd.ms-office.chartex+xml"/>
  <Override PartName="/xl/charts/style25.xml" ContentType="application/vnd.ms-office.chartstyle+xml"/>
  <Override PartName="/xl/charts/colors25.xml" ContentType="application/vnd.ms-office.chartcolorstyle+xml"/>
  <Override PartName="/xl/charts/chartEx26.xml" ContentType="application/vnd.ms-office.chartex+xml"/>
  <Override PartName="/xl/charts/style26.xml" ContentType="application/vnd.ms-office.chartstyle+xml"/>
  <Override PartName="/xl/charts/colors26.xml" ContentType="application/vnd.ms-office.chartcolorstyle+xml"/>
  <Override PartName="/xl/drawings/drawing15.xml" ContentType="application/vnd.openxmlformats-officedocument.drawing+xml"/>
  <Override PartName="/xl/charts/chartEx27.xml" ContentType="application/vnd.ms-office.chartex+xml"/>
  <Override PartName="/xl/charts/style27.xml" ContentType="application/vnd.ms-office.chartstyle+xml"/>
  <Override PartName="/xl/charts/colors27.xml" ContentType="application/vnd.ms-office.chartcolorstyle+xml"/>
  <Override PartName="/xl/charts/chartEx28.xml" ContentType="application/vnd.ms-office.chartex+xml"/>
  <Override PartName="/xl/charts/style28.xml" ContentType="application/vnd.ms-office.chartstyle+xml"/>
  <Override PartName="/xl/charts/colors28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cob\Downloads\"/>
    </mc:Choice>
  </mc:AlternateContent>
  <xr:revisionPtr revIDLastSave="0" documentId="8_{E9A3A50B-6250-47B7-B711-D86CA94FEDB5}" xr6:coauthVersionLast="47" xr6:coauthVersionMax="47" xr10:uidLastSave="{00000000-0000-0000-0000-000000000000}"/>
  <bookViews>
    <workbookView xWindow="-108" yWindow="-108" windowWidth="23256" windowHeight="12456" firstSheet="2" activeTab="3" xr2:uid="{1B2F26F8-846C-4AA0-8E3D-DEEFCE7BAEEC}"/>
  </bookViews>
  <sheets>
    <sheet name="Raw" sheetId="1" r:id="rId1"/>
    <sheet name="Transformed" sheetId="2" r:id="rId2"/>
    <sheet name="Analysis (Quals Only)" sheetId="22" r:id="rId3"/>
    <sheet name="Sheet1" sheetId="24" r:id="rId4"/>
    <sheet name="Score Scattersheet (Quals Only)" sheetId="23" r:id="rId5"/>
    <sheet name="Analysis" sheetId="3" r:id="rId6"/>
    <sheet name="Score Scattersheet" sheetId="5" r:id="rId7"/>
    <sheet name="Event Stats" sheetId="4" r:id="rId8"/>
    <sheet name="10B" sheetId="6" r:id="rId9"/>
    <sheet name="10C" sheetId="7" r:id="rId10"/>
    <sheet name="229V" sheetId="8" r:id="rId11"/>
    <sheet name="299Y" sheetId="9" r:id="rId12"/>
    <sheet name="886N" sheetId="10" r:id="rId13"/>
    <sheet name="938X" sheetId="11" r:id="rId14"/>
    <sheet name="1000A" sheetId="12" r:id="rId15"/>
    <sheet name="1469A" sheetId="13" r:id="rId16"/>
    <sheet name="1698Y" sheetId="15" r:id="rId17"/>
    <sheet name="5327K" sheetId="16" r:id="rId18"/>
    <sheet name="9364C" sheetId="17" r:id="rId19"/>
    <sheet name="9364H" sheetId="18" r:id="rId20"/>
    <sheet name="51581S" sheetId="19" r:id="rId21"/>
    <sheet name="66475C" sheetId="20" r:id="rId22"/>
    <sheet name="80001B" sheetId="21" r:id="rId23"/>
  </sheets>
  <definedNames>
    <definedName name="_xlchart.v1.0" hidden="1">'10B'!$A$21</definedName>
    <definedName name="_xlchart.v1.1" hidden="1">'10B'!$A$22:$A$30</definedName>
    <definedName name="_xlchart.v1.10" hidden="1">'10C'!$B$1</definedName>
    <definedName name="_xlchart.v1.100" hidden="1">'66475C'!$A$18</definedName>
    <definedName name="_xlchart.v1.101" hidden="1">'66475C'!$A$19:$A$27</definedName>
    <definedName name="_xlchart.v1.102" hidden="1">'66475C'!$B$18</definedName>
    <definedName name="_xlchart.v1.103" hidden="1">'66475C'!$B$19:$B$27</definedName>
    <definedName name="_xlchart.v1.104" hidden="1">'80001B'!$A$1</definedName>
    <definedName name="_xlchart.v1.105" hidden="1">'80001B'!$A$2:$A$16</definedName>
    <definedName name="_xlchart.v1.106" hidden="1">'80001B'!$B$1</definedName>
    <definedName name="_xlchart.v1.107" hidden="1">'80001B'!$B$2:$B$16</definedName>
    <definedName name="_xlchart.v1.108" hidden="1">'80001B'!$A$21</definedName>
    <definedName name="_xlchart.v1.109" hidden="1">'80001B'!$A$22:$A$30</definedName>
    <definedName name="_xlchart.v1.11" hidden="1">'10C'!$B$2:$B$13</definedName>
    <definedName name="_xlchart.v1.110" hidden="1">'80001B'!$B$21</definedName>
    <definedName name="_xlchart.v1.111" hidden="1">'80001B'!$B$22:$B$30</definedName>
    <definedName name="_xlchart.v1.12" hidden="1">'10C'!$A$22</definedName>
    <definedName name="_xlchart.v1.13" hidden="1">'10C'!$A$23:$A$31</definedName>
    <definedName name="_xlchart.v1.14" hidden="1">'10C'!$B$22</definedName>
    <definedName name="_xlchart.v1.15" hidden="1">'10C'!$B$23:$B$31</definedName>
    <definedName name="_xlchart.v1.16" hidden="1">'229V'!$A$1</definedName>
    <definedName name="_xlchart.v1.17" hidden="1">'229V'!$A$2:$A$17</definedName>
    <definedName name="_xlchart.v1.18" hidden="1">'229V'!$B$1</definedName>
    <definedName name="_xlchart.v1.19" hidden="1">'229V'!$B$2:$B$17</definedName>
    <definedName name="_xlchart.v1.2" hidden="1">'10B'!$B$21</definedName>
    <definedName name="_xlchart.v1.20" hidden="1">'229V'!$A$22</definedName>
    <definedName name="_xlchart.v1.21" hidden="1">'229V'!$A$23:$A$31</definedName>
    <definedName name="_xlchart.v1.22" hidden="1">'229V'!$B$22</definedName>
    <definedName name="_xlchart.v1.23" hidden="1">'229V'!$B$23:$B$31</definedName>
    <definedName name="_xlchart.v1.24" hidden="1">'299Y'!$A$1</definedName>
    <definedName name="_xlchart.v1.25" hidden="1">'299Y'!$A$2:$A$10</definedName>
    <definedName name="_xlchart.v1.26" hidden="1">'299Y'!$B$1</definedName>
    <definedName name="_xlchart.v1.27" hidden="1">'299Y'!$B$2:$B$10</definedName>
    <definedName name="_xlchart.v1.28" hidden="1">'886N'!$A$1</definedName>
    <definedName name="_xlchart.v1.29" hidden="1">'886N'!$A$2:$A$12</definedName>
    <definedName name="_xlchart.v1.3" hidden="1">'10B'!$B$22:$B$30</definedName>
    <definedName name="_xlchart.v1.30" hidden="1">'886N'!$B$1</definedName>
    <definedName name="_xlchart.v1.31" hidden="1">'886N'!$B$2:$B$12</definedName>
    <definedName name="_xlchart.v1.32" hidden="1">'886N'!$A$17</definedName>
    <definedName name="_xlchart.v1.33" hidden="1">'886N'!$A$18:$A$26</definedName>
    <definedName name="_xlchart.v1.34" hidden="1">'886N'!$B$17</definedName>
    <definedName name="_xlchart.v1.35" hidden="1">'886N'!$B$18:$B$26</definedName>
    <definedName name="_xlchart.v1.36" hidden="1">'938X'!$A$1</definedName>
    <definedName name="_xlchart.v1.37" hidden="1">'938X'!$A$2:$A$12</definedName>
    <definedName name="_xlchart.v1.38" hidden="1">'938X'!$B$1</definedName>
    <definedName name="_xlchart.v1.39" hidden="1">'938X'!$B$2:$B$12</definedName>
    <definedName name="_xlchart.v1.4" hidden="1">'10B'!$A$1</definedName>
    <definedName name="_xlchart.v1.40" hidden="1">'938X'!$A$17</definedName>
    <definedName name="_xlchart.v1.41" hidden="1">'938X'!$A$18:$A$26</definedName>
    <definedName name="_xlchart.v1.42" hidden="1">'938X'!$B$17</definedName>
    <definedName name="_xlchart.v1.43" hidden="1">'938X'!$B$18:$B$26</definedName>
    <definedName name="_xlchart.v1.44" hidden="1">'1000A'!$A$18</definedName>
    <definedName name="_xlchart.v1.45" hidden="1">'1000A'!$A$19:$A$27</definedName>
    <definedName name="_xlchart.v1.46" hidden="1">'1000A'!$B$18</definedName>
    <definedName name="_xlchart.v1.47" hidden="1">'1000A'!$B$19:$B$27</definedName>
    <definedName name="_xlchart.v1.48" hidden="1">'1000A'!$A$1</definedName>
    <definedName name="_xlchart.v1.49" hidden="1">'1000A'!$A$2:$A$13</definedName>
    <definedName name="_xlchart.v1.5" hidden="1">'10B'!$A$2:$A$9</definedName>
    <definedName name="_xlchart.v1.50" hidden="1">'1000A'!$B$1</definedName>
    <definedName name="_xlchart.v1.51" hidden="1">'1000A'!$B$2:$B$13</definedName>
    <definedName name="_xlchart.v1.52" hidden="1">'1469A'!$A$18</definedName>
    <definedName name="_xlchart.v1.53" hidden="1">'1469A'!$A$19:$A$27</definedName>
    <definedName name="_xlchart.v1.54" hidden="1">'1469A'!$B$18</definedName>
    <definedName name="_xlchart.v1.55" hidden="1">'1469A'!$B$19:$B$27</definedName>
    <definedName name="_xlchart.v1.56" hidden="1">'1469A'!$A$1</definedName>
    <definedName name="_xlchart.v1.57" hidden="1">'1469A'!$A$2:$A$13</definedName>
    <definedName name="_xlchart.v1.58" hidden="1">'1469A'!$B$1</definedName>
    <definedName name="_xlchart.v1.59" hidden="1">'1469A'!$B$2:$B$13</definedName>
    <definedName name="_xlchart.v1.6" hidden="1">'10B'!$B$1</definedName>
    <definedName name="_xlchart.v1.60" hidden="1">'1698Y'!$A$1</definedName>
    <definedName name="_xlchart.v1.61" hidden="1">'1698Y'!$A$2:$A$12</definedName>
    <definedName name="_xlchart.v1.62" hidden="1">'1698Y'!$B$1</definedName>
    <definedName name="_xlchart.v1.63" hidden="1">'1698Y'!$B$2:$B$12</definedName>
    <definedName name="_xlchart.v1.64" hidden="1">'1698Y'!$A$17</definedName>
    <definedName name="_xlchart.v1.65" hidden="1">'1698Y'!$A$18:$A$26</definedName>
    <definedName name="_xlchart.v1.66" hidden="1">'1698Y'!$B$17</definedName>
    <definedName name="_xlchart.v1.67" hidden="1">'1698Y'!$B$18:$B$26</definedName>
    <definedName name="_xlchart.v1.68" hidden="1">'5327K'!$A$1</definedName>
    <definedName name="_xlchart.v1.69" hidden="1">'5327K'!$A$2:$A$10</definedName>
    <definedName name="_xlchart.v1.7" hidden="1">'10B'!$B$2:$B$9</definedName>
    <definedName name="_xlchart.v1.70" hidden="1">'5327K'!$B$1</definedName>
    <definedName name="_xlchart.v1.71" hidden="1">'5327K'!$B$2:$B$10</definedName>
    <definedName name="_xlchart.v1.72" hidden="1">'9364C'!$A$1</definedName>
    <definedName name="_xlchart.v1.73" hidden="1">'9364C'!$A$2:$A$15</definedName>
    <definedName name="_xlchart.v1.74" hidden="1">'9364C'!$B$1</definedName>
    <definedName name="_xlchart.v1.75" hidden="1">'9364C'!$B$2:$B$15</definedName>
    <definedName name="_xlchart.v1.76" hidden="1">'9364C'!$A$20</definedName>
    <definedName name="_xlchart.v1.77" hidden="1">'9364C'!$A$21:$A$29</definedName>
    <definedName name="_xlchart.v1.78" hidden="1">'9364C'!$B$20</definedName>
    <definedName name="_xlchart.v1.79" hidden="1">'9364C'!$B$21:$B$29</definedName>
    <definedName name="_xlchart.v1.8" hidden="1">'10C'!$A$1</definedName>
    <definedName name="_xlchart.v1.80" hidden="1">'9364H'!$A$17</definedName>
    <definedName name="_xlchart.v1.81" hidden="1">'9364H'!$A$18:$A$26</definedName>
    <definedName name="_xlchart.v1.82" hidden="1">'9364H'!$B$17</definedName>
    <definedName name="_xlchart.v1.83" hidden="1">'9364H'!$B$18:$B$26</definedName>
    <definedName name="_xlchart.v1.84" hidden="1">'9364H'!$A$1</definedName>
    <definedName name="_xlchart.v1.85" hidden="1">'9364H'!$A$2:$A$12</definedName>
    <definedName name="_xlchart.v1.86" hidden="1">'9364H'!$B$1</definedName>
    <definedName name="_xlchart.v1.87" hidden="1">'9364H'!$B$2:$B$12</definedName>
    <definedName name="_xlchart.v1.88" hidden="1">'51581S'!$A$18</definedName>
    <definedName name="_xlchart.v1.89" hidden="1">'51581S'!$A$19:$A$27</definedName>
    <definedName name="_xlchart.v1.9" hidden="1">'10C'!$A$2:$A$13</definedName>
    <definedName name="_xlchart.v1.90" hidden="1">'51581S'!$B$18</definedName>
    <definedName name="_xlchart.v1.91" hidden="1">'51581S'!$B$19:$B$27</definedName>
    <definedName name="_xlchart.v1.92" hidden="1">'51581S'!$A$1</definedName>
    <definedName name="_xlchart.v1.93" hidden="1">'51581S'!$A$2:$A$13</definedName>
    <definedName name="_xlchart.v1.94" hidden="1">'51581S'!$B$1</definedName>
    <definedName name="_xlchart.v1.95" hidden="1">'51581S'!$B$2:$B$13</definedName>
    <definedName name="_xlchart.v1.96" hidden="1">'66475C'!$A$1</definedName>
    <definedName name="_xlchart.v1.97" hidden="1">'66475C'!$A$2:$A$13</definedName>
    <definedName name="_xlchart.v1.98" hidden="1">'66475C'!$B$1</definedName>
    <definedName name="_xlchart.v1.99" hidden="1">'66475C'!$B$2:$B$13</definedName>
  </definedNames>
  <calcPr calcId="191029"/>
  <pivotCaches>
    <pivotCache cacheId="0" r:id="rId24"/>
    <pivotCache cacheId="1" r:id="rId25"/>
    <pivotCache cacheId="2" r:id="rId26"/>
    <pivotCache cacheId="3" r:id="rId27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5" i="24" l="1"/>
  <c r="E5" i="24" s="1"/>
  <c r="D3" i="24"/>
  <c r="E3" i="24" s="1"/>
  <c r="D4" i="24"/>
  <c r="E4" i="24" s="1"/>
  <c r="D10" i="24"/>
  <c r="E10" i="24" s="1"/>
  <c r="D15" i="24"/>
  <c r="E15" i="24" s="1"/>
  <c r="D14" i="24"/>
  <c r="E14" i="24" s="1"/>
  <c r="D18" i="24"/>
  <c r="E18" i="24" s="1"/>
  <c r="D8" i="24"/>
  <c r="E8" i="24" s="1"/>
  <c r="D34" i="24"/>
  <c r="E34" i="24" s="1"/>
  <c r="D9" i="24"/>
  <c r="E9" i="24" s="1"/>
  <c r="D29" i="24"/>
  <c r="E29" i="24" s="1"/>
  <c r="D13" i="24"/>
  <c r="E13" i="24" s="1"/>
  <c r="D12" i="24"/>
  <c r="E12" i="24" s="1"/>
  <c r="D46" i="24"/>
  <c r="E46" i="24" s="1"/>
  <c r="D6" i="24"/>
  <c r="E6" i="24" s="1"/>
  <c r="D54" i="24"/>
  <c r="E54" i="24" s="1"/>
  <c r="D40" i="24"/>
  <c r="E40" i="24" s="1"/>
  <c r="D23" i="24"/>
  <c r="E23" i="24" s="1"/>
  <c r="D37" i="24"/>
  <c r="E37" i="24" s="1"/>
  <c r="D42" i="24"/>
  <c r="E42" i="24" s="1"/>
  <c r="D41" i="24"/>
  <c r="E41" i="24" s="1"/>
  <c r="D30" i="24"/>
  <c r="E30" i="24" s="1"/>
  <c r="D51" i="24"/>
  <c r="E51" i="24" s="1"/>
  <c r="D2" i="24"/>
  <c r="E2" i="24" s="1"/>
  <c r="D26" i="24"/>
  <c r="E26" i="24" s="1"/>
  <c r="D25" i="24"/>
  <c r="E25" i="24" s="1"/>
  <c r="D7" i="24"/>
  <c r="E7" i="24" s="1"/>
  <c r="D45" i="24"/>
  <c r="E45" i="24" s="1"/>
  <c r="D19" i="24"/>
  <c r="E19" i="24" s="1"/>
  <c r="D24" i="24"/>
  <c r="E24" i="24" s="1"/>
  <c r="D69" i="24"/>
  <c r="E69" i="24" s="1"/>
  <c r="D48" i="24"/>
  <c r="E48" i="24" s="1"/>
  <c r="D49" i="24"/>
  <c r="E49" i="24" s="1"/>
  <c r="D21" i="24"/>
  <c r="E21" i="24" s="1"/>
  <c r="D33" i="24"/>
  <c r="E33" i="24" s="1"/>
  <c r="D105" i="24"/>
  <c r="E105" i="24" s="1"/>
  <c r="D60" i="24"/>
  <c r="E60" i="24" s="1"/>
  <c r="D64" i="24"/>
  <c r="E64" i="24" s="1"/>
  <c r="D43" i="24"/>
  <c r="E43" i="24" s="1"/>
  <c r="D97" i="24"/>
  <c r="E97" i="24" s="1"/>
  <c r="D32" i="24"/>
  <c r="E32" i="24" s="1"/>
  <c r="D50" i="24"/>
  <c r="E50" i="24" s="1"/>
  <c r="D57" i="24"/>
  <c r="E57" i="24" s="1"/>
  <c r="D52" i="24"/>
  <c r="E52" i="24" s="1"/>
  <c r="D62" i="24"/>
  <c r="E62" i="24" s="1"/>
  <c r="D63" i="24"/>
  <c r="E63" i="24" s="1"/>
  <c r="D27" i="24"/>
  <c r="E27" i="24" s="1"/>
  <c r="D67" i="24"/>
  <c r="E67" i="24" s="1"/>
  <c r="D73" i="24"/>
  <c r="E73" i="24" s="1"/>
  <c r="D44" i="24"/>
  <c r="E44" i="24" s="1"/>
  <c r="D35" i="24"/>
  <c r="E35" i="24" s="1"/>
  <c r="D39" i="24"/>
  <c r="E39" i="24" s="1"/>
  <c r="D16" i="24"/>
  <c r="E16" i="24" s="1"/>
  <c r="D58" i="24"/>
  <c r="E58" i="24" s="1"/>
  <c r="D53" i="24"/>
  <c r="E53" i="24" s="1"/>
  <c r="D61" i="24"/>
  <c r="E61" i="24" s="1"/>
  <c r="D65" i="24"/>
  <c r="E65" i="24" s="1"/>
  <c r="D17" i="24"/>
  <c r="E17" i="24" s="1"/>
  <c r="D36" i="24"/>
  <c r="E36" i="24" s="1"/>
  <c r="D22" i="24"/>
  <c r="E22" i="24" s="1"/>
  <c r="D55" i="24"/>
  <c r="E55" i="24" s="1"/>
  <c r="D79" i="24"/>
  <c r="E79" i="24" s="1"/>
  <c r="D56" i="24"/>
  <c r="E56" i="24" s="1"/>
  <c r="D68" i="24"/>
  <c r="E68" i="24" s="1"/>
  <c r="D71" i="24"/>
  <c r="E71" i="24" s="1"/>
  <c r="D31" i="24"/>
  <c r="E31" i="24" s="1"/>
  <c r="D95" i="24"/>
  <c r="E95" i="24" s="1"/>
  <c r="D94" i="24"/>
  <c r="E94" i="24" s="1"/>
  <c r="D123" i="24"/>
  <c r="E123" i="24" s="1"/>
  <c r="D38" i="24"/>
  <c r="E38" i="24" s="1"/>
  <c r="D78" i="24"/>
  <c r="E78" i="24" s="1"/>
  <c r="D81" i="24"/>
  <c r="E81" i="24" s="1"/>
  <c r="D66" i="24"/>
  <c r="E66" i="24" s="1"/>
  <c r="D47" i="24"/>
  <c r="E47" i="24" s="1"/>
  <c r="D20" i="24"/>
  <c r="E20" i="24" s="1"/>
  <c r="D28" i="24"/>
  <c r="E28" i="24" s="1"/>
  <c r="D80" i="24"/>
  <c r="E80" i="24" s="1"/>
  <c r="D77" i="24"/>
  <c r="E77" i="24" s="1"/>
  <c r="D93" i="24"/>
  <c r="E93" i="24" s="1"/>
  <c r="D72" i="24"/>
  <c r="E72" i="24" s="1"/>
  <c r="D98" i="24"/>
  <c r="E98" i="24" s="1"/>
  <c r="D113" i="24"/>
  <c r="E113" i="24" s="1"/>
  <c r="D85" i="24"/>
  <c r="E85" i="24" s="1"/>
  <c r="D90" i="24"/>
  <c r="E90" i="24" s="1"/>
  <c r="D109" i="24"/>
  <c r="E109" i="24" s="1"/>
  <c r="D76" i="24"/>
  <c r="E76" i="24" s="1"/>
  <c r="D108" i="24"/>
  <c r="E108" i="24" s="1"/>
  <c r="D102" i="24"/>
  <c r="E102" i="24" s="1"/>
  <c r="D96" i="24"/>
  <c r="E96" i="24" s="1"/>
  <c r="D120" i="24"/>
  <c r="E120" i="24" s="1"/>
  <c r="D99" i="24"/>
  <c r="E99" i="24" s="1"/>
  <c r="D86" i="24"/>
  <c r="E86" i="24" s="1"/>
  <c r="D74" i="24"/>
  <c r="E74" i="24" s="1"/>
  <c r="D70" i="24"/>
  <c r="E70" i="24" s="1"/>
  <c r="D84" i="24"/>
  <c r="E84" i="24" s="1"/>
  <c r="D91" i="24"/>
  <c r="E91" i="24" s="1"/>
  <c r="D83" i="24"/>
  <c r="E83" i="24" s="1"/>
  <c r="D100" i="24"/>
  <c r="E100" i="24" s="1"/>
  <c r="D103" i="24"/>
  <c r="E103" i="24" s="1"/>
  <c r="D87" i="24"/>
  <c r="E87" i="24" s="1"/>
  <c r="D106" i="24"/>
  <c r="E106" i="24" s="1"/>
  <c r="D59" i="24"/>
  <c r="E59" i="24" s="1"/>
  <c r="D116" i="24"/>
  <c r="E116" i="24" s="1"/>
  <c r="D101" i="24"/>
  <c r="E101" i="24" s="1"/>
  <c r="D111" i="24"/>
  <c r="E111" i="24" s="1"/>
  <c r="D110" i="24"/>
  <c r="E110" i="24" s="1"/>
  <c r="D122" i="24"/>
  <c r="E122" i="24" s="1"/>
  <c r="D104" i="24"/>
  <c r="E104" i="24" s="1"/>
  <c r="D75" i="24"/>
  <c r="E75" i="24" s="1"/>
  <c r="D107" i="24"/>
  <c r="E107" i="24" s="1"/>
  <c r="D112" i="24"/>
  <c r="E112" i="24" s="1"/>
  <c r="D92" i="24"/>
  <c r="E92" i="24" s="1"/>
  <c r="D121" i="24"/>
  <c r="E121" i="24" s="1"/>
  <c r="D89" i="24"/>
  <c r="E89" i="24" s="1"/>
  <c r="D118" i="24"/>
  <c r="E118" i="24" s="1"/>
  <c r="D82" i="24"/>
  <c r="E82" i="24" s="1"/>
  <c r="D117" i="24"/>
  <c r="E117" i="24" s="1"/>
  <c r="D115" i="24"/>
  <c r="E115" i="24" s="1"/>
  <c r="D114" i="24"/>
  <c r="E114" i="24" s="1"/>
  <c r="D124" i="24"/>
  <c r="E124" i="24" s="1"/>
  <c r="D88" i="24"/>
  <c r="E88" i="24" s="1"/>
  <c r="D119" i="24"/>
  <c r="E119" i="24" s="1"/>
  <c r="D125" i="24"/>
  <c r="E125" i="24" s="1"/>
  <c r="D11" i="24"/>
  <c r="E11" i="24" s="1"/>
  <c r="I63" i="22"/>
  <c r="K63" i="22" s="1"/>
  <c r="I32" i="22"/>
  <c r="K32" i="22" s="1"/>
  <c r="I6" i="22"/>
  <c r="K6" i="22" s="1"/>
  <c r="I49" i="22"/>
  <c r="K49" i="22" s="1"/>
  <c r="I27" i="22"/>
  <c r="K27" i="22" s="1"/>
  <c r="I35" i="22"/>
  <c r="K35" i="22" s="1"/>
  <c r="I99" i="22"/>
  <c r="K99" i="22" s="1"/>
  <c r="I54" i="22"/>
  <c r="K54" i="22" s="1"/>
  <c r="I55" i="22"/>
  <c r="K55" i="22" s="1"/>
  <c r="I15" i="22"/>
  <c r="K15" i="22" s="1"/>
  <c r="I42" i="22"/>
  <c r="K42" i="22" s="1"/>
  <c r="I21" i="22"/>
  <c r="K21" i="22" s="1"/>
  <c r="I87" i="22"/>
  <c r="K87" i="22" s="1"/>
  <c r="I71" i="22"/>
  <c r="K71" i="22" s="1"/>
  <c r="I46" i="22"/>
  <c r="K46" i="22" s="1"/>
  <c r="I52" i="22"/>
  <c r="K52" i="22" s="1"/>
  <c r="I102" i="22"/>
  <c r="K102" i="22" s="1"/>
  <c r="I14" i="22"/>
  <c r="K14" i="22" s="1"/>
  <c r="I83" i="22"/>
  <c r="K83" i="22" s="1"/>
  <c r="I53" i="22"/>
  <c r="K53" i="22" s="1"/>
  <c r="I57" i="22"/>
  <c r="K57" i="22" s="1"/>
  <c r="I44" i="22"/>
  <c r="K44" i="22" s="1"/>
  <c r="I18" i="22"/>
  <c r="K18" i="22" s="1"/>
  <c r="I107" i="22"/>
  <c r="K107" i="22" s="1"/>
  <c r="I82" i="22"/>
  <c r="K82" i="22" s="1"/>
  <c r="I47" i="22"/>
  <c r="K47" i="22" s="1"/>
  <c r="I67" i="22"/>
  <c r="K67" i="22" s="1"/>
  <c r="I48" i="22"/>
  <c r="K48" i="22" s="1"/>
  <c r="I96" i="22"/>
  <c r="K96" i="22" s="1"/>
  <c r="I91" i="22"/>
  <c r="K91" i="22" s="1"/>
  <c r="I50" i="22"/>
  <c r="K50" i="22" s="1"/>
  <c r="I69" i="22"/>
  <c r="K69" i="22" s="1"/>
  <c r="I10" i="22"/>
  <c r="K10" i="22" s="1"/>
  <c r="I79" i="22"/>
  <c r="K79" i="22" s="1"/>
  <c r="I64" i="22"/>
  <c r="K64" i="22" s="1"/>
  <c r="I36" i="22"/>
  <c r="K36" i="22" s="1"/>
  <c r="I65" i="22"/>
  <c r="K65" i="22" s="1"/>
  <c r="I29" i="22"/>
  <c r="K29" i="22" s="1"/>
  <c r="I119" i="22"/>
  <c r="K119" i="22" s="1"/>
  <c r="I37" i="22"/>
  <c r="K37" i="22" s="1"/>
  <c r="I51" i="22"/>
  <c r="K51" i="22" s="1"/>
  <c r="I7" i="22"/>
  <c r="K7" i="22" s="1"/>
  <c r="I105" i="22"/>
  <c r="K105" i="22" s="1"/>
  <c r="I58" i="22"/>
  <c r="K58" i="22" s="1"/>
  <c r="I33" i="22"/>
  <c r="K33" i="22" s="1"/>
  <c r="I86" i="22"/>
  <c r="K86" i="22" s="1"/>
  <c r="I98" i="22"/>
  <c r="K98" i="22" s="1"/>
  <c r="I5" i="22"/>
  <c r="K5" i="22" s="1"/>
  <c r="I24" i="22"/>
  <c r="K24" i="22" s="1"/>
  <c r="I109" i="22"/>
  <c r="K109" i="22" s="1"/>
  <c r="I124" i="22"/>
  <c r="K124" i="22" s="1"/>
  <c r="I72" i="22"/>
  <c r="K72" i="22" s="1"/>
  <c r="I31" i="22"/>
  <c r="K31" i="22" s="1"/>
  <c r="I111" i="22"/>
  <c r="K111" i="22" s="1"/>
  <c r="I89" i="22"/>
  <c r="K89" i="22" s="1"/>
  <c r="I77" i="22"/>
  <c r="K77" i="22" s="1"/>
  <c r="I13" i="22"/>
  <c r="K13" i="22" s="1"/>
  <c r="I97" i="22"/>
  <c r="K97" i="22" s="1"/>
  <c r="I104" i="22"/>
  <c r="K104" i="22" s="1"/>
  <c r="I122" i="22"/>
  <c r="K122" i="22" s="1"/>
  <c r="I20" i="22"/>
  <c r="K20" i="22" s="1"/>
  <c r="I80" i="22"/>
  <c r="K80" i="22" s="1"/>
  <c r="I126" i="22"/>
  <c r="K126" i="22" s="1"/>
  <c r="I88" i="22"/>
  <c r="K88" i="22" s="1"/>
  <c r="I68" i="22"/>
  <c r="K68" i="22" s="1"/>
  <c r="I61" i="22"/>
  <c r="K61" i="22" s="1"/>
  <c r="I23" i="22"/>
  <c r="K23" i="22" s="1"/>
  <c r="I110" i="22"/>
  <c r="K110" i="22" s="1"/>
  <c r="I8" i="22"/>
  <c r="K8" i="22" s="1"/>
  <c r="I121" i="22"/>
  <c r="K121" i="22" s="1"/>
  <c r="I19" i="22"/>
  <c r="K19" i="22" s="1"/>
  <c r="I59" i="22"/>
  <c r="K59" i="22" s="1"/>
  <c r="I26" i="22"/>
  <c r="K26" i="22" s="1"/>
  <c r="I95" i="22"/>
  <c r="K95" i="22" s="1"/>
  <c r="I118" i="22"/>
  <c r="K118" i="22" s="1"/>
  <c r="I84" i="22"/>
  <c r="K84" i="22" s="1"/>
  <c r="I93" i="22"/>
  <c r="K93" i="22" s="1"/>
  <c r="I108" i="22"/>
  <c r="K108" i="22" s="1"/>
  <c r="I73" i="22"/>
  <c r="K73" i="22" s="1"/>
  <c r="I12" i="22"/>
  <c r="K12" i="22" s="1"/>
  <c r="I11" i="22"/>
  <c r="K11" i="22" s="1"/>
  <c r="I22" i="22"/>
  <c r="K22" i="22" s="1"/>
  <c r="I123" i="22"/>
  <c r="K123" i="22" s="1"/>
  <c r="I39" i="22"/>
  <c r="K39" i="22" s="1"/>
  <c r="I106" i="22"/>
  <c r="K106" i="22" s="1"/>
  <c r="I113" i="22"/>
  <c r="K113" i="22" s="1"/>
  <c r="I75" i="22"/>
  <c r="K75" i="22" s="1"/>
  <c r="I94" i="22"/>
  <c r="K94" i="22" s="1"/>
  <c r="I25" i="22"/>
  <c r="K25" i="22" s="1"/>
  <c r="I43" i="22"/>
  <c r="K43" i="22" s="1"/>
  <c r="I34" i="22"/>
  <c r="K34" i="22" s="1"/>
  <c r="I70" i="22"/>
  <c r="K70" i="22" s="1"/>
  <c r="I38" i="22"/>
  <c r="K38" i="22" s="1"/>
  <c r="I78" i="22"/>
  <c r="K78" i="22" s="1"/>
  <c r="I40" i="22"/>
  <c r="K40" i="22" s="1"/>
  <c r="I28" i="22"/>
  <c r="K28" i="22" s="1"/>
  <c r="I85" i="22"/>
  <c r="K85" i="22" s="1"/>
  <c r="I45" i="22"/>
  <c r="K45" i="22" s="1"/>
  <c r="I62" i="22"/>
  <c r="K62" i="22" s="1"/>
  <c r="I117" i="22"/>
  <c r="K117" i="22" s="1"/>
  <c r="I81" i="22"/>
  <c r="K81" i="22" s="1"/>
  <c r="I30" i="22"/>
  <c r="K30" i="22" s="1"/>
  <c r="I100" i="22"/>
  <c r="K100" i="22" s="1"/>
  <c r="I4" i="22"/>
  <c r="K4" i="22" s="1"/>
  <c r="I112" i="22"/>
  <c r="K112" i="22" s="1"/>
  <c r="I16" i="22"/>
  <c r="K16" i="22" s="1"/>
  <c r="I17" i="22"/>
  <c r="K17" i="22" s="1"/>
  <c r="I101" i="22"/>
  <c r="K101" i="22" s="1"/>
  <c r="I90" i="22"/>
  <c r="K90" i="22" s="1"/>
  <c r="I74" i="22"/>
  <c r="K74" i="22" s="1"/>
  <c r="I56" i="22"/>
  <c r="K56" i="22" s="1"/>
  <c r="I114" i="22"/>
  <c r="K114" i="22" s="1"/>
  <c r="I76" i="22"/>
  <c r="K76" i="22" s="1"/>
  <c r="I127" i="22"/>
  <c r="K127" i="22" s="1"/>
  <c r="I92" i="22"/>
  <c r="K92" i="22" s="1"/>
  <c r="I120" i="22"/>
  <c r="K120" i="22" s="1"/>
  <c r="I60" i="22"/>
  <c r="K60" i="22" s="1"/>
  <c r="I66" i="22"/>
  <c r="K66" i="22" s="1"/>
  <c r="I115" i="22"/>
  <c r="K115" i="22" s="1"/>
  <c r="I41" i="22"/>
  <c r="K41" i="22" s="1"/>
  <c r="I125" i="22"/>
  <c r="K125" i="22" s="1"/>
  <c r="I103" i="22"/>
  <c r="K103" i="22" s="1"/>
  <c r="I116" i="22"/>
  <c r="K116" i="22" s="1"/>
  <c r="I9" i="22"/>
  <c r="K9" i="22" s="1"/>
  <c r="F29" i="21"/>
  <c r="E29" i="21"/>
  <c r="F28" i="21"/>
  <c r="E28" i="21"/>
  <c r="F27" i="21"/>
  <c r="E27" i="21"/>
  <c r="F26" i="21"/>
  <c r="E26" i="21"/>
  <c r="F25" i="21"/>
  <c r="E25" i="21"/>
  <c r="F24" i="21"/>
  <c r="F30" i="21" s="1"/>
  <c r="E24" i="21"/>
  <c r="F23" i="21"/>
  <c r="E23" i="21"/>
  <c r="E30" i="21" s="1"/>
  <c r="F22" i="21"/>
  <c r="E22" i="21"/>
  <c r="F26" i="20"/>
  <c r="E26" i="20"/>
  <c r="F25" i="20"/>
  <c r="E25" i="20"/>
  <c r="F24" i="20"/>
  <c r="E24" i="20"/>
  <c r="F23" i="20"/>
  <c r="E23" i="20"/>
  <c r="F22" i="20"/>
  <c r="E22" i="20"/>
  <c r="F21" i="20"/>
  <c r="F27" i="20" s="1"/>
  <c r="E21" i="20"/>
  <c r="F20" i="20"/>
  <c r="E20" i="20"/>
  <c r="E27" i="20" s="1"/>
  <c r="F19" i="20"/>
  <c r="E19" i="20"/>
  <c r="F26" i="19"/>
  <c r="E26" i="19"/>
  <c r="F25" i="19"/>
  <c r="E25" i="19"/>
  <c r="F24" i="19"/>
  <c r="E24" i="19"/>
  <c r="F23" i="19"/>
  <c r="E23" i="19"/>
  <c r="F22" i="19"/>
  <c r="E22" i="19"/>
  <c r="F21" i="19"/>
  <c r="E21" i="19"/>
  <c r="F20" i="19"/>
  <c r="F27" i="19" s="1"/>
  <c r="E20" i="19"/>
  <c r="E27" i="19" s="1"/>
  <c r="F19" i="19"/>
  <c r="E19" i="19"/>
  <c r="E26" i="18"/>
  <c r="F25" i="18"/>
  <c r="E25" i="18"/>
  <c r="F24" i="18"/>
  <c r="E24" i="18"/>
  <c r="F23" i="18"/>
  <c r="E23" i="18"/>
  <c r="F22" i="18"/>
  <c r="E22" i="18"/>
  <c r="F21" i="18"/>
  <c r="E21" i="18"/>
  <c r="F20" i="18"/>
  <c r="E20" i="18"/>
  <c r="F19" i="18"/>
  <c r="F26" i="18" s="1"/>
  <c r="E19" i="18"/>
  <c r="F18" i="18"/>
  <c r="E18" i="18"/>
  <c r="F28" i="17"/>
  <c r="E28" i="17"/>
  <c r="F27" i="17"/>
  <c r="E27" i="17"/>
  <c r="F26" i="17"/>
  <c r="E26" i="17"/>
  <c r="F25" i="17"/>
  <c r="E25" i="17"/>
  <c r="F24" i="17"/>
  <c r="E24" i="17"/>
  <c r="F23" i="17"/>
  <c r="E23" i="17"/>
  <c r="F22" i="17"/>
  <c r="F29" i="17" s="1"/>
  <c r="E22" i="17"/>
  <c r="E29" i="17" s="1"/>
  <c r="F21" i="17"/>
  <c r="E21" i="17"/>
  <c r="F25" i="15"/>
  <c r="E25" i="15"/>
  <c r="F24" i="15"/>
  <c r="E24" i="15"/>
  <c r="F23" i="15"/>
  <c r="E23" i="15"/>
  <c r="F22" i="15"/>
  <c r="E22" i="15"/>
  <c r="F21" i="15"/>
  <c r="E21" i="15"/>
  <c r="F20" i="15"/>
  <c r="E20" i="15"/>
  <c r="F19" i="15"/>
  <c r="F26" i="15" s="1"/>
  <c r="E19" i="15"/>
  <c r="E26" i="15" s="1"/>
  <c r="F18" i="15"/>
  <c r="E18" i="15"/>
  <c r="F26" i="13"/>
  <c r="E26" i="13"/>
  <c r="F25" i="13"/>
  <c r="E25" i="13"/>
  <c r="F24" i="13"/>
  <c r="E24" i="13"/>
  <c r="F23" i="13"/>
  <c r="E23" i="13"/>
  <c r="F22" i="13"/>
  <c r="E22" i="13"/>
  <c r="F21" i="13"/>
  <c r="E21" i="13"/>
  <c r="F20" i="13"/>
  <c r="F27" i="13" s="1"/>
  <c r="E20" i="13"/>
  <c r="E27" i="13" s="1"/>
  <c r="F19" i="13"/>
  <c r="E19" i="13"/>
  <c r="F26" i="12"/>
  <c r="E26" i="12"/>
  <c r="F25" i="12"/>
  <c r="E25" i="12"/>
  <c r="F24" i="12"/>
  <c r="E24" i="12"/>
  <c r="F23" i="12"/>
  <c r="E23" i="12"/>
  <c r="F22" i="12"/>
  <c r="E22" i="12"/>
  <c r="F21" i="12"/>
  <c r="F27" i="12" s="1"/>
  <c r="E21" i="12"/>
  <c r="E27" i="12" s="1"/>
  <c r="F20" i="12"/>
  <c r="E20" i="12"/>
  <c r="F19" i="12"/>
  <c r="E19" i="12"/>
  <c r="F25" i="11"/>
  <c r="E25" i="11"/>
  <c r="F24" i="11"/>
  <c r="E24" i="11"/>
  <c r="F23" i="11"/>
  <c r="E23" i="11"/>
  <c r="F22" i="11"/>
  <c r="E22" i="11"/>
  <c r="F21" i="11"/>
  <c r="E21" i="11"/>
  <c r="F20" i="11"/>
  <c r="E20" i="11"/>
  <c r="F19" i="11"/>
  <c r="F26" i="11" s="1"/>
  <c r="E19" i="11"/>
  <c r="E26" i="11" s="1"/>
  <c r="F18" i="11"/>
  <c r="E18" i="11"/>
  <c r="F25" i="10"/>
  <c r="E25" i="10"/>
  <c r="F24" i="10"/>
  <c r="E24" i="10"/>
  <c r="F23" i="10"/>
  <c r="E23" i="10"/>
  <c r="F22" i="10"/>
  <c r="E22" i="10"/>
  <c r="F21" i="10"/>
  <c r="E21" i="10"/>
  <c r="F20" i="10"/>
  <c r="E20" i="10"/>
  <c r="F19" i="10"/>
  <c r="F26" i="10" s="1"/>
  <c r="E19" i="10"/>
  <c r="E26" i="10" s="1"/>
  <c r="F18" i="10"/>
  <c r="E18" i="10"/>
  <c r="F30" i="8"/>
  <c r="E30" i="8"/>
  <c r="F29" i="8"/>
  <c r="E29" i="8"/>
  <c r="F28" i="8"/>
  <c r="E28" i="8"/>
  <c r="F27" i="8"/>
  <c r="E27" i="8"/>
  <c r="F26" i="8"/>
  <c r="E26" i="8"/>
  <c r="F25" i="8"/>
  <c r="F31" i="8" s="1"/>
  <c r="E25" i="8"/>
  <c r="F24" i="8"/>
  <c r="E24" i="8"/>
  <c r="E31" i="8" s="1"/>
  <c r="F23" i="8"/>
  <c r="E23" i="8"/>
  <c r="F30" i="7"/>
  <c r="E30" i="7"/>
  <c r="F29" i="7"/>
  <c r="E29" i="7"/>
  <c r="F28" i="7"/>
  <c r="E28" i="7"/>
  <c r="F27" i="7"/>
  <c r="E27" i="7"/>
  <c r="F26" i="7"/>
  <c r="E26" i="7"/>
  <c r="F25" i="7"/>
  <c r="E25" i="7"/>
  <c r="F24" i="7"/>
  <c r="F31" i="7" s="1"/>
  <c r="E24" i="7"/>
  <c r="E31" i="7" s="1"/>
  <c r="F23" i="7"/>
  <c r="E23" i="7"/>
  <c r="F29" i="6"/>
  <c r="E29" i="6"/>
  <c r="F28" i="6"/>
  <c r="E28" i="6"/>
  <c r="F27" i="6"/>
  <c r="E27" i="6"/>
  <c r="F26" i="6"/>
  <c r="E26" i="6"/>
  <c r="F25" i="6"/>
  <c r="E25" i="6"/>
  <c r="F24" i="6"/>
  <c r="E24" i="6"/>
  <c r="F23" i="6"/>
  <c r="F30" i="6" s="1"/>
  <c r="E23" i="6"/>
  <c r="E30" i="6" s="1"/>
  <c r="F22" i="6"/>
  <c r="E22" i="6"/>
  <c r="W282" i="2" a="1"/>
  <c r="W282" i="2" s="1"/>
  <c r="W2" i="2" a="1"/>
  <c r="W2" i="2" s="1"/>
  <c r="V282" i="2" a="1"/>
  <c r="V282" i="2" s="1"/>
  <c r="V2" i="2" a="1"/>
  <c r="V2" i="2" s="1"/>
  <c r="U282" i="2" a="1"/>
  <c r="U282" i="2" s="1"/>
  <c r="U2" i="2" a="1"/>
  <c r="U2" i="2" s="1"/>
  <c r="S2" i="2" a="1"/>
  <c r="S2" i="2" s="1"/>
  <c r="R2" i="2" a="1"/>
  <c r="R2" i="2" s="1"/>
  <c r="F9" i="19"/>
  <c r="E9" i="19"/>
  <c r="F8" i="19"/>
  <c r="E8" i="19"/>
  <c r="F7" i="19"/>
  <c r="E7" i="19"/>
  <c r="F6" i="19"/>
  <c r="E6" i="19"/>
  <c r="F5" i="19"/>
  <c r="E5" i="19"/>
  <c r="F4" i="19"/>
  <c r="E4" i="19"/>
  <c r="F3" i="19"/>
  <c r="F10" i="19" s="1"/>
  <c r="E3" i="19"/>
  <c r="E10" i="19" s="1"/>
  <c r="F2" i="19"/>
  <c r="E2" i="19"/>
  <c r="F9" i="18"/>
  <c r="E9" i="18"/>
  <c r="F8" i="18"/>
  <c r="E8" i="18"/>
  <c r="F7" i="18"/>
  <c r="E7" i="18"/>
  <c r="F6" i="18"/>
  <c r="E6" i="18"/>
  <c r="F5" i="18"/>
  <c r="E5" i="18"/>
  <c r="F4" i="18"/>
  <c r="E4" i="18"/>
  <c r="F3" i="18"/>
  <c r="F10" i="18" s="1"/>
  <c r="E3" i="18"/>
  <c r="E10" i="18" s="1"/>
  <c r="F2" i="18"/>
  <c r="E2" i="18"/>
  <c r="F9" i="20"/>
  <c r="E9" i="20"/>
  <c r="F8" i="20"/>
  <c r="E8" i="20"/>
  <c r="F7" i="20"/>
  <c r="E7" i="20"/>
  <c r="F6" i="20"/>
  <c r="E6" i="20"/>
  <c r="F5" i="20"/>
  <c r="E5" i="20"/>
  <c r="F4" i="20"/>
  <c r="E4" i="20"/>
  <c r="F3" i="20"/>
  <c r="F10" i="20" s="1"/>
  <c r="E3" i="20"/>
  <c r="E10" i="20" s="1"/>
  <c r="F2" i="20"/>
  <c r="E2" i="20"/>
  <c r="F2" i="21"/>
  <c r="F3" i="21"/>
  <c r="F4" i="21"/>
  <c r="F5" i="21"/>
  <c r="F6" i="21"/>
  <c r="F7" i="21"/>
  <c r="F8" i="21"/>
  <c r="F9" i="21"/>
  <c r="E9" i="21"/>
  <c r="E8" i="21"/>
  <c r="E7" i="21"/>
  <c r="E6" i="21"/>
  <c r="E5" i="21"/>
  <c r="E4" i="21"/>
  <c r="E3" i="21"/>
  <c r="E2" i="21"/>
  <c r="E10" i="21"/>
  <c r="F9" i="17"/>
  <c r="F8" i="17"/>
  <c r="F7" i="17"/>
  <c r="F6" i="17"/>
  <c r="F5" i="17"/>
  <c r="F4" i="17"/>
  <c r="F3" i="17"/>
  <c r="F2" i="17"/>
  <c r="E9" i="17"/>
  <c r="E8" i="17"/>
  <c r="E7" i="17"/>
  <c r="E6" i="17"/>
  <c r="E5" i="17"/>
  <c r="E4" i="17"/>
  <c r="E3" i="17"/>
  <c r="E2" i="17"/>
  <c r="F10" i="17"/>
  <c r="F9" i="16"/>
  <c r="E9" i="16"/>
  <c r="F8" i="16"/>
  <c r="E8" i="16"/>
  <c r="F7" i="16"/>
  <c r="E7" i="16"/>
  <c r="F6" i="16"/>
  <c r="E6" i="16"/>
  <c r="F5" i="16"/>
  <c r="E5" i="16"/>
  <c r="F4" i="16"/>
  <c r="F10" i="16" s="1"/>
  <c r="E4" i="16"/>
  <c r="E10" i="16" s="1"/>
  <c r="F3" i="16"/>
  <c r="E3" i="16"/>
  <c r="F2" i="16"/>
  <c r="E2" i="16"/>
  <c r="F9" i="15"/>
  <c r="E9" i="15"/>
  <c r="F8" i="15"/>
  <c r="E8" i="15"/>
  <c r="F7" i="15"/>
  <c r="E7" i="15"/>
  <c r="F6" i="15"/>
  <c r="E6" i="15"/>
  <c r="F5" i="15"/>
  <c r="E5" i="15"/>
  <c r="F4" i="15"/>
  <c r="F10" i="15" s="1"/>
  <c r="E4" i="15"/>
  <c r="E10" i="15" s="1"/>
  <c r="F3" i="15"/>
  <c r="E3" i="15"/>
  <c r="F2" i="15"/>
  <c r="E2" i="15"/>
  <c r="F9" i="13"/>
  <c r="E9" i="13"/>
  <c r="F8" i="13"/>
  <c r="E8" i="13"/>
  <c r="F7" i="13"/>
  <c r="E7" i="13"/>
  <c r="F6" i="13"/>
  <c r="E6" i="13"/>
  <c r="F5" i="13"/>
  <c r="E5" i="13"/>
  <c r="F4" i="13"/>
  <c r="F10" i="13" s="1"/>
  <c r="E4" i="13"/>
  <c r="F3" i="13"/>
  <c r="E3" i="13"/>
  <c r="E10" i="13" s="1"/>
  <c r="F2" i="13"/>
  <c r="E2" i="13"/>
  <c r="F9" i="12"/>
  <c r="F8" i="12"/>
  <c r="F7" i="12"/>
  <c r="F6" i="12"/>
  <c r="F5" i="12"/>
  <c r="F4" i="12"/>
  <c r="F3" i="12"/>
  <c r="E9" i="12"/>
  <c r="E8" i="12"/>
  <c r="E7" i="12"/>
  <c r="E6" i="12"/>
  <c r="E5" i="12"/>
  <c r="E4" i="12"/>
  <c r="E3" i="12"/>
  <c r="E10" i="12" s="1"/>
  <c r="F2" i="12"/>
  <c r="E2" i="12"/>
  <c r="F9" i="11"/>
  <c r="E9" i="11"/>
  <c r="F8" i="11"/>
  <c r="E8" i="11"/>
  <c r="F7" i="11"/>
  <c r="E7" i="11"/>
  <c r="F6" i="11"/>
  <c r="E6" i="11"/>
  <c r="F5" i="11"/>
  <c r="E5" i="11"/>
  <c r="F4" i="11"/>
  <c r="F10" i="11" s="1"/>
  <c r="E4" i="11"/>
  <c r="F3" i="11"/>
  <c r="E3" i="11"/>
  <c r="E10" i="11" s="1"/>
  <c r="F2" i="11"/>
  <c r="E2" i="11"/>
  <c r="F9" i="7"/>
  <c r="F8" i="7"/>
  <c r="F7" i="7"/>
  <c r="F6" i="7"/>
  <c r="F5" i="7"/>
  <c r="F4" i="7"/>
  <c r="F3" i="7"/>
  <c r="F2" i="7"/>
  <c r="E9" i="7"/>
  <c r="E8" i="7"/>
  <c r="E7" i="7"/>
  <c r="E6" i="7"/>
  <c r="E5" i="7"/>
  <c r="E4" i="7"/>
  <c r="E3" i="7"/>
  <c r="E2" i="7"/>
  <c r="F9" i="6"/>
  <c r="F8" i="6"/>
  <c r="F7" i="6"/>
  <c r="F6" i="6"/>
  <c r="F5" i="6"/>
  <c r="F4" i="6"/>
  <c r="F3" i="6"/>
  <c r="F2" i="6"/>
  <c r="E9" i="6"/>
  <c r="E8" i="6"/>
  <c r="E7" i="6"/>
  <c r="E6" i="6"/>
  <c r="E5" i="6"/>
  <c r="E4" i="6"/>
  <c r="E3" i="6"/>
  <c r="E2" i="6"/>
  <c r="F9" i="10"/>
  <c r="F8" i="10"/>
  <c r="F7" i="10"/>
  <c r="F6" i="10"/>
  <c r="F5" i="10"/>
  <c r="F4" i="10"/>
  <c r="F3" i="10"/>
  <c r="F2" i="10"/>
  <c r="E9" i="10"/>
  <c r="E8" i="10"/>
  <c r="E7" i="10"/>
  <c r="E6" i="10"/>
  <c r="E5" i="10"/>
  <c r="E4" i="10"/>
  <c r="E3" i="10"/>
  <c r="E2" i="10"/>
  <c r="F10" i="10"/>
  <c r="E10" i="10"/>
  <c r="F9" i="9"/>
  <c r="F7" i="9"/>
  <c r="F8" i="9"/>
  <c r="F6" i="9"/>
  <c r="F5" i="9"/>
  <c r="F4" i="9"/>
  <c r="F3" i="9"/>
  <c r="F2" i="9"/>
  <c r="E9" i="9"/>
  <c r="E8" i="9"/>
  <c r="E7" i="9"/>
  <c r="E6" i="9"/>
  <c r="E5" i="9"/>
  <c r="E4" i="9"/>
  <c r="E3" i="9"/>
  <c r="E2" i="9"/>
  <c r="F10" i="9"/>
  <c r="F9" i="8"/>
  <c r="F8" i="8"/>
  <c r="F7" i="8"/>
  <c r="F6" i="8"/>
  <c r="F5" i="8"/>
  <c r="F4" i="8"/>
  <c r="F3" i="8"/>
  <c r="F2" i="8"/>
  <c r="E9" i="8"/>
  <c r="E8" i="8"/>
  <c r="E7" i="8"/>
  <c r="E6" i="8"/>
  <c r="E5" i="8"/>
  <c r="E4" i="8"/>
  <c r="E3" i="8"/>
  <c r="E2" i="8"/>
  <c r="F10" i="8"/>
  <c r="E10" i="8"/>
  <c r="J3" i="4"/>
  <c r="J4" i="4"/>
  <c r="J5" i="4"/>
  <c r="J6" i="4"/>
  <c r="J7" i="4"/>
  <c r="J8" i="4"/>
  <c r="J9" i="4"/>
  <c r="J10" i="4"/>
  <c r="J11" i="4"/>
  <c r="J12" i="4"/>
  <c r="J13" i="4"/>
  <c r="J14" i="4"/>
  <c r="J15" i="4"/>
  <c r="J16" i="4"/>
  <c r="J17" i="4"/>
  <c r="J18" i="4"/>
  <c r="J19" i="4"/>
  <c r="J20" i="4"/>
  <c r="J21" i="4"/>
  <c r="J22" i="4"/>
  <c r="J23" i="4"/>
  <c r="J24" i="4"/>
  <c r="J25" i="4"/>
  <c r="J26" i="4"/>
  <c r="J27" i="4"/>
  <c r="J28" i="4"/>
  <c r="J29" i="4"/>
  <c r="J30" i="4"/>
  <c r="J31" i="4"/>
  <c r="J32" i="4"/>
  <c r="J33" i="4"/>
  <c r="J34" i="4"/>
  <c r="J35" i="4"/>
  <c r="J36" i="4"/>
  <c r="J37" i="4"/>
  <c r="J38" i="4"/>
  <c r="J39" i="4"/>
  <c r="J40" i="4"/>
  <c r="J41" i="4"/>
  <c r="J42" i="4"/>
  <c r="J43" i="4"/>
  <c r="J44" i="4"/>
  <c r="J45" i="4"/>
  <c r="J46" i="4"/>
  <c r="J47" i="4"/>
  <c r="J48" i="4"/>
  <c r="J49" i="4"/>
  <c r="J50" i="4"/>
  <c r="J51" i="4"/>
  <c r="J52" i="4"/>
  <c r="J53" i="4"/>
  <c r="J54" i="4"/>
  <c r="J55" i="4"/>
  <c r="J56" i="4"/>
  <c r="J57" i="4"/>
  <c r="J58" i="4"/>
  <c r="J59" i="4"/>
  <c r="J60" i="4"/>
  <c r="J61" i="4"/>
  <c r="J62" i="4"/>
  <c r="J63" i="4"/>
  <c r="J64" i="4"/>
  <c r="J65" i="4"/>
  <c r="J66" i="4"/>
  <c r="J67" i="4"/>
  <c r="J68" i="4"/>
  <c r="J69" i="4"/>
  <c r="J70" i="4"/>
  <c r="J71" i="4"/>
  <c r="J72" i="4"/>
  <c r="J73" i="4"/>
  <c r="J74" i="4"/>
  <c r="J75" i="4"/>
  <c r="J76" i="4"/>
  <c r="J77" i="4"/>
  <c r="J78" i="4"/>
  <c r="J79" i="4"/>
  <c r="J80" i="4"/>
  <c r="J81" i="4"/>
  <c r="J82" i="4"/>
  <c r="J83" i="4"/>
  <c r="J84" i="4"/>
  <c r="J85" i="4"/>
  <c r="J86" i="4"/>
  <c r="J87" i="4"/>
  <c r="J88" i="4"/>
  <c r="J89" i="4"/>
  <c r="J90" i="4"/>
  <c r="J91" i="4"/>
  <c r="J92" i="4"/>
  <c r="J93" i="4"/>
  <c r="J94" i="4"/>
  <c r="J95" i="4"/>
  <c r="J96" i="4"/>
  <c r="J97" i="4"/>
  <c r="J98" i="4"/>
  <c r="J99" i="4"/>
  <c r="J100" i="4"/>
  <c r="J101" i="4"/>
  <c r="J102" i="4"/>
  <c r="J103" i="4"/>
  <c r="J104" i="4"/>
  <c r="J105" i="4"/>
  <c r="J106" i="4"/>
  <c r="J107" i="4"/>
  <c r="J108" i="4"/>
  <c r="J109" i="4"/>
  <c r="J110" i="4"/>
  <c r="J111" i="4"/>
  <c r="J112" i="4"/>
  <c r="J113" i="4"/>
  <c r="J114" i="4"/>
  <c r="J115" i="4"/>
  <c r="J116" i="4"/>
  <c r="J117" i="4"/>
  <c r="J118" i="4"/>
  <c r="J119" i="4"/>
  <c r="J120" i="4"/>
  <c r="J121" i="4"/>
  <c r="J122" i="4"/>
  <c r="J123" i="4"/>
  <c r="J124" i="4"/>
  <c r="J125" i="4"/>
  <c r="J126" i="4"/>
  <c r="J127" i="4"/>
  <c r="J128" i="4"/>
  <c r="J129" i="4"/>
  <c r="J130" i="4"/>
  <c r="J131" i="4"/>
  <c r="J132" i="4"/>
  <c r="J133" i="4"/>
  <c r="J134" i="4"/>
  <c r="J135" i="4"/>
  <c r="J136" i="4"/>
  <c r="J137" i="4"/>
  <c r="J138" i="4"/>
  <c r="J139" i="4"/>
  <c r="J140" i="4"/>
  <c r="J141" i="4"/>
  <c r="J142" i="4"/>
  <c r="J143" i="4"/>
  <c r="J144" i="4"/>
  <c r="J145" i="4"/>
  <c r="J146" i="4"/>
  <c r="J147" i="4"/>
  <c r="J148" i="4"/>
  <c r="J149" i="4"/>
  <c r="J150" i="4"/>
  <c r="J151" i="4"/>
  <c r="J152" i="4"/>
  <c r="J153" i="4"/>
  <c r="J154" i="4"/>
  <c r="J155" i="4"/>
  <c r="J156" i="4"/>
  <c r="J157" i="4"/>
  <c r="J158" i="4"/>
  <c r="J159" i="4"/>
  <c r="J160" i="4"/>
  <c r="J161" i="4"/>
  <c r="J162" i="4"/>
  <c r="J163" i="4"/>
  <c r="J164" i="4"/>
  <c r="J165" i="4"/>
  <c r="J166" i="4"/>
  <c r="J167" i="4"/>
  <c r="J168" i="4"/>
  <c r="J169" i="4"/>
  <c r="J170" i="4"/>
  <c r="J171" i="4"/>
  <c r="J172" i="4"/>
  <c r="J173" i="4"/>
  <c r="J174" i="4"/>
  <c r="J175" i="4"/>
  <c r="J176" i="4"/>
  <c r="J177" i="4"/>
  <c r="J178" i="4"/>
  <c r="J179" i="4"/>
  <c r="J180" i="4"/>
  <c r="J181" i="4"/>
  <c r="J182" i="4"/>
  <c r="J183" i="4"/>
  <c r="J184" i="4"/>
  <c r="J185" i="4"/>
  <c r="J186" i="4"/>
  <c r="J187" i="4"/>
  <c r="J188" i="4"/>
  <c r="J189" i="4"/>
  <c r="J190" i="4"/>
  <c r="J191" i="4"/>
  <c r="J192" i="4"/>
  <c r="J193" i="4"/>
  <c r="J194" i="4"/>
  <c r="J195" i="4"/>
  <c r="J196" i="4"/>
  <c r="J197" i="4"/>
  <c r="J198" i="4"/>
  <c r="J199" i="4"/>
  <c r="J200" i="4"/>
  <c r="J201" i="4"/>
  <c r="J202" i="4"/>
  <c r="J203" i="4"/>
  <c r="J204" i="4"/>
  <c r="J205" i="4"/>
  <c r="J206" i="4"/>
  <c r="J207" i="4"/>
  <c r="J208" i="4"/>
  <c r="J209" i="4"/>
  <c r="J210" i="4"/>
  <c r="J211" i="4"/>
  <c r="J212" i="4"/>
  <c r="J213" i="4"/>
  <c r="J214" i="4"/>
  <c r="J215" i="4"/>
  <c r="J216" i="4"/>
  <c r="J217" i="4"/>
  <c r="J218" i="4"/>
  <c r="J219" i="4"/>
  <c r="J220" i="4"/>
  <c r="J221" i="4"/>
  <c r="J222" i="4"/>
  <c r="J223" i="4"/>
  <c r="J224" i="4"/>
  <c r="J225" i="4"/>
  <c r="J226" i="4"/>
  <c r="J227" i="4"/>
  <c r="J228" i="4"/>
  <c r="J229" i="4"/>
  <c r="J230" i="4"/>
  <c r="J231" i="4"/>
  <c r="J232" i="4"/>
  <c r="J233" i="4"/>
  <c r="J234" i="4"/>
  <c r="J235" i="4"/>
  <c r="J236" i="4"/>
  <c r="J237" i="4"/>
  <c r="J238" i="4"/>
  <c r="J239" i="4"/>
  <c r="J240" i="4"/>
  <c r="J241" i="4"/>
  <c r="J242" i="4"/>
  <c r="J243" i="4"/>
  <c r="J244" i="4"/>
  <c r="J245" i="4"/>
  <c r="J246" i="4"/>
  <c r="J247" i="4"/>
  <c r="J248" i="4"/>
  <c r="J249" i="4"/>
  <c r="J250" i="4"/>
  <c r="J251" i="4"/>
  <c r="J252" i="4"/>
  <c r="J253" i="4"/>
  <c r="J254" i="4"/>
  <c r="J255" i="4"/>
  <c r="J256" i="4"/>
  <c r="J257" i="4"/>
  <c r="J258" i="4"/>
  <c r="J259" i="4"/>
  <c r="J260" i="4"/>
  <c r="J261" i="4"/>
  <c r="J262" i="4"/>
  <c r="J263" i="4"/>
  <c r="J264" i="4"/>
  <c r="J265" i="4"/>
  <c r="J266" i="4"/>
  <c r="J267" i="4"/>
  <c r="J268" i="4"/>
  <c r="J269" i="4"/>
  <c r="J270" i="4"/>
  <c r="J271" i="4"/>
  <c r="J272" i="4"/>
  <c r="J273" i="4"/>
  <c r="J274" i="4"/>
  <c r="J275" i="4"/>
  <c r="J276" i="4"/>
  <c r="J277" i="4"/>
  <c r="J278" i="4"/>
  <c r="J279" i="4"/>
  <c r="J280" i="4"/>
  <c r="J281" i="4"/>
  <c r="J282" i="4"/>
  <c r="J283" i="4"/>
  <c r="J284" i="4"/>
  <c r="J285" i="4"/>
  <c r="J286" i="4"/>
  <c r="J287" i="4"/>
  <c r="J288" i="4"/>
  <c r="J289" i="4"/>
  <c r="J290" i="4"/>
  <c r="J291" i="4"/>
  <c r="J292" i="4"/>
  <c r="J293" i="4"/>
  <c r="J294" i="4"/>
  <c r="J295" i="4"/>
  <c r="J296" i="4"/>
  <c r="J297" i="4"/>
  <c r="J298" i="4"/>
  <c r="J299" i="4"/>
  <c r="J300" i="4"/>
  <c r="J301" i="4"/>
  <c r="J302" i="4"/>
  <c r="J303" i="4"/>
  <c r="J304" i="4"/>
  <c r="J305" i="4"/>
  <c r="J306" i="4"/>
  <c r="J307" i="4"/>
  <c r="J308" i="4"/>
  <c r="J309" i="4"/>
  <c r="J310" i="4"/>
  <c r="J311" i="4"/>
  <c r="J312" i="4"/>
  <c r="J313" i="4"/>
  <c r="J314" i="4"/>
  <c r="J315" i="4"/>
  <c r="J316" i="4"/>
  <c r="I3" i="4"/>
  <c r="I4" i="4"/>
  <c r="I5" i="4"/>
  <c r="I6" i="4"/>
  <c r="I7" i="4"/>
  <c r="I8" i="4"/>
  <c r="I9" i="4"/>
  <c r="I10" i="4"/>
  <c r="I11" i="4"/>
  <c r="I12" i="4"/>
  <c r="I13" i="4"/>
  <c r="I14" i="4"/>
  <c r="I15" i="4"/>
  <c r="I16" i="4"/>
  <c r="I17" i="4"/>
  <c r="I18" i="4"/>
  <c r="I19" i="4"/>
  <c r="I20" i="4"/>
  <c r="I21" i="4"/>
  <c r="I22" i="4"/>
  <c r="I23" i="4"/>
  <c r="I24" i="4"/>
  <c r="I25" i="4"/>
  <c r="I26" i="4"/>
  <c r="I27" i="4"/>
  <c r="I28" i="4"/>
  <c r="I29" i="4"/>
  <c r="I30" i="4"/>
  <c r="I31" i="4"/>
  <c r="I32" i="4"/>
  <c r="I33" i="4"/>
  <c r="I34" i="4"/>
  <c r="I35" i="4"/>
  <c r="I36" i="4"/>
  <c r="I37" i="4"/>
  <c r="I38" i="4"/>
  <c r="I39" i="4"/>
  <c r="I40" i="4"/>
  <c r="I41" i="4"/>
  <c r="I42" i="4"/>
  <c r="I43" i="4"/>
  <c r="I44" i="4"/>
  <c r="I45" i="4"/>
  <c r="I46" i="4"/>
  <c r="I47" i="4"/>
  <c r="I48" i="4"/>
  <c r="I49" i="4"/>
  <c r="I50" i="4"/>
  <c r="I51" i="4"/>
  <c r="I52" i="4"/>
  <c r="I53" i="4"/>
  <c r="I54" i="4"/>
  <c r="I55" i="4"/>
  <c r="I56" i="4"/>
  <c r="I57" i="4"/>
  <c r="I58" i="4"/>
  <c r="I59" i="4"/>
  <c r="I60" i="4"/>
  <c r="I61" i="4"/>
  <c r="I62" i="4"/>
  <c r="I63" i="4"/>
  <c r="I64" i="4"/>
  <c r="I65" i="4"/>
  <c r="I66" i="4"/>
  <c r="I67" i="4"/>
  <c r="I68" i="4"/>
  <c r="I69" i="4"/>
  <c r="I70" i="4"/>
  <c r="I71" i="4"/>
  <c r="I72" i="4"/>
  <c r="I73" i="4"/>
  <c r="I74" i="4"/>
  <c r="I75" i="4"/>
  <c r="I76" i="4"/>
  <c r="I77" i="4"/>
  <c r="I78" i="4"/>
  <c r="I79" i="4"/>
  <c r="I80" i="4"/>
  <c r="I81" i="4"/>
  <c r="I82" i="4"/>
  <c r="I83" i="4"/>
  <c r="I84" i="4"/>
  <c r="I85" i="4"/>
  <c r="I86" i="4"/>
  <c r="I87" i="4"/>
  <c r="I88" i="4"/>
  <c r="I89" i="4"/>
  <c r="I90" i="4"/>
  <c r="I91" i="4"/>
  <c r="I92" i="4"/>
  <c r="I93" i="4"/>
  <c r="I94" i="4"/>
  <c r="I95" i="4"/>
  <c r="I96" i="4"/>
  <c r="I97" i="4"/>
  <c r="I98" i="4"/>
  <c r="I99" i="4"/>
  <c r="I100" i="4"/>
  <c r="I101" i="4"/>
  <c r="I102" i="4"/>
  <c r="I103" i="4"/>
  <c r="I104" i="4"/>
  <c r="I105" i="4"/>
  <c r="I106" i="4"/>
  <c r="I107" i="4"/>
  <c r="I108" i="4"/>
  <c r="I109" i="4"/>
  <c r="I110" i="4"/>
  <c r="I111" i="4"/>
  <c r="I112" i="4"/>
  <c r="I113" i="4"/>
  <c r="I114" i="4"/>
  <c r="I115" i="4"/>
  <c r="I116" i="4"/>
  <c r="I117" i="4"/>
  <c r="I118" i="4"/>
  <c r="I119" i="4"/>
  <c r="I120" i="4"/>
  <c r="I121" i="4"/>
  <c r="I122" i="4"/>
  <c r="I123" i="4"/>
  <c r="I124" i="4"/>
  <c r="I125" i="4"/>
  <c r="I126" i="4"/>
  <c r="I127" i="4"/>
  <c r="I128" i="4"/>
  <c r="I129" i="4"/>
  <c r="I130" i="4"/>
  <c r="I131" i="4"/>
  <c r="I132" i="4"/>
  <c r="I133" i="4"/>
  <c r="I134" i="4"/>
  <c r="I135" i="4"/>
  <c r="I136" i="4"/>
  <c r="I137" i="4"/>
  <c r="I138" i="4"/>
  <c r="I139" i="4"/>
  <c r="I140" i="4"/>
  <c r="I141" i="4"/>
  <c r="I142" i="4"/>
  <c r="I143" i="4"/>
  <c r="I144" i="4"/>
  <c r="I145" i="4"/>
  <c r="I146" i="4"/>
  <c r="I147" i="4"/>
  <c r="I148" i="4"/>
  <c r="I149" i="4"/>
  <c r="I150" i="4"/>
  <c r="I151" i="4"/>
  <c r="I152" i="4"/>
  <c r="I153" i="4"/>
  <c r="I154" i="4"/>
  <c r="I155" i="4"/>
  <c r="I156" i="4"/>
  <c r="I157" i="4"/>
  <c r="I158" i="4"/>
  <c r="I159" i="4"/>
  <c r="I160" i="4"/>
  <c r="I161" i="4"/>
  <c r="I162" i="4"/>
  <c r="I163" i="4"/>
  <c r="I164" i="4"/>
  <c r="I165" i="4"/>
  <c r="I166" i="4"/>
  <c r="I167" i="4"/>
  <c r="I168" i="4"/>
  <c r="I169" i="4"/>
  <c r="I170" i="4"/>
  <c r="I171" i="4"/>
  <c r="I172" i="4"/>
  <c r="I173" i="4"/>
  <c r="I174" i="4"/>
  <c r="I175" i="4"/>
  <c r="I176" i="4"/>
  <c r="I177" i="4"/>
  <c r="I178" i="4"/>
  <c r="I179" i="4"/>
  <c r="I180" i="4"/>
  <c r="I181" i="4"/>
  <c r="I182" i="4"/>
  <c r="I183" i="4"/>
  <c r="I184" i="4"/>
  <c r="I185" i="4"/>
  <c r="I186" i="4"/>
  <c r="I187" i="4"/>
  <c r="I188" i="4"/>
  <c r="I189" i="4"/>
  <c r="I190" i="4"/>
  <c r="I191" i="4"/>
  <c r="I192" i="4"/>
  <c r="I193" i="4"/>
  <c r="I194" i="4"/>
  <c r="I195" i="4"/>
  <c r="I196" i="4"/>
  <c r="I197" i="4"/>
  <c r="I198" i="4"/>
  <c r="I199" i="4"/>
  <c r="I200" i="4"/>
  <c r="I201" i="4"/>
  <c r="I202" i="4"/>
  <c r="I203" i="4"/>
  <c r="I204" i="4"/>
  <c r="I205" i="4"/>
  <c r="I206" i="4"/>
  <c r="I207" i="4"/>
  <c r="I208" i="4"/>
  <c r="I209" i="4"/>
  <c r="I210" i="4"/>
  <c r="I211" i="4"/>
  <c r="I212" i="4"/>
  <c r="I213" i="4"/>
  <c r="I214" i="4"/>
  <c r="I215" i="4"/>
  <c r="I216" i="4"/>
  <c r="I217" i="4"/>
  <c r="I218" i="4"/>
  <c r="I219" i="4"/>
  <c r="I220" i="4"/>
  <c r="I221" i="4"/>
  <c r="I222" i="4"/>
  <c r="I223" i="4"/>
  <c r="I224" i="4"/>
  <c r="I225" i="4"/>
  <c r="I226" i="4"/>
  <c r="I227" i="4"/>
  <c r="I228" i="4"/>
  <c r="I229" i="4"/>
  <c r="I230" i="4"/>
  <c r="I231" i="4"/>
  <c r="I232" i="4"/>
  <c r="I233" i="4"/>
  <c r="I234" i="4"/>
  <c r="I235" i="4"/>
  <c r="I236" i="4"/>
  <c r="I237" i="4"/>
  <c r="I238" i="4"/>
  <c r="I239" i="4"/>
  <c r="I240" i="4"/>
  <c r="I241" i="4"/>
  <c r="I242" i="4"/>
  <c r="I243" i="4"/>
  <c r="I244" i="4"/>
  <c r="I245" i="4"/>
  <c r="I246" i="4"/>
  <c r="I247" i="4"/>
  <c r="I248" i="4"/>
  <c r="I249" i="4"/>
  <c r="I250" i="4"/>
  <c r="I251" i="4"/>
  <c r="I252" i="4"/>
  <c r="I253" i="4"/>
  <c r="I254" i="4"/>
  <c r="I255" i="4"/>
  <c r="I256" i="4"/>
  <c r="I257" i="4"/>
  <c r="I258" i="4"/>
  <c r="I259" i="4"/>
  <c r="I260" i="4"/>
  <c r="I261" i="4"/>
  <c r="I262" i="4"/>
  <c r="I263" i="4"/>
  <c r="I264" i="4"/>
  <c r="I265" i="4"/>
  <c r="I266" i="4"/>
  <c r="I267" i="4"/>
  <c r="I268" i="4"/>
  <c r="I269" i="4"/>
  <c r="I270" i="4"/>
  <c r="I271" i="4"/>
  <c r="I272" i="4"/>
  <c r="I273" i="4"/>
  <c r="I274" i="4"/>
  <c r="I275" i="4"/>
  <c r="I276" i="4"/>
  <c r="I277" i="4"/>
  <c r="I278" i="4"/>
  <c r="I279" i="4"/>
  <c r="I280" i="4"/>
  <c r="I281" i="4"/>
  <c r="I282" i="4"/>
  <c r="I283" i="4"/>
  <c r="I284" i="4"/>
  <c r="I285" i="4"/>
  <c r="I286" i="4"/>
  <c r="I287" i="4"/>
  <c r="I288" i="4"/>
  <c r="I289" i="4"/>
  <c r="I290" i="4"/>
  <c r="I291" i="4"/>
  <c r="I292" i="4"/>
  <c r="I293" i="4"/>
  <c r="I294" i="4"/>
  <c r="I295" i="4"/>
  <c r="I296" i="4"/>
  <c r="I297" i="4"/>
  <c r="I298" i="4"/>
  <c r="I299" i="4"/>
  <c r="I300" i="4"/>
  <c r="I301" i="4"/>
  <c r="I302" i="4"/>
  <c r="I303" i="4"/>
  <c r="I304" i="4"/>
  <c r="I305" i="4"/>
  <c r="I306" i="4"/>
  <c r="I307" i="4"/>
  <c r="I308" i="4"/>
  <c r="I309" i="4"/>
  <c r="I310" i="4"/>
  <c r="I311" i="4"/>
  <c r="I312" i="4"/>
  <c r="I313" i="4"/>
  <c r="I314" i="4"/>
  <c r="I315" i="4"/>
  <c r="I316" i="4"/>
  <c r="J2" i="4"/>
  <c r="I2" i="4"/>
  <c r="H3" i="4"/>
  <c r="H4" i="4"/>
  <c r="H5" i="4"/>
  <c r="H6" i="4"/>
  <c r="H7" i="4"/>
  <c r="H8" i="4"/>
  <c r="H9" i="4"/>
  <c r="H10" i="4"/>
  <c r="H11" i="4"/>
  <c r="H12" i="4"/>
  <c r="H13" i="4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H194" i="4"/>
  <c r="H195" i="4"/>
  <c r="H196" i="4"/>
  <c r="H197" i="4"/>
  <c r="H198" i="4"/>
  <c r="H199" i="4"/>
  <c r="H200" i="4"/>
  <c r="H201" i="4"/>
  <c r="H202" i="4"/>
  <c r="H203" i="4"/>
  <c r="H204" i="4"/>
  <c r="H205" i="4"/>
  <c r="H206" i="4"/>
  <c r="H207" i="4"/>
  <c r="H208" i="4"/>
  <c r="H209" i="4"/>
  <c r="H210" i="4"/>
  <c r="H211" i="4"/>
  <c r="H212" i="4"/>
  <c r="H213" i="4"/>
  <c r="H214" i="4"/>
  <c r="H215" i="4"/>
  <c r="H216" i="4"/>
  <c r="H217" i="4"/>
  <c r="H218" i="4"/>
  <c r="H219" i="4"/>
  <c r="H220" i="4"/>
  <c r="H221" i="4"/>
  <c r="H222" i="4"/>
  <c r="H223" i="4"/>
  <c r="H224" i="4"/>
  <c r="H225" i="4"/>
  <c r="H226" i="4"/>
  <c r="H227" i="4"/>
  <c r="H228" i="4"/>
  <c r="H229" i="4"/>
  <c r="H230" i="4"/>
  <c r="H231" i="4"/>
  <c r="H232" i="4"/>
  <c r="H233" i="4"/>
  <c r="H234" i="4"/>
  <c r="H235" i="4"/>
  <c r="H236" i="4"/>
  <c r="H237" i="4"/>
  <c r="H238" i="4"/>
  <c r="H239" i="4"/>
  <c r="H240" i="4"/>
  <c r="H241" i="4"/>
  <c r="H242" i="4"/>
  <c r="H243" i="4"/>
  <c r="H244" i="4"/>
  <c r="H245" i="4"/>
  <c r="H246" i="4"/>
  <c r="H247" i="4"/>
  <c r="H248" i="4"/>
  <c r="H249" i="4"/>
  <c r="H250" i="4"/>
  <c r="H251" i="4"/>
  <c r="H252" i="4"/>
  <c r="H253" i="4"/>
  <c r="H254" i="4"/>
  <c r="H255" i="4"/>
  <c r="H256" i="4"/>
  <c r="H257" i="4"/>
  <c r="H258" i="4"/>
  <c r="H259" i="4"/>
  <c r="H260" i="4"/>
  <c r="H261" i="4"/>
  <c r="H262" i="4"/>
  <c r="H263" i="4"/>
  <c r="H264" i="4"/>
  <c r="H265" i="4"/>
  <c r="H266" i="4"/>
  <c r="H267" i="4"/>
  <c r="H268" i="4"/>
  <c r="H269" i="4"/>
  <c r="H270" i="4"/>
  <c r="H271" i="4"/>
  <c r="H272" i="4"/>
  <c r="H273" i="4"/>
  <c r="H274" i="4"/>
  <c r="H275" i="4"/>
  <c r="H276" i="4"/>
  <c r="H277" i="4"/>
  <c r="H278" i="4"/>
  <c r="H279" i="4"/>
  <c r="H280" i="4"/>
  <c r="H281" i="4"/>
  <c r="H282" i="4"/>
  <c r="H283" i="4"/>
  <c r="H284" i="4"/>
  <c r="H285" i="4"/>
  <c r="H286" i="4"/>
  <c r="H287" i="4"/>
  <c r="H288" i="4"/>
  <c r="H289" i="4"/>
  <c r="H290" i="4"/>
  <c r="H291" i="4"/>
  <c r="H292" i="4"/>
  <c r="H293" i="4"/>
  <c r="H294" i="4"/>
  <c r="H295" i="4"/>
  <c r="H296" i="4"/>
  <c r="H297" i="4"/>
  <c r="H298" i="4"/>
  <c r="H299" i="4"/>
  <c r="H300" i="4"/>
  <c r="H301" i="4"/>
  <c r="H302" i="4"/>
  <c r="H303" i="4"/>
  <c r="H304" i="4"/>
  <c r="H305" i="4"/>
  <c r="H306" i="4"/>
  <c r="H307" i="4"/>
  <c r="H308" i="4"/>
  <c r="H309" i="4"/>
  <c r="H310" i="4"/>
  <c r="H311" i="4"/>
  <c r="H312" i="4"/>
  <c r="H313" i="4"/>
  <c r="H314" i="4"/>
  <c r="H315" i="4"/>
  <c r="H316" i="4"/>
  <c r="H2" i="4"/>
  <c r="G316" i="4"/>
  <c r="G3" i="4"/>
  <c r="G4" i="4"/>
  <c r="G5" i="4"/>
  <c r="G6" i="4"/>
  <c r="G7" i="4"/>
  <c r="G8" i="4"/>
  <c r="G9" i="4"/>
  <c r="G10" i="4"/>
  <c r="G11" i="4"/>
  <c r="G12" i="4"/>
  <c r="G13" i="4"/>
  <c r="G14" i="4"/>
  <c r="G15" i="4"/>
  <c r="G16" i="4"/>
  <c r="G17" i="4"/>
  <c r="G18" i="4"/>
  <c r="G19" i="4"/>
  <c r="G20" i="4"/>
  <c r="G21" i="4"/>
  <c r="G22" i="4"/>
  <c r="G23" i="4"/>
  <c r="G24" i="4"/>
  <c r="G25" i="4"/>
  <c r="G26" i="4"/>
  <c r="G27" i="4"/>
  <c r="G28" i="4"/>
  <c r="G29" i="4"/>
  <c r="G30" i="4"/>
  <c r="G31" i="4"/>
  <c r="G32" i="4"/>
  <c r="G33" i="4"/>
  <c r="G34" i="4"/>
  <c r="G35" i="4"/>
  <c r="G36" i="4"/>
  <c r="G37" i="4"/>
  <c r="G38" i="4"/>
  <c r="G39" i="4"/>
  <c r="G40" i="4"/>
  <c r="G41" i="4"/>
  <c r="G42" i="4"/>
  <c r="G43" i="4"/>
  <c r="G44" i="4"/>
  <c r="G45" i="4"/>
  <c r="G46" i="4"/>
  <c r="G47" i="4"/>
  <c r="G48" i="4"/>
  <c r="G49" i="4"/>
  <c r="G50" i="4"/>
  <c r="G51" i="4"/>
  <c r="G52" i="4"/>
  <c r="G53" i="4"/>
  <c r="G54" i="4"/>
  <c r="G55" i="4"/>
  <c r="G56" i="4"/>
  <c r="G57" i="4"/>
  <c r="G58" i="4"/>
  <c r="G59" i="4"/>
  <c r="G60" i="4"/>
  <c r="G61" i="4"/>
  <c r="G62" i="4"/>
  <c r="G63" i="4"/>
  <c r="G64" i="4"/>
  <c r="G65" i="4"/>
  <c r="G66" i="4"/>
  <c r="G67" i="4"/>
  <c r="G68" i="4"/>
  <c r="G69" i="4"/>
  <c r="G70" i="4"/>
  <c r="G71" i="4"/>
  <c r="G72" i="4"/>
  <c r="G73" i="4"/>
  <c r="G74" i="4"/>
  <c r="G75" i="4"/>
  <c r="G76" i="4"/>
  <c r="G77" i="4"/>
  <c r="G78" i="4"/>
  <c r="G79" i="4"/>
  <c r="G80" i="4"/>
  <c r="G81" i="4"/>
  <c r="G82" i="4"/>
  <c r="G83" i="4"/>
  <c r="G84" i="4"/>
  <c r="G85" i="4"/>
  <c r="G86" i="4"/>
  <c r="G87" i="4"/>
  <c r="G88" i="4"/>
  <c r="G89" i="4"/>
  <c r="G90" i="4"/>
  <c r="G91" i="4"/>
  <c r="G92" i="4"/>
  <c r="G93" i="4"/>
  <c r="G94" i="4"/>
  <c r="G95" i="4"/>
  <c r="G96" i="4"/>
  <c r="G97" i="4"/>
  <c r="G98" i="4"/>
  <c r="G99" i="4"/>
  <c r="G100" i="4"/>
  <c r="G101" i="4"/>
  <c r="G102" i="4"/>
  <c r="G103" i="4"/>
  <c r="G104" i="4"/>
  <c r="G105" i="4"/>
  <c r="G106" i="4"/>
  <c r="G107" i="4"/>
  <c r="G108" i="4"/>
  <c r="G109" i="4"/>
  <c r="G110" i="4"/>
  <c r="G111" i="4"/>
  <c r="G112" i="4"/>
  <c r="G113" i="4"/>
  <c r="G114" i="4"/>
  <c r="G115" i="4"/>
  <c r="G116" i="4"/>
  <c r="G117" i="4"/>
  <c r="G118" i="4"/>
  <c r="G119" i="4"/>
  <c r="G120" i="4"/>
  <c r="G121" i="4"/>
  <c r="G122" i="4"/>
  <c r="G123" i="4"/>
  <c r="G124" i="4"/>
  <c r="G125" i="4"/>
  <c r="G126" i="4"/>
  <c r="G127" i="4"/>
  <c r="G128" i="4"/>
  <c r="G129" i="4"/>
  <c r="G130" i="4"/>
  <c r="G131" i="4"/>
  <c r="G132" i="4"/>
  <c r="G133" i="4"/>
  <c r="G134" i="4"/>
  <c r="G135" i="4"/>
  <c r="G136" i="4"/>
  <c r="G137" i="4"/>
  <c r="G138" i="4"/>
  <c r="G139" i="4"/>
  <c r="G140" i="4"/>
  <c r="G141" i="4"/>
  <c r="G142" i="4"/>
  <c r="G143" i="4"/>
  <c r="G144" i="4"/>
  <c r="G145" i="4"/>
  <c r="G146" i="4"/>
  <c r="G147" i="4"/>
  <c r="G148" i="4"/>
  <c r="G149" i="4"/>
  <c r="G150" i="4"/>
  <c r="G151" i="4"/>
  <c r="G152" i="4"/>
  <c r="G153" i="4"/>
  <c r="G154" i="4"/>
  <c r="G155" i="4"/>
  <c r="G156" i="4"/>
  <c r="G157" i="4"/>
  <c r="G158" i="4"/>
  <c r="G159" i="4"/>
  <c r="G160" i="4"/>
  <c r="G161" i="4"/>
  <c r="G162" i="4"/>
  <c r="G163" i="4"/>
  <c r="G164" i="4"/>
  <c r="G165" i="4"/>
  <c r="G166" i="4"/>
  <c r="G167" i="4"/>
  <c r="G168" i="4"/>
  <c r="G169" i="4"/>
  <c r="G170" i="4"/>
  <c r="G171" i="4"/>
  <c r="G172" i="4"/>
  <c r="G173" i="4"/>
  <c r="G174" i="4"/>
  <c r="G175" i="4"/>
  <c r="G176" i="4"/>
  <c r="G177" i="4"/>
  <c r="G178" i="4"/>
  <c r="G179" i="4"/>
  <c r="G180" i="4"/>
  <c r="G181" i="4"/>
  <c r="G182" i="4"/>
  <c r="G183" i="4"/>
  <c r="G184" i="4"/>
  <c r="G185" i="4"/>
  <c r="G186" i="4"/>
  <c r="G187" i="4"/>
  <c r="G188" i="4"/>
  <c r="G189" i="4"/>
  <c r="G190" i="4"/>
  <c r="G191" i="4"/>
  <c r="G192" i="4"/>
  <c r="G193" i="4"/>
  <c r="G194" i="4"/>
  <c r="G195" i="4"/>
  <c r="G196" i="4"/>
  <c r="G197" i="4"/>
  <c r="G198" i="4"/>
  <c r="G199" i="4"/>
  <c r="G200" i="4"/>
  <c r="G201" i="4"/>
  <c r="G202" i="4"/>
  <c r="G203" i="4"/>
  <c r="G204" i="4"/>
  <c r="G205" i="4"/>
  <c r="G206" i="4"/>
  <c r="G207" i="4"/>
  <c r="G208" i="4"/>
  <c r="G209" i="4"/>
  <c r="G210" i="4"/>
  <c r="G211" i="4"/>
  <c r="G212" i="4"/>
  <c r="G213" i="4"/>
  <c r="G214" i="4"/>
  <c r="G215" i="4"/>
  <c r="G216" i="4"/>
  <c r="G217" i="4"/>
  <c r="G218" i="4"/>
  <c r="G219" i="4"/>
  <c r="G220" i="4"/>
  <c r="G221" i="4"/>
  <c r="G222" i="4"/>
  <c r="G223" i="4"/>
  <c r="G224" i="4"/>
  <c r="G225" i="4"/>
  <c r="G226" i="4"/>
  <c r="G227" i="4"/>
  <c r="G228" i="4"/>
  <c r="G229" i="4"/>
  <c r="G230" i="4"/>
  <c r="G231" i="4"/>
  <c r="G232" i="4"/>
  <c r="G233" i="4"/>
  <c r="G234" i="4"/>
  <c r="G235" i="4"/>
  <c r="G236" i="4"/>
  <c r="G237" i="4"/>
  <c r="G238" i="4"/>
  <c r="G239" i="4"/>
  <c r="G240" i="4"/>
  <c r="G241" i="4"/>
  <c r="G242" i="4"/>
  <c r="G243" i="4"/>
  <c r="G244" i="4"/>
  <c r="G245" i="4"/>
  <c r="G246" i="4"/>
  <c r="G247" i="4"/>
  <c r="G248" i="4"/>
  <c r="G249" i="4"/>
  <c r="G250" i="4"/>
  <c r="G251" i="4"/>
  <c r="G252" i="4"/>
  <c r="G253" i="4"/>
  <c r="G254" i="4"/>
  <c r="G255" i="4"/>
  <c r="G256" i="4"/>
  <c r="G257" i="4"/>
  <c r="G258" i="4"/>
  <c r="G259" i="4"/>
  <c r="G260" i="4"/>
  <c r="G261" i="4"/>
  <c r="G262" i="4"/>
  <c r="G263" i="4"/>
  <c r="G264" i="4"/>
  <c r="G265" i="4"/>
  <c r="G266" i="4"/>
  <c r="G267" i="4"/>
  <c r="G268" i="4"/>
  <c r="G269" i="4"/>
  <c r="G270" i="4"/>
  <c r="G271" i="4"/>
  <c r="G272" i="4"/>
  <c r="G273" i="4"/>
  <c r="G274" i="4"/>
  <c r="G275" i="4"/>
  <c r="G276" i="4"/>
  <c r="G277" i="4"/>
  <c r="G278" i="4"/>
  <c r="G279" i="4"/>
  <c r="G280" i="4"/>
  <c r="G281" i="4"/>
  <c r="G282" i="4"/>
  <c r="G283" i="4"/>
  <c r="G284" i="4"/>
  <c r="G285" i="4"/>
  <c r="G286" i="4"/>
  <c r="G287" i="4"/>
  <c r="G288" i="4"/>
  <c r="G289" i="4"/>
  <c r="G290" i="4"/>
  <c r="G291" i="4"/>
  <c r="G292" i="4"/>
  <c r="G293" i="4"/>
  <c r="G294" i="4"/>
  <c r="G295" i="4"/>
  <c r="G296" i="4"/>
  <c r="G297" i="4"/>
  <c r="G298" i="4"/>
  <c r="G299" i="4"/>
  <c r="G300" i="4"/>
  <c r="G301" i="4"/>
  <c r="G302" i="4"/>
  <c r="G303" i="4"/>
  <c r="G304" i="4"/>
  <c r="G305" i="4"/>
  <c r="G306" i="4"/>
  <c r="G307" i="4"/>
  <c r="G308" i="4"/>
  <c r="G309" i="4"/>
  <c r="G310" i="4"/>
  <c r="G311" i="4"/>
  <c r="G312" i="4"/>
  <c r="G313" i="4"/>
  <c r="G314" i="4"/>
  <c r="G315" i="4"/>
  <c r="G2" i="4"/>
  <c r="P317" i="2" a="1"/>
  <c r="P317" i="2" s="1"/>
  <c r="O317" i="2" a="1"/>
  <c r="O317" i="2" s="1"/>
  <c r="N317" i="2" a="1"/>
  <c r="N317" i="2" s="1"/>
  <c r="P2" i="2" a="1"/>
  <c r="P2" i="2" s="1"/>
  <c r="O2" i="2" a="1"/>
  <c r="O2" i="2" s="1"/>
  <c r="N2" i="2" a="1"/>
  <c r="N2" i="2" s="1"/>
  <c r="L2" i="2" a="1"/>
  <c r="L2" i="2" s="1"/>
  <c r="K2" i="2" a="1"/>
  <c r="K2" i="2" s="1"/>
  <c r="G75" i="3"/>
  <c r="G76" i="3"/>
  <c r="G77" i="3"/>
  <c r="G78" i="3"/>
  <c r="G79" i="3"/>
  <c r="G80" i="3"/>
  <c r="G81" i="3"/>
  <c r="G82" i="3"/>
  <c r="G83" i="3"/>
  <c r="G84" i="3"/>
  <c r="G85" i="3"/>
  <c r="G86" i="3"/>
  <c r="G87" i="3"/>
  <c r="G88" i="3"/>
  <c r="G89" i="3"/>
  <c r="G90" i="3"/>
  <c r="G91" i="3"/>
  <c r="G92" i="3"/>
  <c r="G93" i="3"/>
  <c r="G94" i="3"/>
  <c r="G95" i="3"/>
  <c r="G96" i="3"/>
  <c r="G97" i="3"/>
  <c r="G98" i="3"/>
  <c r="G99" i="3"/>
  <c r="G100" i="3"/>
  <c r="G101" i="3"/>
  <c r="G102" i="3"/>
  <c r="G103" i="3"/>
  <c r="G104" i="3"/>
  <c r="G105" i="3"/>
  <c r="G106" i="3"/>
  <c r="G107" i="3"/>
  <c r="G108" i="3"/>
  <c r="G109" i="3"/>
  <c r="G110" i="3"/>
  <c r="G111" i="3"/>
  <c r="G112" i="3"/>
  <c r="G113" i="3"/>
  <c r="G114" i="3"/>
  <c r="G115" i="3"/>
  <c r="G116" i="3"/>
  <c r="G117" i="3"/>
  <c r="G118" i="3"/>
  <c r="G119" i="3"/>
  <c r="G120" i="3"/>
  <c r="G121" i="3"/>
  <c r="G122" i="3"/>
  <c r="G123" i="3"/>
  <c r="G124" i="3"/>
  <c r="G125" i="3"/>
  <c r="G126" i="3"/>
  <c r="G127" i="3"/>
  <c r="G74" i="3"/>
  <c r="G73" i="3"/>
  <c r="G72" i="3"/>
  <c r="G71" i="3"/>
  <c r="G70" i="3"/>
  <c r="G69" i="3"/>
  <c r="G68" i="3"/>
  <c r="G67" i="3"/>
  <c r="G66" i="3"/>
  <c r="G65" i="3"/>
  <c r="G64" i="3"/>
  <c r="G63" i="3"/>
  <c r="G62" i="3"/>
  <c r="G61" i="3"/>
  <c r="G60" i="3"/>
  <c r="G59" i="3"/>
  <c r="G58" i="3"/>
  <c r="G57" i="3"/>
  <c r="G56" i="3"/>
  <c r="G55" i="3"/>
  <c r="G54" i="3"/>
  <c r="G53" i="3"/>
  <c r="G52" i="3"/>
  <c r="G51" i="3"/>
  <c r="G50" i="3"/>
  <c r="G49" i="3"/>
  <c r="G48" i="3"/>
  <c r="G47" i="3"/>
  <c r="G46" i="3"/>
  <c r="G45" i="3"/>
  <c r="G44" i="3"/>
  <c r="G43" i="3"/>
  <c r="G42" i="3"/>
  <c r="G41" i="3"/>
  <c r="G40" i="3"/>
  <c r="G39" i="3"/>
  <c r="G38" i="3"/>
  <c r="G37" i="3"/>
  <c r="G36" i="3"/>
  <c r="G35" i="3"/>
  <c r="G34" i="3"/>
  <c r="G33" i="3"/>
  <c r="G32" i="3"/>
  <c r="G31" i="3"/>
  <c r="G30" i="3"/>
  <c r="G29" i="3"/>
  <c r="G28" i="3"/>
  <c r="G27" i="3"/>
  <c r="G26" i="3"/>
  <c r="G25" i="3"/>
  <c r="G24" i="3"/>
  <c r="G23" i="3"/>
  <c r="G22" i="3"/>
  <c r="G21" i="3"/>
  <c r="G20" i="3"/>
  <c r="G19" i="3"/>
  <c r="G18" i="3"/>
  <c r="G17" i="3"/>
  <c r="G16" i="3"/>
  <c r="G15" i="3"/>
  <c r="G14" i="3"/>
  <c r="G13" i="3"/>
  <c r="G12" i="3"/>
  <c r="G11" i="3"/>
  <c r="G10" i="3"/>
  <c r="G9" i="3"/>
  <c r="G8" i="3"/>
  <c r="G7" i="3"/>
  <c r="G6" i="3"/>
  <c r="G5" i="3"/>
  <c r="G4" i="3"/>
  <c r="H58" i="22"/>
  <c r="H89" i="22"/>
  <c r="H52" i="22"/>
  <c r="H20" i="22"/>
  <c r="H126" i="22"/>
  <c r="H105" i="22"/>
  <c r="H111" i="22"/>
  <c r="H30" i="22"/>
  <c r="H65" i="22"/>
  <c r="H77" i="22"/>
  <c r="H33" i="22"/>
  <c r="H86" i="22"/>
  <c r="H29" i="22"/>
  <c r="H13" i="22"/>
  <c r="H26" i="22"/>
  <c r="H5" i="22"/>
  <c r="H88" i="22"/>
  <c r="H50" i="22"/>
  <c r="H78" i="22"/>
  <c r="H68" i="22"/>
  <c r="H12" i="22"/>
  <c r="H24" i="22"/>
  <c r="H38" i="22"/>
  <c r="H90" i="22"/>
  <c r="H113" i="22"/>
  <c r="H108" i="22"/>
  <c r="H19" i="22"/>
  <c r="H80" i="22"/>
  <c r="H93" i="22"/>
  <c r="H59" i="22"/>
  <c r="H120" i="22"/>
  <c r="H85" i="22"/>
  <c r="H40" i="22"/>
  <c r="H18" i="22"/>
  <c r="H7" i="22"/>
  <c r="H10" i="22"/>
  <c r="H69" i="22"/>
  <c r="H95" i="22"/>
  <c r="H71" i="22"/>
  <c r="H109" i="22"/>
  <c r="H48" i="22"/>
  <c r="H119" i="22"/>
  <c r="H53" i="22"/>
  <c r="H57" i="22"/>
  <c r="H102" i="22"/>
  <c r="H72" i="22"/>
  <c r="H121" i="22"/>
  <c r="H83" i="22"/>
  <c r="H104" i="22"/>
  <c r="H124" i="22"/>
  <c r="H55" i="22"/>
  <c r="H64" i="22"/>
  <c r="H51" i="22"/>
  <c r="H61" i="22"/>
  <c r="H44" i="22"/>
  <c r="H42" i="22"/>
  <c r="H84" i="22"/>
  <c r="H98" i="22"/>
  <c r="H82" i="22"/>
  <c r="H47" i="22"/>
  <c r="H91" i="22"/>
  <c r="H14" i="22"/>
  <c r="H122" i="22"/>
  <c r="H79" i="22"/>
  <c r="H118" i="22"/>
  <c r="H96" i="22"/>
  <c r="H99" i="22"/>
  <c r="H97" i="22"/>
  <c r="H31" i="22"/>
  <c r="H27" i="22"/>
  <c r="H35" i="22"/>
  <c r="H21" i="22"/>
  <c r="H87" i="22"/>
  <c r="H9" i="22"/>
  <c r="H49" i="22"/>
  <c r="H15" i="22"/>
  <c r="H54" i="22"/>
  <c r="H67" i="22"/>
  <c r="H46" i="22"/>
  <c r="H63" i="22"/>
  <c r="H6" i="22"/>
  <c r="H32" i="22"/>
  <c r="H107" i="22"/>
  <c r="H123" i="22"/>
  <c r="H70" i="22"/>
  <c r="H117" i="22"/>
  <c r="H125" i="22"/>
  <c r="H127" i="22"/>
  <c r="H39" i="22"/>
  <c r="H28" i="22"/>
  <c r="H114" i="22"/>
  <c r="H73" i="22"/>
  <c r="H110" i="22"/>
  <c r="H23" i="22"/>
  <c r="H25" i="22"/>
  <c r="H37" i="22"/>
  <c r="H11" i="22"/>
  <c r="H34" i="22"/>
  <c r="H45" i="22"/>
  <c r="H4" i="22"/>
  <c r="H94" i="22"/>
  <c r="H62" i="22"/>
  <c r="H101" i="22"/>
  <c r="H36" i="22"/>
  <c r="H81" i="22"/>
  <c r="H74" i="22"/>
  <c r="H75" i="22"/>
  <c r="H106" i="22"/>
  <c r="H16" i="22"/>
  <c r="H112" i="22"/>
  <c r="H56" i="22"/>
  <c r="H22" i="22"/>
  <c r="H115" i="22"/>
  <c r="H66" i="22"/>
  <c r="H100" i="22"/>
  <c r="H60" i="22"/>
  <c r="H92" i="22"/>
  <c r="H103" i="22"/>
  <c r="H43" i="22"/>
  <c r="H76" i="22"/>
  <c r="H17" i="22"/>
  <c r="H8" i="22"/>
  <c r="H41" i="22"/>
  <c r="H116" i="22"/>
  <c r="F10" i="21" l="1"/>
  <c r="E10" i="17"/>
  <c r="F10" i="12"/>
  <c r="F10" i="7"/>
  <c r="E10" i="7"/>
  <c r="F10" i="6"/>
  <c r="E10" i="6"/>
  <c r="E10" i="9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<sst xmlns="http://schemas.openxmlformats.org/spreadsheetml/2006/main" count="7160" uniqueCount="626">
  <si>
    <t>Datetime</t>
  </si>
  <si>
    <t>Match</t>
  </si>
  <si>
    <t>Red Team 1</t>
  </si>
  <si>
    <t>Red Team 2</t>
  </si>
  <si>
    <t>Blue Team 1</t>
  </si>
  <si>
    <t>Blue Team 2</t>
  </si>
  <si>
    <t>Red Score</t>
  </si>
  <si>
    <t>Blue Score</t>
  </si>
  <si>
    <t>Winner</t>
  </si>
  <si>
    <t>13-Jan-2024 18:44 EST</t>
  </si>
  <si>
    <t>Qualifier #1</t>
  </si>
  <si>
    <t>938G</t>
  </si>
  <si>
    <t>10Z</t>
  </si>
  <si>
    <t>10B</t>
  </si>
  <si>
    <t>5233J</t>
  </si>
  <si>
    <t>Blue</t>
  </si>
  <si>
    <t>13-Jan-2024 18:48 EST</t>
  </si>
  <si>
    <t>Qualifier #2</t>
  </si>
  <si>
    <t>10009A</t>
  </si>
  <si>
    <t>98225F</t>
  </si>
  <si>
    <t>12516A</t>
  </si>
  <si>
    <t>84141B</t>
  </si>
  <si>
    <t>Red</t>
  </si>
  <si>
    <t>13-Jan-2024 18:53 EST</t>
  </si>
  <si>
    <t>Qualifier #3</t>
  </si>
  <si>
    <t>938P</t>
  </si>
  <si>
    <t>98225J</t>
  </si>
  <si>
    <t>1010W</t>
  </si>
  <si>
    <t>51581S</t>
  </si>
  <si>
    <t>13-Jan-2024 18:56 EST</t>
  </si>
  <si>
    <t>Qualifier #4</t>
  </si>
  <si>
    <t>2605B</t>
  </si>
  <si>
    <t>5327S</t>
  </si>
  <si>
    <t>886N</t>
  </si>
  <si>
    <t>8931R</t>
  </si>
  <si>
    <t>13-Jan-2024 19:04 EST</t>
  </si>
  <si>
    <t>Qualifier #5</t>
  </si>
  <si>
    <t>7899A</t>
  </si>
  <si>
    <t>938J</t>
  </si>
  <si>
    <t>47874R</t>
  </si>
  <si>
    <t>949Z</t>
  </si>
  <si>
    <t>13-Jan-2024 19:09 EST</t>
  </si>
  <si>
    <t>Qualifier #6</t>
  </si>
  <si>
    <t>11101B</t>
  </si>
  <si>
    <t>99621H</t>
  </si>
  <si>
    <t>7700P</t>
  </si>
  <si>
    <t>7700E</t>
  </si>
  <si>
    <t>13-Jan-2024 19:13 EST</t>
  </si>
  <si>
    <t>Qualifier #7</t>
  </si>
  <si>
    <t>99621B</t>
  </si>
  <si>
    <t>9364H</t>
  </si>
  <si>
    <t>920B</t>
  </si>
  <si>
    <t>90385R</t>
  </si>
  <si>
    <t>13-Jan-2024 19:17 EST</t>
  </si>
  <si>
    <t>Qualifier #8</t>
  </si>
  <si>
    <t>938M</t>
  </si>
  <si>
    <t>502X</t>
  </si>
  <si>
    <t>10W</t>
  </si>
  <si>
    <t>61002G</t>
  </si>
  <si>
    <t>13-Jan-2024 19:21 EST</t>
  </si>
  <si>
    <t>Qualifier #9</t>
  </si>
  <si>
    <t>47874A</t>
  </si>
  <si>
    <t>884A</t>
  </si>
  <si>
    <t>938T</t>
  </si>
  <si>
    <t>93199G</t>
  </si>
  <si>
    <t>13-Jan-2024 19:25 EST</t>
  </si>
  <si>
    <t>Qualifier #10</t>
  </si>
  <si>
    <t>10E</t>
  </si>
  <si>
    <t>938B</t>
  </si>
  <si>
    <t>3512D</t>
  </si>
  <si>
    <t>9364D</t>
  </si>
  <si>
    <t>13-Jan-2024 19:32 EST</t>
  </si>
  <si>
    <t>Qualifier #11</t>
  </si>
  <si>
    <t>1091A</t>
  </si>
  <si>
    <t>1469A</t>
  </si>
  <si>
    <t>44244S</t>
  </si>
  <si>
    <t>3484X</t>
  </si>
  <si>
    <t>13-Jan-2024 19:36 EST</t>
  </si>
  <si>
    <t>Qualifier #12</t>
  </si>
  <si>
    <t>6526E</t>
  </si>
  <si>
    <t>604X</t>
  </si>
  <si>
    <t>98548C</t>
  </si>
  <si>
    <t>10S</t>
  </si>
  <si>
    <t>13-Jan-2024 19:40 EST</t>
  </si>
  <si>
    <t>Qualifier #13</t>
  </si>
  <si>
    <t>299Y</t>
  </si>
  <si>
    <t>80001B</t>
  </si>
  <si>
    <t>609B</t>
  </si>
  <si>
    <t>3583A</t>
  </si>
  <si>
    <t>13-Jan-2024 19:44 EST</t>
  </si>
  <si>
    <t>Qualifier #14</t>
  </si>
  <si>
    <t>1248X</t>
  </si>
  <si>
    <t>10N</t>
  </si>
  <si>
    <t>10G</t>
  </si>
  <si>
    <t>10K</t>
  </si>
  <si>
    <t>13-Jan-2024 19:48 EST</t>
  </si>
  <si>
    <t>Qualifier #15</t>
  </si>
  <si>
    <t>39313Z</t>
  </si>
  <si>
    <t>16689D</t>
  </si>
  <si>
    <t>938E</t>
  </si>
  <si>
    <t>938W</t>
  </si>
  <si>
    <t>13-Jan-2024 19:51 EST</t>
  </si>
  <si>
    <t>Qualifier #16</t>
  </si>
  <si>
    <t>16689X</t>
  </si>
  <si>
    <t>8675R</t>
  </si>
  <si>
    <t>13-Jan-2024 19:57 EST</t>
  </si>
  <si>
    <t>Qualifier #17</t>
  </si>
  <si>
    <t>13-Jan-2024 20:00 EST</t>
  </si>
  <si>
    <t>Qualifier #18</t>
  </si>
  <si>
    <t>13-Jan-2024 20:03 EST</t>
  </si>
  <si>
    <t>Qualifier #19</t>
  </si>
  <si>
    <t>13-Jan-2024 20:07 EST</t>
  </si>
  <si>
    <t>Qualifier #20</t>
  </si>
  <si>
    <t>14-Jan-2024 11:16 EST</t>
  </si>
  <si>
    <t>Qualifier #21</t>
  </si>
  <si>
    <t>14-Jan-2024 11:19 EST</t>
  </si>
  <si>
    <t>Qualifier #22</t>
  </si>
  <si>
    <t>14-Jan-2024 11:23 EST</t>
  </si>
  <si>
    <t>Qualifier #23</t>
  </si>
  <si>
    <t>14-Jan-2024 11:27 EST</t>
  </si>
  <si>
    <t>Qualifier #24</t>
  </si>
  <si>
    <t>14-Jan-2024 11:35 EST</t>
  </si>
  <si>
    <t>Qualifier #25</t>
  </si>
  <si>
    <t>14-Jan-2024 11:53 EST</t>
  </si>
  <si>
    <t>Qualifier #26</t>
  </si>
  <si>
    <t>14-Jan-2024 11:45 EST</t>
  </si>
  <si>
    <t>Qualifier #27</t>
  </si>
  <si>
    <t>14-Jan-2024 11:56 EST</t>
  </si>
  <si>
    <t>Qualifier #28</t>
  </si>
  <si>
    <t>14-Jan-2024 12:06 EST</t>
  </si>
  <si>
    <t>Qualifier #29</t>
  </si>
  <si>
    <t>Qualifier #30</t>
  </si>
  <si>
    <t>14-Jan-2024 12:09 EST</t>
  </si>
  <si>
    <t>Qualifier #31</t>
  </si>
  <si>
    <t>14-Jan-2024 12:16 EST</t>
  </si>
  <si>
    <t>Qualifier #32</t>
  </si>
  <si>
    <t>14-Jan-2024 12:17 EST</t>
  </si>
  <si>
    <t>Qualifier #33</t>
  </si>
  <si>
    <t>14-Jan-2024 12:20 EST</t>
  </si>
  <si>
    <t>Qualifier #34</t>
  </si>
  <si>
    <t>14-Jan-2024 12:23 EST</t>
  </si>
  <si>
    <t>Qualifier #35</t>
  </si>
  <si>
    <t>14-Jan-2024 12:28 EST</t>
  </si>
  <si>
    <t>Qualifier #36</t>
  </si>
  <si>
    <t>14-Jan-2024 12:32 EST</t>
  </si>
  <si>
    <t>Qualifier #37</t>
  </si>
  <si>
    <t>14-Jan-2024 12:35 EST</t>
  </si>
  <si>
    <t>Qualifier #38</t>
  </si>
  <si>
    <t>14-Jan-2024 12:40 EST</t>
  </si>
  <si>
    <t>Qualifier #39</t>
  </si>
  <si>
    <t>14-Jan-2024 12:49 EST</t>
  </si>
  <si>
    <t>Qualifier #40</t>
  </si>
  <si>
    <t>14-Jan-2024 12:50 EST</t>
  </si>
  <si>
    <t>Qualifier #41</t>
  </si>
  <si>
    <t>14-Jan-2024 12:55 EST</t>
  </si>
  <si>
    <t>Qualifier #42</t>
  </si>
  <si>
    <t>14-Jan-2024 13:00 EST</t>
  </si>
  <si>
    <t>Qualifier #43</t>
  </si>
  <si>
    <t>14-Jan-2024 13:03 EST</t>
  </si>
  <si>
    <t>Qualifier #44</t>
  </si>
  <si>
    <t>14-Jan-2024 13:06 EST</t>
  </si>
  <si>
    <t>Qualifier #45</t>
  </si>
  <si>
    <t>14-Jan-2024 13:15 EST</t>
  </si>
  <si>
    <t>Qualifier #46</t>
  </si>
  <si>
    <t>14-Jan-2024 13:19 EST</t>
  </si>
  <si>
    <t>Qualifier #47</t>
  </si>
  <si>
    <t>14-Jan-2024 13:23 EST</t>
  </si>
  <si>
    <t>Qualifier #48</t>
  </si>
  <si>
    <t>14-Jan-2024 13:27 EST</t>
  </si>
  <si>
    <t>Qualifier #49</t>
  </si>
  <si>
    <t>14-Jan-2024 13:29 EST</t>
  </si>
  <si>
    <t>Qualifier #50</t>
  </si>
  <si>
    <t>14-Jan-2024 13:33 EST</t>
  </si>
  <si>
    <t>Qualifier #51</t>
  </si>
  <si>
    <t>14-Jan-2024 13:36 EST</t>
  </si>
  <si>
    <t>Qualifier #52</t>
  </si>
  <si>
    <t>14-Jan-2024 13:40 EST</t>
  </si>
  <si>
    <t>Qualifier #53</t>
  </si>
  <si>
    <t>14-Jan-2024 13:48 EST</t>
  </si>
  <si>
    <t>Qualifier #54</t>
  </si>
  <si>
    <t>14-Jan-2024 13:52 EST</t>
  </si>
  <si>
    <t>Qualifier #55</t>
  </si>
  <si>
    <t>14-Jan-2024 13:56 EST</t>
  </si>
  <si>
    <t>Qualifier #56</t>
  </si>
  <si>
    <t>14-Jan-2024 14:04 EST</t>
  </si>
  <si>
    <t>Qualifier #57</t>
  </si>
  <si>
    <t>14-Jan-2024 14:07 EST</t>
  </si>
  <si>
    <t>Qualifier #58</t>
  </si>
  <si>
    <t>14-Jan-2024 14:11 EST</t>
  </si>
  <si>
    <t>Qualifier #59</t>
  </si>
  <si>
    <t>14-Jan-2024 14:14 EST</t>
  </si>
  <si>
    <t>Qualifier #60</t>
  </si>
  <si>
    <t>14-Jan-2024 14:17 EST</t>
  </si>
  <si>
    <t>Qualifier #61</t>
  </si>
  <si>
    <t>14-Jan-2024 14:21 EST</t>
  </si>
  <si>
    <t>Qualifier #62</t>
  </si>
  <si>
    <t>14-Jan-2024 14:34 EST</t>
  </si>
  <si>
    <t>Qualifier #63</t>
  </si>
  <si>
    <t>14-Jan-2024 14:37 EST</t>
  </si>
  <si>
    <t>Qualifier #64</t>
  </si>
  <si>
    <t>14-Jan-2024 14:41 EST</t>
  </si>
  <si>
    <t>Qualifier #65</t>
  </si>
  <si>
    <t>14-Jan-2024 14:45 EST</t>
  </si>
  <si>
    <t>Qualifier #66</t>
  </si>
  <si>
    <t>14-Jan-2024 14:48 EST</t>
  </si>
  <si>
    <t>Qualifier #67</t>
  </si>
  <si>
    <t>14-Jan-2024 14:52 EST</t>
  </si>
  <si>
    <t>Qualifier #68</t>
  </si>
  <si>
    <t>14-Jan-2024 16:30 EST</t>
  </si>
  <si>
    <t>Qualifier #69</t>
  </si>
  <si>
    <t>14-Jan-2024 16:33 EST</t>
  </si>
  <si>
    <t>Qualifier #70</t>
  </si>
  <si>
    <t>14-Jan-2024 16:40 EST</t>
  </si>
  <si>
    <t>Qualifier #71</t>
  </si>
  <si>
    <t>14-Jan-2024 16:43 EST</t>
  </si>
  <si>
    <t>Qualifier #72</t>
  </si>
  <si>
    <t>14-Jan-2024 16:47 EST</t>
  </si>
  <si>
    <t>Qualifier #73</t>
  </si>
  <si>
    <t>14-Jan-2024 16:57 EST</t>
  </si>
  <si>
    <t>Qualifier #74</t>
  </si>
  <si>
    <t>14-Jan-2024 17:01 EST</t>
  </si>
  <si>
    <t>Qualifier #75</t>
  </si>
  <si>
    <t>14-Jan-2024 17:05 EST</t>
  </si>
  <si>
    <t>Qualifier #76</t>
  </si>
  <si>
    <t>14-Jan-2024 17:09 EST</t>
  </si>
  <si>
    <t>Qualifier #77</t>
  </si>
  <si>
    <t>14-Jan-2024 17:14 EST</t>
  </si>
  <si>
    <t>Qualifier #78</t>
  </si>
  <si>
    <t>14-Jan-2024 17:18 EST</t>
  </si>
  <si>
    <t>Qualifier #79</t>
  </si>
  <si>
    <t>14-Jan-2024 17:21 EST</t>
  </si>
  <si>
    <t>Qualifier #80</t>
  </si>
  <si>
    <t>14-Jan-2024 17:25 EST</t>
  </si>
  <si>
    <t>Qualifier #81</t>
  </si>
  <si>
    <t>14-Jan-2024 17:29 EST</t>
  </si>
  <si>
    <t>Qualifier #82</t>
  </si>
  <si>
    <t>14-Jan-2024 17:33 EST</t>
  </si>
  <si>
    <t>Qualifier #83</t>
  </si>
  <si>
    <t>14-Jan-2024 17:38 EST</t>
  </si>
  <si>
    <t>Qualifier #84</t>
  </si>
  <si>
    <t>14-Jan-2024 17:46 EST</t>
  </si>
  <si>
    <t>Qualifier #85</t>
  </si>
  <si>
    <t>14-Jan-2024 17:51 EST</t>
  </si>
  <si>
    <t>Qualifier #86</t>
  </si>
  <si>
    <t>14-Jan-2024 17:54 EST</t>
  </si>
  <si>
    <t>Qualifier #87</t>
  </si>
  <si>
    <t>14-Jan-2024 17:59 EST</t>
  </si>
  <si>
    <t>Qualifier #88</t>
  </si>
  <si>
    <t>14-Jan-2024 18:03 EST</t>
  </si>
  <si>
    <t>Qualifier #89</t>
  </si>
  <si>
    <t>14-Jan-2024 18:07 EST</t>
  </si>
  <si>
    <t>Qualifier #90</t>
  </si>
  <si>
    <t>14-Jan-2024 18:12 EST</t>
  </si>
  <si>
    <t>Qualifier #91</t>
  </si>
  <si>
    <t>14-Jan-2024 18:16 EST</t>
  </si>
  <si>
    <t>Qualifier #92</t>
  </si>
  <si>
    <t>14-Jan-2024 18:20 EST</t>
  </si>
  <si>
    <t>Qualifier #93</t>
  </si>
  <si>
    <t>14-Jan-2024 18:26 EST</t>
  </si>
  <si>
    <t>Qualifier #94</t>
  </si>
  <si>
    <t>14-Jan-2024 18:32 EST</t>
  </si>
  <si>
    <t>Qualifier #95</t>
  </si>
  <si>
    <t>14-Jan-2024 18:37 EST</t>
  </si>
  <si>
    <t>Qualifier #96</t>
  </si>
  <si>
    <t>14-Jan-2024 18:41 EST</t>
  </si>
  <si>
    <t>Qualifier #97</t>
  </si>
  <si>
    <t>14-Jan-2024 18:45 EST</t>
  </si>
  <si>
    <t>Qualifier #98</t>
  </si>
  <si>
    <t>14-Jan-2024 18:49 EST</t>
  </si>
  <si>
    <t>Qualifier #99</t>
  </si>
  <si>
    <t>14-Jan-2024 18:54 EST</t>
  </si>
  <si>
    <t>Qualifier #100</t>
  </si>
  <si>
    <t>14-Jan-2024 18:59 EST</t>
  </si>
  <si>
    <t>Qualifier #101</t>
  </si>
  <si>
    <t>14-Jan-2024 19:03 EST</t>
  </si>
  <si>
    <t>Qualifier #102</t>
  </si>
  <si>
    <t>14-Jan-2024 19:07 EST</t>
  </si>
  <si>
    <t>Qualifier #103</t>
  </si>
  <si>
    <t>14-Jan-2024 19:11 EST</t>
  </si>
  <si>
    <t>Qualifier #104</t>
  </si>
  <si>
    <t>14-Jan-2024 19:15 EST</t>
  </si>
  <si>
    <t>Qualifier #105</t>
  </si>
  <si>
    <t>14-Jan-2024 19:18 EST</t>
  </si>
  <si>
    <t>Qualifier #106</t>
  </si>
  <si>
    <t>14-Jan-2024 19:23 EST</t>
  </si>
  <si>
    <t>Qualifier #107</t>
  </si>
  <si>
    <t>14-Jan-2024 19:27 EST</t>
  </si>
  <si>
    <t>Qualifier #108</t>
  </si>
  <si>
    <t>14-Jan-2024 19:31 EST</t>
  </si>
  <si>
    <t>Qualifier #109</t>
  </si>
  <si>
    <t>14-Jan-2024 19:36 EST</t>
  </si>
  <si>
    <t>Qualifier #110</t>
  </si>
  <si>
    <t>14-Jan-2024 19:43 EST</t>
  </si>
  <si>
    <t>Qualifier #111</t>
  </si>
  <si>
    <t>14-Jan-2024 19:47 EST</t>
  </si>
  <si>
    <t>Qualifier #112</t>
  </si>
  <si>
    <t>14-Jan-2024 19:52 EST</t>
  </si>
  <si>
    <t>Qualifier #113</t>
  </si>
  <si>
    <t>15-Jan-2024 11:24 EST</t>
  </si>
  <si>
    <t>Qualifier #114</t>
  </si>
  <si>
    <t>15-Jan-2024 11:32 EST</t>
  </si>
  <si>
    <t>Qualifier #115</t>
  </si>
  <si>
    <t>15-Jan-2024 11:36 EST</t>
  </si>
  <si>
    <t>Qualifier #116</t>
  </si>
  <si>
    <t>15-Jan-2024 11:46 EST</t>
  </si>
  <si>
    <t>Qualifier #117</t>
  </si>
  <si>
    <t>15-Jan-2024 11:58 EST</t>
  </si>
  <si>
    <t>Qualifier #118</t>
  </si>
  <si>
    <t>15-Jan-2024 12:03 EST</t>
  </si>
  <si>
    <t>Qualifier #119</t>
  </si>
  <si>
    <t>15-Jan-2024 12:06 EST</t>
  </si>
  <si>
    <t>Qualifier #120</t>
  </si>
  <si>
    <t>15-Jan-2024 12:11 EST</t>
  </si>
  <si>
    <t>Qualifier #121</t>
  </si>
  <si>
    <t>15-Jan-2024 12:14 EST</t>
  </si>
  <si>
    <t>Qualifier #122</t>
  </si>
  <si>
    <t>15-Jan-2024 12:19 EST</t>
  </si>
  <si>
    <t>Qualifier #123</t>
  </si>
  <si>
    <t>15-Jan-2024 12:24 EST</t>
  </si>
  <si>
    <t>Qualifier #124</t>
  </si>
  <si>
    <t>15-Jan-2024 12:28 EST</t>
  </si>
  <si>
    <t>Qualifier #125</t>
  </si>
  <si>
    <t>15-Jan-2024 12:31 EST</t>
  </si>
  <si>
    <t>Qualifier #126</t>
  </si>
  <si>
    <t>15-Jan-2024 12:35 EST</t>
  </si>
  <si>
    <t>Qualifier #127</t>
  </si>
  <si>
    <t>15-Jan-2024 12:38 EST</t>
  </si>
  <si>
    <t>Qualifier #128</t>
  </si>
  <si>
    <t>15-Jan-2024 13:31 EST</t>
  </si>
  <si>
    <t>Qualifier #129</t>
  </si>
  <si>
    <t>15-Jan-2024 12:46 EST</t>
  </si>
  <si>
    <t>Qualifier #130</t>
  </si>
  <si>
    <t>15-Jan-2024 12:51 EST</t>
  </si>
  <si>
    <t>Qualifier #131</t>
  </si>
  <si>
    <t>15-Jan-2024 12:55 EST</t>
  </si>
  <si>
    <t>Qualifier #132</t>
  </si>
  <si>
    <t>15-Jan-2024 13:00 EST</t>
  </si>
  <si>
    <t>Qualifier #133</t>
  </si>
  <si>
    <t>15-Jan-2024 13:04 EST</t>
  </si>
  <si>
    <t>Qualifier #134</t>
  </si>
  <si>
    <t>15-Jan-2024 13:07 EST</t>
  </si>
  <si>
    <t>Qualifier #135</t>
  </si>
  <si>
    <t>15-Jan-2024 13:11 EST</t>
  </si>
  <si>
    <t>Qualifier #136</t>
  </si>
  <si>
    <t>15-Jan-2024 13:15 EST</t>
  </si>
  <si>
    <t>Qualifier #137</t>
  </si>
  <si>
    <t>15-Jan-2024 13:18 EST</t>
  </si>
  <si>
    <t>Qualifier #138</t>
  </si>
  <si>
    <t>15-Jan-2024 13:23 EST</t>
  </si>
  <si>
    <t>Qualifier #139</t>
  </si>
  <si>
    <t>15-Jan-2024 13:27 EST</t>
  </si>
  <si>
    <t>Qualifier #140</t>
  </si>
  <si>
    <t>15-Jan-2024 16:16 EST</t>
  </si>
  <si>
    <t>QF #1-1</t>
  </si>
  <si>
    <t>15-Jan-2024 16:22 EST</t>
  </si>
  <si>
    <t>QF #2-1</t>
  </si>
  <si>
    <t>15-Jan-2024 16:26 EST</t>
  </si>
  <si>
    <t>QF #3-1</t>
  </si>
  <si>
    <t>15-Jan-2024 16:33 EST</t>
  </si>
  <si>
    <t>QF #4-1</t>
  </si>
  <si>
    <t>15-Jan-2024 16:58 EST</t>
  </si>
  <si>
    <t>SF #1-1</t>
  </si>
  <si>
    <t>15-Jan-2024 17:06 EST</t>
  </si>
  <si>
    <t>SF #2-1</t>
  </si>
  <si>
    <t>15-Jan-2024 17:26 EST</t>
  </si>
  <si>
    <t>Final #1-1</t>
  </si>
  <si>
    <t>15-Jan-2024 17:42 EST</t>
  </si>
  <si>
    <t>Final #1-2</t>
  </si>
  <si>
    <t>15-Jan-2024 17:57 EST</t>
  </si>
  <si>
    <t>Final #1-3</t>
  </si>
  <si>
    <t>15-Jan-2024 15:31 EST</t>
  </si>
  <si>
    <t>R16 #1-1</t>
  </si>
  <si>
    <t>15-Jan-2024 15:35 EST</t>
  </si>
  <si>
    <t>R16 #2-1</t>
  </si>
  <si>
    <t>15-Jan-2024 15:38 EST</t>
  </si>
  <si>
    <t>R16 #3-1</t>
  </si>
  <si>
    <t>15-Jan-2024 15:43 EST</t>
  </si>
  <si>
    <t>R16 #4-1</t>
  </si>
  <si>
    <t>15-Jan-2024 15:47 EST</t>
  </si>
  <si>
    <t>R16 #5-1</t>
  </si>
  <si>
    <t>15-Jan-2024 15:51 EST</t>
  </si>
  <si>
    <t>R16 #6-1</t>
  </si>
  <si>
    <t>15-Jan-2024 15:57 EST</t>
  </si>
  <si>
    <t>R16 #7-1</t>
  </si>
  <si>
    <t>15-Jan-2024 16:01 EST</t>
  </si>
  <si>
    <t>R16 #8-1</t>
  </si>
  <si>
    <t>13-Jan-2024 18:40 EST</t>
  </si>
  <si>
    <t>51581E</t>
  </si>
  <si>
    <t>90385G</t>
  </si>
  <si>
    <t>10C</t>
  </si>
  <si>
    <t>7784W</t>
  </si>
  <si>
    <t>13-Jan-2024 18:46 EST</t>
  </si>
  <si>
    <t>8675F</t>
  </si>
  <si>
    <t>938F</t>
  </si>
  <si>
    <t>10M</t>
  </si>
  <si>
    <t>99621C</t>
  </si>
  <si>
    <t>51777H</t>
  </si>
  <si>
    <t>938A</t>
  </si>
  <si>
    <t>938X</t>
  </si>
  <si>
    <t>47000X</t>
  </si>
  <si>
    <t>13-Jan-2024 18:58 EST</t>
  </si>
  <si>
    <t>7899B</t>
  </si>
  <si>
    <t>84141A</t>
  </si>
  <si>
    <t>9364G</t>
  </si>
  <si>
    <t>44244N</t>
  </si>
  <si>
    <t>13-Jan-2024 19:03 EST</t>
  </si>
  <si>
    <t>2681A</t>
  </si>
  <si>
    <t>10F</t>
  </si>
  <si>
    <t>6526H</t>
  </si>
  <si>
    <t>16689E</t>
  </si>
  <si>
    <t>13-Jan-2024 19:07 EST</t>
  </si>
  <si>
    <t>10J</t>
  </si>
  <si>
    <t>6526D</t>
  </si>
  <si>
    <t>938C</t>
  </si>
  <si>
    <t>884B</t>
  </si>
  <si>
    <t>13-Jan-2024 19:11 EST</t>
  </si>
  <si>
    <t>1687C</t>
  </si>
  <si>
    <t>99621A</t>
  </si>
  <si>
    <t>938H</t>
  </si>
  <si>
    <t>537K</t>
  </si>
  <si>
    <t>13-Jan-2024 19:15 EST</t>
  </si>
  <si>
    <t>10012G</t>
  </si>
  <si>
    <t>98040C</t>
  </si>
  <si>
    <t>938U</t>
  </si>
  <si>
    <t>502A</t>
  </si>
  <si>
    <t>13-Jan-2024 19:19 EST</t>
  </si>
  <si>
    <t>1698Y</t>
  </si>
  <si>
    <t>9364C</t>
  </si>
  <si>
    <t>652A</t>
  </si>
  <si>
    <t>10T</t>
  </si>
  <si>
    <t>13-Jan-2024 19:24 EST</t>
  </si>
  <si>
    <t>938R</t>
  </si>
  <si>
    <t>16689Z</t>
  </si>
  <si>
    <t>10X</t>
  </si>
  <si>
    <t>9805A</t>
  </si>
  <si>
    <t>13-Jan-2024 19:27 EST</t>
  </si>
  <si>
    <t>1168A</t>
  </si>
  <si>
    <t>16689A</t>
  </si>
  <si>
    <t>47874J</t>
  </si>
  <si>
    <t>938K</t>
  </si>
  <si>
    <t>13-Jan-2024 19:31 EST</t>
  </si>
  <si>
    <t>1000A</t>
  </si>
  <si>
    <t>5327K</t>
  </si>
  <si>
    <t>609A</t>
  </si>
  <si>
    <t>8675V</t>
  </si>
  <si>
    <t>13-Jan-2024 19:35 EST</t>
  </si>
  <si>
    <t>229V</t>
  </si>
  <si>
    <t>98225H</t>
  </si>
  <si>
    <t>84141X</t>
  </si>
  <si>
    <t>98225M</t>
  </si>
  <si>
    <t>13-Jan-2024 19:41 EST</t>
  </si>
  <si>
    <t>938N</t>
  </si>
  <si>
    <t>3512E</t>
  </si>
  <si>
    <t>5155A</t>
  </si>
  <si>
    <t>7700H</t>
  </si>
  <si>
    <t>10A</t>
  </si>
  <si>
    <t>3512B</t>
  </si>
  <si>
    <t>1023E</t>
  </si>
  <si>
    <t>917A</t>
  </si>
  <si>
    <t>13-Jan-2024 19:49 EST</t>
  </si>
  <si>
    <t>66475C</t>
  </si>
  <si>
    <t>1258V</t>
  </si>
  <si>
    <t>13-Jan-2024 19:56 EST</t>
  </si>
  <si>
    <t>13-Jan-2024 20:09 EST</t>
  </si>
  <si>
    <t>13-Jan-2024 20:15 EST</t>
  </si>
  <si>
    <t>14-Jan-2024 11:21 EST</t>
  </si>
  <si>
    <t>14-Jan-2024 11:25 EST</t>
  </si>
  <si>
    <t>14-Jan-2024 11:30 EST</t>
  </si>
  <si>
    <t>14-Jan-2024 11:33 EST</t>
  </si>
  <si>
    <t>14-Jan-2024 11:37 EST</t>
  </si>
  <si>
    <t>14-Jan-2024 11:41 EST</t>
  </si>
  <si>
    <t>14-Jan-2024 11:49 EST</t>
  </si>
  <si>
    <t>14-Jan-2024 11:54 EST</t>
  </si>
  <si>
    <t>14-Jan-2024 11:58 EST</t>
  </si>
  <si>
    <t>14-Jan-2024 12:04 EST</t>
  </si>
  <si>
    <t>14-Jan-2024 12:08 EST</t>
  </si>
  <si>
    <t>14-Jan-2024 12:11 EST</t>
  </si>
  <si>
    <t>14-Jan-2024 12:24 EST</t>
  </si>
  <si>
    <t>14-Jan-2024 12:29 EST</t>
  </si>
  <si>
    <t>14-Jan-2024 12:33 EST</t>
  </si>
  <si>
    <t>14-Jan-2024 12:39 EST</t>
  </si>
  <si>
    <t>14-Jan-2024 12:42 EST</t>
  </si>
  <si>
    <t>14-Jan-2024 12:48 EST</t>
  </si>
  <si>
    <t>14-Jan-2024 12:54 EST</t>
  </si>
  <si>
    <t>14-Jan-2024 12:59 EST</t>
  </si>
  <si>
    <t>14-Jan-2024 13:04 EST</t>
  </si>
  <si>
    <t>14-Jan-2024 13:08 EST</t>
  </si>
  <si>
    <t>14-Jan-2024 13:12 EST</t>
  </si>
  <si>
    <t>14-Jan-2024 13:17 EST</t>
  </si>
  <si>
    <t>14-Jan-2024 13:21 EST</t>
  </si>
  <si>
    <t>14-Jan-2024 13:26 EST</t>
  </si>
  <si>
    <t>14-Jan-2024 13:32 EST</t>
  </si>
  <si>
    <t>14-Jan-2024 13:43 EST</t>
  </si>
  <si>
    <t>14-Jan-2024 14:59 EST</t>
  </si>
  <si>
    <t>None</t>
  </si>
  <si>
    <t>14-Jan-2024 13:53 EST</t>
  </si>
  <si>
    <t>14-Jan-2024 13:57 EST</t>
  </si>
  <si>
    <t>14-Jan-2024 14:01 EST</t>
  </si>
  <si>
    <t>14-Jan-2024 14:08 EST</t>
  </si>
  <si>
    <t>14-Jan-2024 14:16 EST</t>
  </si>
  <si>
    <t>14-Jan-2024 14:20 EST</t>
  </si>
  <si>
    <t>14-Jan-2024 14:28 EST</t>
  </si>
  <si>
    <t>14-Jan-2024 14:33 EST</t>
  </si>
  <si>
    <t>14-Jan-2024 14:36 EST</t>
  </si>
  <si>
    <t>14-Jan-2024 14:40 EST</t>
  </si>
  <si>
    <t>14-Jan-2024 14:44 EST</t>
  </si>
  <si>
    <t>14-Jan-2024 14:54 EST</t>
  </si>
  <si>
    <t>14-Jan-2024 16:28 EST</t>
  </si>
  <si>
    <t>14-Jan-2024 16:36 EST</t>
  </si>
  <si>
    <t>14-Jan-2024 16:39 EST</t>
  </si>
  <si>
    <t>14-Jan-2024 16:44 EST</t>
  </si>
  <si>
    <t>14-Jan-2024 16:48 EST</t>
  </si>
  <si>
    <t>14-Jan-2024 16:53 EST</t>
  </si>
  <si>
    <t>14-Jan-2024 16:59 EST</t>
  </si>
  <si>
    <t>14-Jan-2024 17:03 EST</t>
  </si>
  <si>
    <t>14-Jan-2024 17:06 EST</t>
  </si>
  <si>
    <t>14-Jan-2024 17:10 EST</t>
  </si>
  <si>
    <t>14-Jan-2024 17:22 EST</t>
  </si>
  <si>
    <t>14-Jan-2024 17:27 EST</t>
  </si>
  <si>
    <t>14-Jan-2024 17:31 EST</t>
  </si>
  <si>
    <t>14-Jan-2024 17:36 EST</t>
  </si>
  <si>
    <t>14-Jan-2024 17:39 EST</t>
  </si>
  <si>
    <t>14-Jan-2024 17:43 EST</t>
  </si>
  <si>
    <t>14-Jan-2024 17:50 EST</t>
  </si>
  <si>
    <t>14-Jan-2024 18:08 EST</t>
  </si>
  <si>
    <t>14-Jan-2024 18:36 EST</t>
  </si>
  <si>
    <t>14-Jan-2024 18:40 EST</t>
  </si>
  <si>
    <t>14-Jan-2024 18:46 EST</t>
  </si>
  <si>
    <t>14-Jan-2024 18:50 EST</t>
  </si>
  <si>
    <t>14-Jan-2024 18:53 EST</t>
  </si>
  <si>
    <t>14-Jan-2024 18:56 EST</t>
  </si>
  <si>
    <t>14-Jan-2024 19:01 EST</t>
  </si>
  <si>
    <t>14-Jan-2024 19:06 EST</t>
  </si>
  <si>
    <t>14-Jan-2024 19:22 EST</t>
  </si>
  <si>
    <t>14-Jan-2024 19:26 EST</t>
  </si>
  <si>
    <t>14-Jan-2024 19:39 EST</t>
  </si>
  <si>
    <t>14-Jan-2024 19:45 EST</t>
  </si>
  <si>
    <t>14-Jan-2024 19:50 EST</t>
  </si>
  <si>
    <t>15-Jan-2024 10:47 EST</t>
  </si>
  <si>
    <t>15-Jan-2024 11:33 EST</t>
  </si>
  <si>
    <t>15-Jan-2024 11:39 EST</t>
  </si>
  <si>
    <t>15-Jan-2024 11:44 EST</t>
  </si>
  <si>
    <t>15-Jan-2024 11:49 EST</t>
  </si>
  <si>
    <t>15-Jan-2024 11:53 EST</t>
  </si>
  <si>
    <t>15-Jan-2024 11:56 EST</t>
  </si>
  <si>
    <t>15-Jan-2024 12:01 EST</t>
  </si>
  <si>
    <t>15-Jan-2024 12:07 EST</t>
  </si>
  <si>
    <t>15-Jan-2024 12:20 EST</t>
  </si>
  <si>
    <t>15-Jan-2024 12:34 EST</t>
  </si>
  <si>
    <t>15-Jan-2024 12:37 EST</t>
  </si>
  <si>
    <t>15-Jan-2024 12:41 EST</t>
  </si>
  <si>
    <t>15-Jan-2024 12:47 EST</t>
  </si>
  <si>
    <t>15-Jan-2024 12:50 EST</t>
  </si>
  <si>
    <t>15-Jan-2024 12:58 EST</t>
  </si>
  <si>
    <t>15-Jan-2024 13:01 EST</t>
  </si>
  <si>
    <t>15-Jan-2024 13:05 EST</t>
  </si>
  <si>
    <t>15-Jan-2024 13:09 EST</t>
  </si>
  <si>
    <t>15-Jan-2024 13:13 EST</t>
  </si>
  <si>
    <t>15-Jan-2024 13:16 EST</t>
  </si>
  <si>
    <t>15-Jan-2024 13:20 EST</t>
  </si>
  <si>
    <t>15-Jan-2024 13:25 EST</t>
  </si>
  <si>
    <t>15-Jan-2024 13:29 EST</t>
  </si>
  <si>
    <t>15-Jan-2024 16:29 EST</t>
  </si>
  <si>
    <t>15-Jan-2024 16:35 EST</t>
  </si>
  <si>
    <t>15-Jan-2024 16:39 EST</t>
  </si>
  <si>
    <t>15-Jan-2024 16:47 EST</t>
  </si>
  <si>
    <t>15-Jan-2024 17:03 EST</t>
  </si>
  <si>
    <t>15-Jan-2024 17:16 EST</t>
  </si>
  <si>
    <t>15-Jan-2024 17:32 EST</t>
  </si>
  <si>
    <t>15-Jan-2024 17:49 EST</t>
  </si>
  <si>
    <t>15-Jan-2024 15:34 EST</t>
  </si>
  <si>
    <t>15-Jan-2024 15:41 EST</t>
  </si>
  <si>
    <t>15-Jan-2024 15:46 EST</t>
  </si>
  <si>
    <t>15-Jan-2024 16:00 EST</t>
  </si>
  <si>
    <t>15-Jan-2024 16:05 EST</t>
  </si>
  <si>
    <t>15-Jan-2024 16:13 EST</t>
  </si>
  <si>
    <t>15-Jan-2024 16:18 EST</t>
  </si>
  <si>
    <t>15-Jan-2024 16:24 EST</t>
  </si>
  <si>
    <t>West Div</t>
  </si>
  <si>
    <t>North Div</t>
  </si>
  <si>
    <t>15-Jan-2024 18:30 EST</t>
  </si>
  <si>
    <t>15-Jan-2024 18:45 EST</t>
  </si>
  <si>
    <t>Finals</t>
  </si>
  <si>
    <t>team</t>
  </si>
  <si>
    <t>score</t>
  </si>
  <si>
    <t>team1</t>
  </si>
  <si>
    <t>team2</t>
  </si>
  <si>
    <t>Row Labels</t>
  </si>
  <si>
    <t>Grand Total</t>
  </si>
  <si>
    <t>Sum of score</t>
  </si>
  <si>
    <t>Average of score</t>
  </si>
  <si>
    <t>StdDev of score</t>
  </si>
  <si>
    <t>Min of score</t>
  </si>
  <si>
    <t>Max of score</t>
  </si>
  <si>
    <t>total points</t>
  </si>
  <si>
    <t>win ratio</t>
  </si>
  <si>
    <t>red percent</t>
  </si>
  <si>
    <t>blue percent</t>
  </si>
  <si>
    <t>Column Labels</t>
  </si>
  <si>
    <t>alliance</t>
  </si>
  <si>
    <t>opponent</t>
  </si>
  <si>
    <t>sum</t>
  </si>
  <si>
    <t>mean</t>
  </si>
  <si>
    <t>std dev</t>
  </si>
  <si>
    <t>min</t>
  </si>
  <si>
    <t>q1</t>
  </si>
  <si>
    <t>median</t>
  </si>
  <si>
    <t>q3</t>
  </si>
  <si>
    <t>max</t>
  </si>
  <si>
    <t>Confidence Score</t>
  </si>
  <si>
    <t>Confidence Value</t>
  </si>
  <si>
    <t>Confidence values are mean/(std. deviation)</t>
  </si>
  <si>
    <t>The idea is, we value teams with high averages and lower standard deviations</t>
  </si>
  <si>
    <t>This is because we want a team who scores consistently high as a partner</t>
  </si>
  <si>
    <t>This system does heavily value consistency, so lower std. deviations will often be rewarded heavier than high means</t>
  </si>
  <si>
    <t>Quals  Only:</t>
  </si>
  <si>
    <t>This value also gives insight into whether a team's true average is the estimated average or not</t>
  </si>
  <si>
    <t>Meaning that the higher confidence value will imply that a team's average is a good representation of team strength</t>
  </si>
  <si>
    <t>A Lower confidence value can indicate that the average is not very representitive, but it can also show that the team was bad</t>
  </si>
  <si>
    <t>Meant to be used in conjunctioon with mean and std deviation, offering good insight into whether a team is good or bad</t>
  </si>
  <si>
    <t>inv CV</t>
  </si>
  <si>
    <t>Pick Score</t>
  </si>
  <si>
    <t xml:space="preserve">team </t>
  </si>
  <si>
    <t>avg</t>
  </si>
  <si>
    <t>std</t>
  </si>
  <si>
    <t>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</si>
</sst>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Fill="0" applyProtection="0"/>
  </cellStyleXfs>
  <cellXfs count="11">
    <xf numFmtId="0" fontId="0" fillId="0" borderId="0" xfId="0"/>
    <xf numFmtId="0" fontId="1" fillId="0" borderId="0" xfId="1" applyFill="1" applyProtection="1"/>
    <xf numFmtId="0" fontId="1" fillId="2" borderId="0" xfId="1" applyFill="1" applyProtection="1"/>
    <xf numFmtId="0" fontId="1" fillId="3" borderId="0" xfId="1" applyFill="1" applyProtection="1"/>
    <xf numFmtId="0" fontId="0" fillId="2" borderId="0" xfId="0" applyFill="1"/>
    <xf numFmtId="0" fontId="0" fillId="4" borderId="0" xfId="0" applyFill="1"/>
    <xf numFmtId="0" fontId="1" fillId="5" borderId="0" xfId="1" applyFill="1" applyProtection="1"/>
    <xf numFmtId="0" fontId="0" fillId="5" borderId="0" xfId="0" applyFill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quotePrefix="1"/>
  </cellXfs>
  <cellStyles count="2">
    <cellStyle name="Normal" xfId="0" builtinId="0"/>
    <cellStyle name="Normal 2" xfId="1" xr:uid="{7ED8D8E2-12FD-401D-A9B0-A77FF363A79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pivotCacheDefinition" Target="pivotCache/pivotCacheDefinition3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pivotCacheDefinition" Target="pivotCache/pivotCacheDefinition2.xml"/><Relationship Id="rId33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pivotCacheDefinition" Target="pivotCache/pivotCacheDefinition1.xml"/><Relationship Id="rId32" Type="http://schemas.microsoft.com/office/2017/10/relationships/person" Target="persons/perso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pivotCacheDefinition" Target="pivotCache/pivotCacheDefinition4.xml"/><Relationship Id="rId30" Type="http://schemas.openxmlformats.org/officeDocument/2006/relationships/sharedStrings" Target="sharedStrings.xml"/><Relationship Id="rId8" Type="http://schemas.openxmlformats.org/officeDocument/2006/relationships/worksheet" Target="worksheets/sheet8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Ex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Ex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Ex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Ex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Ex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Ex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Ex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Ex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Ex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Ex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Ex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Ex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Ex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Ex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Ex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Ex20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Ex21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Ex22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Ex23.xml.rels><?xml version="1.0" encoding="UTF-8" standalone="yes"?>
<Relationships xmlns="http://schemas.openxmlformats.org/package/2006/relationships"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_rels/chartEx24.xml.rels><?xml version="1.0" encoding="UTF-8" standalone="yes"?>
<Relationships xmlns="http://schemas.openxmlformats.org/package/2006/relationships"><Relationship Id="rId2" Type="http://schemas.microsoft.com/office/2011/relationships/chartColorStyle" Target="colors24.xml"/><Relationship Id="rId1" Type="http://schemas.microsoft.com/office/2011/relationships/chartStyle" Target="style24.xml"/></Relationships>
</file>

<file path=xl/charts/_rels/chartEx25.xml.rels><?xml version="1.0" encoding="UTF-8" standalone="yes"?>
<Relationships xmlns="http://schemas.openxmlformats.org/package/2006/relationships"><Relationship Id="rId2" Type="http://schemas.microsoft.com/office/2011/relationships/chartColorStyle" Target="colors25.xml"/><Relationship Id="rId1" Type="http://schemas.microsoft.com/office/2011/relationships/chartStyle" Target="style25.xml"/></Relationships>
</file>

<file path=xl/charts/_rels/chartEx26.xml.rels><?xml version="1.0" encoding="UTF-8" standalone="yes"?>
<Relationships xmlns="http://schemas.openxmlformats.org/package/2006/relationships"><Relationship Id="rId2" Type="http://schemas.microsoft.com/office/2011/relationships/chartColorStyle" Target="colors26.xml"/><Relationship Id="rId1" Type="http://schemas.microsoft.com/office/2011/relationships/chartStyle" Target="style26.xml"/></Relationships>
</file>

<file path=xl/charts/_rels/chartEx27.xml.rels><?xml version="1.0" encoding="UTF-8" standalone="yes"?>
<Relationships xmlns="http://schemas.openxmlformats.org/package/2006/relationships"><Relationship Id="rId2" Type="http://schemas.microsoft.com/office/2011/relationships/chartColorStyle" Target="colors27.xml"/><Relationship Id="rId1" Type="http://schemas.microsoft.com/office/2011/relationships/chartStyle" Target="style27.xml"/></Relationships>
</file>

<file path=xl/charts/_rels/chartEx28.xml.rels><?xml version="1.0" encoding="UTF-8" standalone="yes"?>
<Relationships xmlns="http://schemas.openxmlformats.org/package/2006/relationships"><Relationship Id="rId2" Type="http://schemas.microsoft.com/office/2011/relationships/chartColorStyle" Target="colors28.xml"/><Relationship Id="rId1" Type="http://schemas.microsoft.com/office/2011/relationships/chartStyle" Target="style28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_xlchart.v1.5</cx:f>
      </cx:numDim>
    </cx:data>
    <cx:data id="1">
      <cx:numDim type="val">
        <cx:f>_xlchart.v1.7</cx:f>
      </cx:numDim>
    </cx:data>
  </cx:chartData>
  <cx:chart>
    <cx:title pos="t" align="ctr" overlay="0">
      <cx:tx>
        <cx:txData>
          <cx:v>Score Distributions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Score Distributions</a:t>
          </a:r>
        </a:p>
      </cx:txPr>
    </cx:title>
    <cx:plotArea>
      <cx:plotAreaRegion>
        <cx:series layoutId="boxWhisker" uniqueId="{2588CC78-DCF4-47A6-A390-E0858D5EA387}">
          <cx:tx>
            <cx:txData>
              <cx:f>_xlchart.v1.4</cx:f>
              <cx:v>alliance</cx:v>
            </cx:txData>
          </cx:tx>
          <cx:dataLabels>
            <cx:visibility seriesName="0" categoryName="0" value="1"/>
          </cx:dataLabels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B3DA3C89-752F-49E0-ABD6-FBD29ECE51C7}">
          <cx:tx>
            <cx:txData>
              <cx:f>_xlchart.v1.6</cx:f>
              <cx:v>opponent</cx:v>
            </cx:txData>
          </cx:tx>
          <cx:dataLabels>
            <cx:visibility seriesName="0" categoryName="0" value="1"/>
          </cx:dataLabels>
          <cx:dataId val="1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  <cx:legend pos="t" align="ctr" overlay="0"/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  <cx:data id="1">
      <cx:numDim type="val">
        <cx:f>_xlchart.v1.3</cx:f>
      </cx:numDim>
    </cx:data>
  </cx:chartData>
  <cx:chart>
    <cx:title pos="t" align="ctr" overlay="0">
      <cx:tx>
        <cx:txData>
          <cx:v>Score Distribution (Quals Only)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Score Distribution (Quals Only)</a:t>
          </a:r>
        </a:p>
      </cx:txPr>
    </cx:title>
    <cx:plotArea>
      <cx:plotAreaRegion>
        <cx:series layoutId="boxWhisker" uniqueId="{88066A26-2CBA-4E3A-B076-1F6B686008A2}">
          <cx:tx>
            <cx:txData>
              <cx:f>_xlchart.v1.0</cx:f>
              <cx:v>alliance</cx:v>
            </cx:txData>
          </cx:tx>
          <cx:dataLabels>
            <cx:visibility seriesName="0" categoryName="0" value="1"/>
          </cx:dataLabels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A26A9FC7-91F9-4E04-B4FB-916C974384EF}">
          <cx:tx>
            <cx:txData>
              <cx:f>_xlchart.v1.2</cx:f>
              <cx:v>opponent</cx:v>
            </cx:txData>
          </cx:tx>
          <cx:dataLabels>
            <cx:visibility seriesName="0" categoryName="0" value="1"/>
          </cx:dataLabels>
          <cx:dataId val="1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  <cx:legend pos="t" align="ctr" overlay="0"/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_xlchart.v1.9</cx:f>
      </cx:numDim>
    </cx:data>
    <cx:data id="1">
      <cx:numDim type="val">
        <cx:f>_xlchart.v1.11</cx:f>
      </cx:numDim>
    </cx:data>
  </cx:chartData>
  <cx:chart>
    <cx:title pos="t" align="ctr" overlay="0">
      <cx:tx>
        <cx:txData>
          <cx:v>Score Dsitributions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Score Dsitributions</a:t>
          </a:r>
        </a:p>
      </cx:txPr>
    </cx:title>
    <cx:plotArea>
      <cx:plotAreaRegion>
        <cx:series layoutId="boxWhisker" uniqueId="{5DCD1EFA-4746-46E4-A086-9448CD02ECDD}">
          <cx:tx>
            <cx:txData>
              <cx:f>_xlchart.v1.8</cx:f>
              <cx:v>alliance</cx:v>
            </cx:txData>
          </cx:tx>
          <cx:dataLabels>
            <cx:visibility seriesName="0" categoryName="0" value="1"/>
          </cx:dataLabels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57E72841-F5B2-492F-9276-3B2DC5D6F751}">
          <cx:tx>
            <cx:txData>
              <cx:f>_xlchart.v1.10</cx:f>
              <cx:v>opponent</cx:v>
            </cx:txData>
          </cx:tx>
          <cx:dataLabels>
            <cx:visibility seriesName="0" categoryName="0" value="1"/>
          </cx:dataLabels>
          <cx:dataId val="1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  <cx:legend pos="t" align="ctr" overlay="0"/>
  </cx:chart>
</cx:chartSpace>
</file>

<file path=xl/charts/chartEx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_xlchart.v1.13</cx:f>
      </cx:numDim>
    </cx:data>
    <cx:data id="1">
      <cx:numDim type="val">
        <cx:f>_xlchart.v1.15</cx:f>
      </cx:numDim>
    </cx:data>
  </cx:chartData>
  <cx:chart>
    <cx:title pos="t" align="ctr" overlay="0">
      <cx:tx>
        <cx:txData>
          <cx:v>Score Distributions (Quals Only)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Score Distributions (Quals Only)</a:t>
          </a:r>
        </a:p>
      </cx:txPr>
    </cx:title>
    <cx:plotArea>
      <cx:plotAreaRegion>
        <cx:series layoutId="boxWhisker" uniqueId="{A79BDA33-1307-46E6-A510-FD5E5FF95A1A}">
          <cx:tx>
            <cx:txData>
              <cx:f>_xlchart.v1.12</cx:f>
              <cx:v>alliance</cx:v>
            </cx:txData>
          </cx:tx>
          <cx:dataLabels>
            <cx:visibility seriesName="0" categoryName="0" value="1"/>
          </cx:dataLabels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F3FA514B-4A7B-41D7-BB1C-621A1002415A}">
          <cx:tx>
            <cx:txData>
              <cx:f>_xlchart.v1.14</cx:f>
              <cx:v>opponent</cx:v>
            </cx:txData>
          </cx:tx>
          <cx:dataLabels>
            <cx:visibility seriesName="0" categoryName="0" value="1"/>
          </cx:dataLabels>
          <cx:dataId val="1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  <cx:legend pos="t" align="ctr" overlay="0"/>
  </cx:chart>
</cx:chartSpace>
</file>

<file path=xl/charts/chartEx5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_xlchart.v1.17</cx:f>
      </cx:numDim>
    </cx:data>
    <cx:data id="1">
      <cx:numDim type="val">
        <cx:f>_xlchart.v1.19</cx:f>
      </cx:numDim>
    </cx:data>
  </cx:chartData>
  <cx:chart>
    <cx:title pos="t" align="ctr" overlay="0">
      <cx:tx>
        <cx:txData>
          <cx:v>Score Distributions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Score Distributions</a:t>
          </a:r>
        </a:p>
      </cx:txPr>
    </cx:title>
    <cx:plotArea>
      <cx:plotAreaRegion>
        <cx:series layoutId="boxWhisker" uniqueId="{6A16E09E-1D8B-44B9-9568-9D728C411CE2}">
          <cx:tx>
            <cx:txData>
              <cx:f>_xlchart.v1.16</cx:f>
              <cx:v>alliance</cx:v>
            </cx:txData>
          </cx:tx>
          <cx:dataLabels>
            <cx:visibility seriesName="0" categoryName="0" value="1"/>
          </cx:dataLabels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CE51B532-67C9-498C-A63D-9D1F4F65C9B0}">
          <cx:tx>
            <cx:txData>
              <cx:f>_xlchart.v1.18</cx:f>
              <cx:v>opponent</cx:v>
            </cx:txData>
          </cx:tx>
          <cx:dataLabels>
            <cx:visibility seriesName="0" categoryName="0" value="1"/>
          </cx:dataLabels>
          <cx:dataId val="1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  <cx:legend pos="t" align="ctr" overlay="0"/>
  </cx:chart>
</cx:chartSpace>
</file>

<file path=xl/charts/chartEx6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_xlchart.v1.21</cx:f>
      </cx:numDim>
    </cx:data>
    <cx:data id="1">
      <cx:numDim type="val">
        <cx:f>_xlchart.v1.23</cx:f>
      </cx:numDim>
    </cx:data>
  </cx:chartData>
  <cx:chart>
    <cx:title pos="t" align="ctr" overlay="0">
      <cx:tx>
        <cx:txData>
          <cx:v>Score Distribution (Quals Only)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Score Distribution (Quals Only)</a:t>
          </a:r>
        </a:p>
      </cx:txPr>
    </cx:title>
    <cx:plotArea>
      <cx:plotAreaRegion>
        <cx:series layoutId="boxWhisker" uniqueId="{FA2E240D-DC91-4D2F-8179-EDDED9011754}">
          <cx:tx>
            <cx:txData>
              <cx:f>_xlchart.v1.20</cx:f>
              <cx:v>alliance</cx:v>
            </cx:txData>
          </cx:tx>
          <cx:dataLabels>
            <cx:visibility seriesName="0" categoryName="0" value="1"/>
          </cx:dataLabels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7D5C0047-8F91-487B-9CA7-ACAB2E26E649}">
          <cx:tx>
            <cx:txData>
              <cx:f>_xlchart.v1.22</cx:f>
              <cx:v>opponent</cx:v>
            </cx:txData>
          </cx:tx>
          <cx:dataLabels>
            <cx:visibility seriesName="0" categoryName="0" value="1"/>
          </cx:dataLabels>
          <cx:dataId val="1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  <cx:legend pos="t" align="ctr" overlay="0"/>
  </cx:chart>
</cx:chartSpace>
</file>

<file path=xl/charts/chartEx7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_xlchart.v1.25</cx:f>
      </cx:numDim>
    </cx:data>
    <cx:data id="1">
      <cx:numDim type="val">
        <cx:f>_xlchart.v1.27</cx:f>
      </cx:numDim>
    </cx:data>
  </cx:chartData>
  <cx:chart>
    <cx:title pos="t" align="ctr" overlay="0">
      <cx:tx>
        <cx:txData>
          <cx:v>Score Distributions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Score Distributions</a:t>
          </a:r>
        </a:p>
      </cx:txPr>
    </cx:title>
    <cx:plotArea>
      <cx:plotAreaRegion>
        <cx:series layoutId="boxWhisker" uniqueId="{076BDAF6-F40F-4D20-ACEC-8EBEAA34A211}">
          <cx:tx>
            <cx:txData>
              <cx:f>_xlchart.v1.24</cx:f>
              <cx:v>alliance</cx:v>
            </cx:txData>
          </cx:tx>
          <cx:dataLabels>
            <cx:visibility seriesName="0" categoryName="0" value="1"/>
          </cx:dataLabels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3E64FCAB-B073-4CEB-8B59-3D7A0C634009}">
          <cx:tx>
            <cx:txData>
              <cx:f>_xlchart.v1.26</cx:f>
              <cx:v>opponent</cx:v>
            </cx:txData>
          </cx:tx>
          <cx:dataLabels>
            <cx:visibility seriesName="0" categoryName="0" value="1"/>
          </cx:dataLabels>
          <cx:dataId val="1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  <cx:legend pos="t" align="ctr" overlay="0"/>
  </cx:chart>
</cx:chartSpace>
</file>

<file path=xl/charts/chartEx8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_xlchart.v1.29</cx:f>
      </cx:numDim>
    </cx:data>
    <cx:data id="1">
      <cx:numDim type="val">
        <cx:f>_xlchart.v1.31</cx:f>
      </cx:numDim>
    </cx:data>
  </cx:chartData>
  <cx:chart>
    <cx:title pos="t" align="ctr" overlay="0">
      <cx:tx>
        <cx:txData>
          <cx:v>Score Distributions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Score Distributions</a:t>
          </a:r>
        </a:p>
      </cx:txPr>
    </cx:title>
    <cx:plotArea>
      <cx:plotAreaRegion>
        <cx:series layoutId="boxWhisker" uniqueId="{A1157C49-1DC4-4E70-81D7-0B8190736287}">
          <cx:tx>
            <cx:txData>
              <cx:f>_xlchart.v1.28</cx:f>
              <cx:v>alliance</cx:v>
            </cx:txData>
          </cx:tx>
          <cx:dataLabels>
            <cx:visibility seriesName="0" categoryName="0" value="1"/>
          </cx:dataLabels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D0199EBF-6B27-4F71-88C9-C61D284C3C1A}">
          <cx:tx>
            <cx:txData>
              <cx:f>_xlchart.v1.30</cx:f>
              <cx:v>opponent</cx:v>
            </cx:txData>
          </cx:tx>
          <cx:dataLabels>
            <cx:visibility seriesName="0" categoryName="0" value="1"/>
          </cx:dataLabels>
          <cx:dataId val="1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  <cx:legend pos="t" align="ctr" overlay="0"/>
  </cx:chart>
</cx:chartSpace>
</file>

<file path=xl/charts/chartEx9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_xlchart.v1.33</cx:f>
      </cx:numDim>
    </cx:data>
    <cx:data id="1">
      <cx:numDim type="val">
        <cx:f>_xlchart.v1.35</cx:f>
      </cx:numDim>
    </cx:data>
  </cx:chartData>
  <cx:chart>
    <cx:title pos="t" align="ctr" overlay="0">
      <cx:tx>
        <cx:txData>
          <cx:v>Score Distribution (Quals Only)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Score Distribution (Quals Only)</a:t>
          </a:r>
        </a:p>
      </cx:txPr>
    </cx:title>
    <cx:plotArea>
      <cx:plotAreaRegion>
        <cx:series layoutId="boxWhisker" uniqueId="{C666A3AA-988A-44BB-A65A-FF3B675FAA9E}">
          <cx:tx>
            <cx:txData>
              <cx:f>_xlchart.v1.32</cx:f>
              <cx:v>alliance</cx:v>
            </cx:txData>
          </cx:tx>
          <cx:dataLabels>
            <cx:visibility seriesName="0" categoryName="0" value="1"/>
          </cx:dataLabels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59F8C625-601E-4764-884A-158F126C13BC}">
          <cx:tx>
            <cx:txData>
              <cx:f>_xlchart.v1.34</cx:f>
              <cx:v>opponent</cx:v>
            </cx:txData>
          </cx:tx>
          <cx:dataLabels>
            <cx:visibility seriesName="0" categoryName="0" value="1"/>
          </cx:dataLabels>
          <cx:dataId val="1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  <cx:legend pos="t" align="ctr" overlay="0"/>
  </cx:chart>
</cx:chartSpace>
</file>

<file path=xl/charts/chartEx10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_xlchart.v1.37</cx:f>
      </cx:numDim>
    </cx:data>
    <cx:data id="1">
      <cx:numDim type="val">
        <cx:f>_xlchart.v1.39</cx:f>
      </cx:numDim>
    </cx:data>
  </cx:chartData>
  <cx:chart>
    <cx:title pos="t" align="ctr" overlay="0">
      <cx:tx>
        <cx:txData>
          <cx:v>Score Distributions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Score Distributions</a:t>
          </a:r>
        </a:p>
      </cx:txPr>
    </cx:title>
    <cx:plotArea>
      <cx:plotAreaRegion>
        <cx:series layoutId="boxWhisker" uniqueId="{9DB62C56-411B-49CD-92BC-BBC62788D0C2}">
          <cx:tx>
            <cx:txData>
              <cx:f>_xlchart.v1.36</cx:f>
              <cx:v>alliance</cx:v>
            </cx:txData>
          </cx:tx>
          <cx:dataLabels>
            <cx:visibility seriesName="0" categoryName="0" value="1"/>
          </cx:dataLabels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8C985CEF-9EC7-4930-BBB2-E5DB432AEAEC}">
          <cx:tx>
            <cx:txData>
              <cx:f>_xlchart.v1.38</cx:f>
              <cx:v>opponent</cx:v>
            </cx:txData>
          </cx:tx>
          <cx:dataLabels>
            <cx:visibility seriesName="0" categoryName="0" value="1"/>
          </cx:dataLabels>
          <cx:dataId val="1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  <cx:legend pos="t" align="ctr" overlay="0"/>
  </cx:chart>
</cx:chartSpace>
</file>

<file path=xl/charts/chartEx1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_xlchart.v1.41</cx:f>
      </cx:numDim>
    </cx:data>
    <cx:data id="1">
      <cx:numDim type="val">
        <cx:f>_xlchart.v1.43</cx:f>
      </cx:numDim>
    </cx:data>
  </cx:chartData>
  <cx:chart>
    <cx:title pos="t" align="ctr" overlay="0">
      <cx:tx>
        <cx:txData>
          <cx:v>Score Distributions (Quals Only)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Score Distributions (Quals Only)</a:t>
          </a:r>
        </a:p>
      </cx:txPr>
    </cx:title>
    <cx:plotArea>
      <cx:plotAreaRegion>
        <cx:series layoutId="boxWhisker" uniqueId="{4DB68397-4906-4457-B96A-5BF9E63E9647}">
          <cx:tx>
            <cx:txData>
              <cx:f>_xlchart.v1.40</cx:f>
              <cx:v>alliance</cx:v>
            </cx:txData>
          </cx:tx>
          <cx:dataLabels>
            <cx:visibility seriesName="0" categoryName="0" value="1"/>
          </cx:dataLabels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188D87F2-2F9C-40A7-A388-2BE5D7B8FFDF}">
          <cx:tx>
            <cx:txData>
              <cx:f>_xlchart.v1.42</cx:f>
              <cx:v>opponent</cx:v>
            </cx:txData>
          </cx:tx>
          <cx:dataLabels>
            <cx:visibility seriesName="0" categoryName="0" value="1"/>
          </cx:dataLabels>
          <cx:dataId val="1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  <cx:legend pos="t" align="ctr" overlay="0"/>
  </cx:chart>
</cx:chartSpace>
</file>

<file path=xl/charts/chartEx1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_xlchart.v1.49</cx:f>
      </cx:numDim>
    </cx:data>
    <cx:data id="1">
      <cx:numDim type="val">
        <cx:f>_xlchart.v1.51</cx:f>
      </cx:numDim>
    </cx:data>
  </cx:chartData>
  <cx:chart>
    <cx:title pos="t" align="ctr" overlay="0">
      <cx:tx>
        <cx:txData>
          <cx:v>Score Distirbutions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Score Distirbutions</a:t>
          </a:r>
        </a:p>
      </cx:txPr>
    </cx:title>
    <cx:plotArea>
      <cx:plotAreaRegion>
        <cx:series layoutId="boxWhisker" uniqueId="{3B1B74BA-C1CF-4590-9D18-B5F9B2398DAD}">
          <cx:tx>
            <cx:txData>
              <cx:f>_xlchart.v1.48</cx:f>
              <cx:v>alliance</cx:v>
            </cx:txData>
          </cx:tx>
          <cx:dataLabels>
            <cx:visibility seriesName="0" categoryName="0" value="1"/>
          </cx:dataLabels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E2589D25-2EBF-486E-B1CC-4698FF07AE4F}">
          <cx:tx>
            <cx:txData>
              <cx:f>_xlchart.v1.50</cx:f>
              <cx:v>opponent</cx:v>
            </cx:txData>
          </cx:tx>
          <cx:dataLabels>
            <cx:visibility seriesName="0" categoryName="0" value="1"/>
          </cx:dataLabels>
          <cx:dataId val="1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  <cx:legend pos="t" align="ctr" overlay="0"/>
  </cx:chart>
</cx:chartSpace>
</file>

<file path=xl/charts/chartEx1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_xlchart.v1.45</cx:f>
      </cx:numDim>
    </cx:data>
    <cx:data id="1">
      <cx:numDim type="val">
        <cx:f>_xlchart.v1.47</cx:f>
      </cx:numDim>
    </cx:data>
  </cx:chartData>
  <cx:chart>
    <cx:title pos="t" align="ctr" overlay="0">
      <cx:tx>
        <cx:txData>
          <cx:v>Score Distributions (Quals Only)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Score Distributions (Quals Only)</a:t>
          </a:r>
        </a:p>
      </cx:txPr>
    </cx:title>
    <cx:plotArea>
      <cx:plotAreaRegion>
        <cx:series layoutId="boxWhisker" uniqueId="{006E7CBD-0CA5-47DB-BF4B-3CA37E1EAF68}">
          <cx:tx>
            <cx:txData>
              <cx:f>_xlchart.v1.44</cx:f>
              <cx:v>alliance</cx:v>
            </cx:txData>
          </cx:tx>
          <cx:dataLabels>
            <cx:visibility seriesName="0" categoryName="0" value="1"/>
          </cx:dataLabels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B0821F8A-1BE4-46C4-B1F2-A2C03BC3BAAF}">
          <cx:tx>
            <cx:txData>
              <cx:f>_xlchart.v1.46</cx:f>
              <cx:v>opponent</cx:v>
            </cx:txData>
          </cx:tx>
          <cx:dataLabels>
            <cx:visibility seriesName="0" categoryName="0" value="1"/>
          </cx:dataLabels>
          <cx:dataId val="1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  <cx:legend pos="t" align="ctr" overlay="0"/>
  </cx:chart>
</cx:chartSpace>
</file>

<file path=xl/charts/chartEx1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_xlchart.v1.57</cx:f>
      </cx:numDim>
    </cx:data>
    <cx:data id="1">
      <cx:numDim type="val">
        <cx:f>_xlchart.v1.59</cx:f>
      </cx:numDim>
    </cx:data>
  </cx:chartData>
  <cx:chart>
    <cx:title pos="t" align="ctr" overlay="0">
      <cx:tx>
        <cx:txData>
          <cx:v>Score Distributions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Score Distributions</a:t>
          </a:r>
        </a:p>
      </cx:txPr>
    </cx:title>
    <cx:plotArea>
      <cx:plotAreaRegion>
        <cx:series layoutId="boxWhisker" uniqueId="{D9A41B29-D735-465F-9B1B-220CD95009C2}">
          <cx:tx>
            <cx:txData>
              <cx:f>_xlchart.v1.56</cx:f>
              <cx:v>alliance</cx:v>
            </cx:txData>
          </cx:tx>
          <cx:dataLabels>
            <cx:visibility seriesName="0" categoryName="0" value="1"/>
          </cx:dataLabels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C8813487-ADCB-42F9-983A-45979F13B1F3}">
          <cx:tx>
            <cx:txData>
              <cx:f>_xlchart.v1.58</cx:f>
              <cx:v>opponent</cx:v>
            </cx:txData>
          </cx:tx>
          <cx:dataLabels>
            <cx:visibility seriesName="0" categoryName="0" value="1"/>
          </cx:dataLabels>
          <cx:dataId val="1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  <cx:legend pos="t" align="ctr" overlay="0"/>
  </cx:chart>
</cx:chartSpace>
</file>

<file path=xl/charts/chartEx15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_xlchart.v1.53</cx:f>
      </cx:numDim>
    </cx:data>
    <cx:data id="1">
      <cx:numDim type="val">
        <cx:f>_xlchart.v1.55</cx:f>
      </cx:numDim>
    </cx:data>
  </cx:chartData>
  <cx:chart>
    <cx:title pos="t" align="ctr" overlay="0">
      <cx:tx>
        <cx:txData>
          <cx:v>Score Distributions (Quals Only)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Score Distributions (Quals Only)</a:t>
          </a:r>
        </a:p>
      </cx:txPr>
    </cx:title>
    <cx:plotArea>
      <cx:plotAreaRegion>
        <cx:series layoutId="boxWhisker" uniqueId="{A925F3E9-F7FD-4D35-ABA8-AF4B2EE784AA}">
          <cx:tx>
            <cx:txData>
              <cx:f>_xlchart.v1.52</cx:f>
              <cx:v>alliance</cx:v>
            </cx:txData>
          </cx:tx>
          <cx:dataLabels>
            <cx:visibility seriesName="0" categoryName="0" value="1"/>
          </cx:dataLabels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500BFB14-55DA-4938-B473-A77741C9E841}">
          <cx:tx>
            <cx:txData>
              <cx:f>_xlchart.v1.54</cx:f>
              <cx:v>opponent</cx:v>
            </cx:txData>
          </cx:tx>
          <cx:dataLabels>
            <cx:visibility seriesName="0" categoryName="0" value="1"/>
          </cx:dataLabels>
          <cx:dataId val="1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  <cx:legend pos="t" align="ctr" overlay="0"/>
  </cx:chart>
</cx:chartSpace>
</file>

<file path=xl/charts/chartEx16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_xlchart.v1.61</cx:f>
      </cx:numDim>
    </cx:data>
    <cx:data id="1">
      <cx:numDim type="val">
        <cx:f>_xlchart.v1.63</cx:f>
      </cx:numDim>
    </cx:data>
  </cx:chartData>
  <cx:chart>
    <cx:title pos="t" align="ctr" overlay="0">
      <cx:tx>
        <cx:txData>
          <cx:v>Score Distributions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Score Distributions</a:t>
          </a:r>
        </a:p>
      </cx:txPr>
    </cx:title>
    <cx:plotArea>
      <cx:plotAreaRegion>
        <cx:series layoutId="boxWhisker" uniqueId="{89DB7684-F947-4543-8656-F14AA79D02FD}">
          <cx:tx>
            <cx:txData>
              <cx:f>_xlchart.v1.60</cx:f>
              <cx:v>alliance</cx:v>
            </cx:txData>
          </cx:tx>
          <cx:dataLabels>
            <cx:visibility seriesName="0" categoryName="0" value="1"/>
          </cx:dataLabels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CC194BC1-9D5B-4E92-B8D3-82AA51822278}">
          <cx:tx>
            <cx:txData>
              <cx:f>_xlchart.v1.62</cx:f>
              <cx:v>opponent</cx:v>
            </cx:txData>
          </cx:tx>
          <cx:dataLabels>
            <cx:visibility seriesName="0" categoryName="0" value="1"/>
          </cx:dataLabels>
          <cx:dataId val="1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  <cx:legend pos="t" align="ctr" overlay="0"/>
  </cx:chart>
</cx:chartSpace>
</file>

<file path=xl/charts/chartEx17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_xlchart.v1.65</cx:f>
      </cx:numDim>
    </cx:data>
    <cx:data id="1">
      <cx:numDim type="val">
        <cx:f>_xlchart.v1.67</cx:f>
      </cx:numDim>
    </cx:data>
  </cx:chartData>
  <cx:chart>
    <cx:title pos="t" align="ctr" overlay="0">
      <cx:tx>
        <cx:txData>
          <cx:v>Score Distributions (Quals Only)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Score Distributions (Quals Only)</a:t>
          </a:r>
        </a:p>
      </cx:txPr>
    </cx:title>
    <cx:plotArea>
      <cx:plotAreaRegion>
        <cx:series layoutId="boxWhisker" uniqueId="{12AC4600-1957-45DC-BD9B-5FA61748BCE8}">
          <cx:tx>
            <cx:txData>
              <cx:f>_xlchart.v1.64</cx:f>
              <cx:v>alliance</cx:v>
            </cx:txData>
          </cx:tx>
          <cx:dataLabels>
            <cx:visibility seriesName="0" categoryName="0" value="1"/>
          </cx:dataLabels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B788E816-9E3B-41AD-A675-790BF709B70A}">
          <cx:tx>
            <cx:txData>
              <cx:f>_xlchart.v1.66</cx:f>
              <cx:v>opponent</cx:v>
            </cx:txData>
          </cx:tx>
          <cx:dataLabels>
            <cx:visibility seriesName="0" categoryName="0" value="1"/>
          </cx:dataLabels>
          <cx:dataId val="1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  <cx:legend pos="t" align="ctr" overlay="0"/>
  </cx:chart>
</cx:chartSpace>
</file>

<file path=xl/charts/chartEx18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_xlchart.v1.69</cx:f>
      </cx:numDim>
    </cx:data>
    <cx:data id="1">
      <cx:numDim type="val">
        <cx:f>_xlchart.v1.71</cx:f>
      </cx:numDim>
    </cx:data>
  </cx:chartData>
  <cx:chart>
    <cx:title pos="t" align="ctr" overlay="0">
      <cx:tx>
        <cx:txData>
          <cx:v>Score Distributions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Score Distributions</a:t>
          </a:r>
        </a:p>
      </cx:txPr>
    </cx:title>
    <cx:plotArea>
      <cx:plotAreaRegion>
        <cx:series layoutId="boxWhisker" uniqueId="{9C3303E2-2A77-4B59-B29B-47680572246E}">
          <cx:tx>
            <cx:txData>
              <cx:f>_xlchart.v1.68</cx:f>
              <cx:v>alliance</cx:v>
            </cx:txData>
          </cx:tx>
          <cx:dataLabels>
            <cx:visibility seriesName="0" categoryName="0" value="1"/>
          </cx:dataLabels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2C7B56AA-E5AF-4F72-AE71-2D1AA98BBFF1}">
          <cx:tx>
            <cx:txData>
              <cx:f>_xlchart.v1.70</cx:f>
              <cx:v>opponent</cx:v>
            </cx:txData>
          </cx:tx>
          <cx:dataLabels>
            <cx:visibility seriesName="0" categoryName="0" value="1"/>
          </cx:dataLabels>
          <cx:dataId val="1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  <cx:legend pos="t" align="ctr" overlay="0"/>
  </cx:chart>
</cx:chartSpace>
</file>

<file path=xl/charts/chartEx19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_xlchart.v1.73</cx:f>
      </cx:numDim>
    </cx:data>
    <cx:data id="1">
      <cx:numDim type="val">
        <cx:f>_xlchart.v1.75</cx:f>
      </cx:numDim>
    </cx:data>
  </cx:chartData>
  <cx:chart>
    <cx:title pos="t" align="ctr" overlay="0">
      <cx:tx>
        <cx:txData>
          <cx:v>Score Distributions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Score Distributions</a:t>
          </a:r>
        </a:p>
      </cx:txPr>
    </cx:title>
    <cx:plotArea>
      <cx:plotAreaRegion>
        <cx:series layoutId="boxWhisker" uniqueId="{62D8FD6A-E6D8-416E-B257-EFDCDE033F1A}">
          <cx:tx>
            <cx:txData>
              <cx:f>_xlchart.v1.72</cx:f>
              <cx:v>alliance</cx:v>
            </cx:txData>
          </cx:tx>
          <cx:dataLabels>
            <cx:visibility seriesName="0" categoryName="0" value="1"/>
          </cx:dataLabels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005B235E-25CF-4CB0-8889-22BB399AAD57}">
          <cx:tx>
            <cx:txData>
              <cx:f>_xlchart.v1.74</cx:f>
              <cx:v>opponent</cx:v>
            </cx:txData>
          </cx:tx>
          <cx:dataLabels>
            <cx:visibility seriesName="0" categoryName="0" value="1"/>
          </cx:dataLabels>
          <cx:dataId val="1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  <cx:legend pos="t" align="ctr" overlay="0"/>
  </cx:chart>
</cx:chartSpace>
</file>

<file path=xl/charts/chartEx20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_xlchart.v1.77</cx:f>
      </cx:numDim>
    </cx:data>
    <cx:data id="1">
      <cx:numDim type="val">
        <cx:f>_xlchart.v1.79</cx:f>
      </cx:numDim>
    </cx:data>
  </cx:chartData>
  <cx:chart>
    <cx:title pos="t" align="ctr" overlay="0">
      <cx:tx>
        <cx:txData>
          <cx:v>Score Distributions (Quals Only)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Score Distributions (Quals Only)</a:t>
          </a:r>
        </a:p>
      </cx:txPr>
    </cx:title>
    <cx:plotArea>
      <cx:plotAreaRegion>
        <cx:series layoutId="boxWhisker" uniqueId="{6B6CF5F6-FDB7-4D6F-8AE2-824D90B10DBD}">
          <cx:tx>
            <cx:txData>
              <cx:f>_xlchart.v1.76</cx:f>
              <cx:v>alliance</cx:v>
            </cx:txData>
          </cx:tx>
          <cx:dataLabels>
            <cx:visibility seriesName="0" categoryName="0" value="1"/>
          </cx:dataLabels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B8F368D8-882A-40AF-ABB1-B0D05E147F33}">
          <cx:tx>
            <cx:txData>
              <cx:f>_xlchart.v1.78</cx:f>
              <cx:v>opponent</cx:v>
            </cx:txData>
          </cx:tx>
          <cx:dataLabels>
            <cx:visibility seriesName="0" categoryName="0" value="1"/>
          </cx:dataLabels>
          <cx:dataId val="1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  <cx:legend pos="t" align="ctr" overlay="0"/>
  </cx:chart>
</cx:chartSpace>
</file>

<file path=xl/charts/chartEx2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_xlchart.v1.85</cx:f>
      </cx:numDim>
    </cx:data>
    <cx:data id="1">
      <cx:numDim type="val">
        <cx:f>_xlchart.v1.87</cx:f>
      </cx:numDim>
    </cx:data>
  </cx:chartData>
  <cx:chart>
    <cx:title pos="t" align="ctr" overlay="0">
      <cx:tx>
        <cx:txData>
          <cx:v>Score Distributions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Score Distributions</a:t>
          </a:r>
        </a:p>
      </cx:txPr>
    </cx:title>
    <cx:plotArea>
      <cx:plotAreaRegion>
        <cx:series layoutId="boxWhisker" uniqueId="{43CE6F8A-0D5F-498A-8E4B-11233B45E02A}">
          <cx:tx>
            <cx:txData>
              <cx:f>_xlchart.v1.84</cx:f>
              <cx:v>alliance</cx:v>
            </cx:txData>
          </cx:tx>
          <cx:dataLabels>
            <cx:visibility seriesName="0" categoryName="0" value="1"/>
          </cx:dataLabels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138029BC-05FD-4414-B90D-2E6C62EE4A82}">
          <cx:tx>
            <cx:txData>
              <cx:f>_xlchart.v1.86</cx:f>
              <cx:v>opponent</cx:v>
            </cx:txData>
          </cx:tx>
          <cx:dataLabels>
            <cx:visibility seriesName="0" categoryName="0" value="1"/>
          </cx:dataLabels>
          <cx:dataId val="1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  <cx:legend pos="t" align="ctr" overlay="0"/>
  </cx:chart>
</cx:chartSpace>
</file>

<file path=xl/charts/chartEx2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_xlchart.v1.81</cx:f>
      </cx:numDim>
    </cx:data>
    <cx:data id="1">
      <cx:numDim type="val">
        <cx:f>_xlchart.v1.83</cx:f>
      </cx:numDim>
    </cx:data>
  </cx:chartData>
  <cx:chart>
    <cx:title pos="t" align="ctr" overlay="0">
      <cx:tx>
        <cx:txData>
          <cx:v>Score Distributions (Quals Only)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Score Distributions (Quals Only)</a:t>
          </a:r>
        </a:p>
      </cx:txPr>
    </cx:title>
    <cx:plotArea>
      <cx:plotAreaRegion>
        <cx:series layoutId="boxWhisker" uniqueId="{313EA47C-9A79-4127-B4A6-A53023226091}">
          <cx:tx>
            <cx:txData>
              <cx:f>_xlchart.v1.80</cx:f>
              <cx:v>alliance</cx:v>
            </cx:txData>
          </cx:tx>
          <cx:dataLabels>
            <cx:visibility seriesName="0" categoryName="0" value="1"/>
          </cx:dataLabels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9FD09612-B370-4B19-AB0D-5810901E0A7B}">
          <cx:tx>
            <cx:txData>
              <cx:f>_xlchart.v1.82</cx:f>
              <cx:v>opponent</cx:v>
            </cx:txData>
          </cx:tx>
          <cx:dataLabels>
            <cx:visibility seriesName="0" categoryName="0" value="1"/>
          </cx:dataLabels>
          <cx:dataId val="1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  <cx:legend pos="t" align="ctr" overlay="0"/>
  </cx:chart>
</cx:chartSpace>
</file>

<file path=xl/charts/chartEx2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_xlchart.v1.93</cx:f>
      </cx:numDim>
    </cx:data>
    <cx:data id="1">
      <cx:numDim type="val">
        <cx:f>_xlchart.v1.95</cx:f>
      </cx:numDim>
    </cx:data>
  </cx:chartData>
  <cx:chart>
    <cx:title pos="t" align="ctr" overlay="0">
      <cx:tx>
        <cx:txData>
          <cx:v>Score Distributions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Score Distributions</a:t>
          </a:r>
        </a:p>
      </cx:txPr>
    </cx:title>
    <cx:plotArea>
      <cx:plotAreaRegion>
        <cx:series layoutId="boxWhisker" uniqueId="{D5D1F21A-DB01-4A7B-B018-47DDDFBCF412}">
          <cx:tx>
            <cx:txData>
              <cx:f>_xlchart.v1.92</cx:f>
              <cx:v>alliance</cx:v>
            </cx:txData>
          </cx:tx>
          <cx:dataLabels>
            <cx:visibility seriesName="0" categoryName="0" value="1"/>
          </cx:dataLabels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C55345A8-12C2-4D81-85D8-6AAF68FAB7B5}">
          <cx:tx>
            <cx:txData>
              <cx:f>_xlchart.v1.94</cx:f>
              <cx:v>opponent</cx:v>
            </cx:txData>
          </cx:tx>
          <cx:dataLabels>
            <cx:visibility seriesName="0" categoryName="0" value="1"/>
          </cx:dataLabels>
          <cx:dataId val="1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  <cx:legend pos="t" align="ctr" overlay="0"/>
  </cx:chart>
</cx:chartSpace>
</file>

<file path=xl/charts/chartEx2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_xlchart.v1.89</cx:f>
      </cx:numDim>
    </cx:data>
    <cx:data id="1">
      <cx:numDim type="val">
        <cx:f>_xlchart.v1.91</cx:f>
      </cx:numDim>
    </cx:data>
  </cx:chartData>
  <cx:chart>
    <cx:title pos="t" align="ctr" overlay="0">
      <cx:tx>
        <cx:txData>
          <cx:v>Score Distribution (Quals Only)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Score Distribution (Quals Only)</a:t>
          </a:r>
        </a:p>
      </cx:txPr>
    </cx:title>
    <cx:plotArea>
      <cx:plotAreaRegion>
        <cx:series layoutId="boxWhisker" uniqueId="{5068914B-8D21-43F2-A798-C883357E99B2}">
          <cx:tx>
            <cx:txData>
              <cx:f>_xlchart.v1.88</cx:f>
              <cx:v>alliance</cx:v>
            </cx:txData>
          </cx:tx>
          <cx:dataLabels>
            <cx:visibility seriesName="0" categoryName="0" value="1"/>
          </cx:dataLabels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73BACDA7-4FB7-41A4-ADA2-432D6BE3841F}">
          <cx:tx>
            <cx:txData>
              <cx:f>_xlchart.v1.90</cx:f>
              <cx:v>opponent</cx:v>
            </cx:txData>
          </cx:tx>
          <cx:dataLabels>
            <cx:visibility seriesName="0" categoryName="0" value="1"/>
          </cx:dataLabels>
          <cx:dataId val="1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  <cx:legend pos="t" align="ctr" overlay="0"/>
  </cx:chart>
</cx:chartSpace>
</file>

<file path=xl/charts/chartEx25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_xlchart.v1.97</cx:f>
      </cx:numDim>
    </cx:data>
    <cx:data id="1">
      <cx:numDim type="val">
        <cx:f>_xlchart.v1.99</cx:f>
      </cx:numDim>
    </cx:data>
  </cx:chartData>
  <cx:chart>
    <cx:title pos="t" align="ctr" overlay="0">
      <cx:tx>
        <cx:txData>
          <cx:v>Score Distributions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Score Distributions</a:t>
          </a:r>
        </a:p>
      </cx:txPr>
    </cx:title>
    <cx:plotArea>
      <cx:plotAreaRegion>
        <cx:series layoutId="boxWhisker" uniqueId="{DAA29A67-38A7-4C58-854E-330F0DFF022E}">
          <cx:tx>
            <cx:txData>
              <cx:f>_xlchart.v1.96</cx:f>
              <cx:v>alliance</cx:v>
            </cx:txData>
          </cx:tx>
          <cx:dataLabels>
            <cx:visibility seriesName="0" categoryName="0" value="1"/>
          </cx:dataLabels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352DAC94-1EAB-4731-B8CA-5E4051631000}">
          <cx:tx>
            <cx:txData>
              <cx:f>_xlchart.v1.98</cx:f>
              <cx:v>opponent</cx:v>
            </cx:txData>
          </cx:tx>
          <cx:dataLabels>
            <cx:visibility seriesName="0" categoryName="0" value="1"/>
          </cx:dataLabels>
          <cx:dataId val="1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  <cx:legend pos="t" align="ctr" overlay="0"/>
  </cx:chart>
</cx:chartSpace>
</file>

<file path=xl/charts/chartEx26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_xlchart.v1.101</cx:f>
      </cx:numDim>
    </cx:data>
    <cx:data id="1">
      <cx:numDim type="val">
        <cx:f>_xlchart.v1.103</cx:f>
      </cx:numDim>
    </cx:data>
  </cx:chartData>
  <cx:chart>
    <cx:title pos="t" align="ctr" overlay="0">
      <cx:tx>
        <cx:txData>
          <cx:v>Score Distribution (Quals Only)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Score Distribution (Quals Only)</a:t>
          </a:r>
        </a:p>
      </cx:txPr>
    </cx:title>
    <cx:plotArea>
      <cx:plotAreaRegion>
        <cx:series layoutId="boxWhisker" uniqueId="{9B6E68B4-1CE9-40D3-A9C8-5C0E63E080E6}">
          <cx:tx>
            <cx:txData>
              <cx:f>_xlchart.v1.100</cx:f>
              <cx:v>alliance</cx:v>
            </cx:txData>
          </cx:tx>
          <cx:dataLabels>
            <cx:visibility seriesName="0" categoryName="0" value="1"/>
          </cx:dataLabels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5BCA95A0-0235-4813-AC96-121A51B77CA8}">
          <cx:tx>
            <cx:txData>
              <cx:f>_xlchart.v1.102</cx:f>
              <cx:v>opponent</cx:v>
            </cx:txData>
          </cx:tx>
          <cx:dataLabels>
            <cx:visibility seriesName="0" categoryName="0" value="1"/>
          </cx:dataLabels>
          <cx:dataId val="1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  <cx:legend pos="t" align="ctr" overlay="0"/>
  </cx:chart>
</cx:chartSpace>
</file>

<file path=xl/charts/chartEx27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_xlchart.v1.105</cx:f>
      </cx:numDim>
    </cx:data>
    <cx:data id="1">
      <cx:numDim type="val">
        <cx:f>_xlchart.v1.107</cx:f>
      </cx:numDim>
    </cx:data>
  </cx:chartData>
  <cx:chart>
    <cx:title pos="t" align="ctr" overlay="0">
      <cx:tx>
        <cx:txData>
          <cx:v>Score Distributions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Score Distributions</a:t>
          </a:r>
        </a:p>
      </cx:txPr>
    </cx:title>
    <cx:plotArea>
      <cx:plotAreaRegion>
        <cx:series layoutId="boxWhisker" uniqueId="{6B98DBBB-036B-4EAD-B6BE-26D3C9079D6B}">
          <cx:tx>
            <cx:txData>
              <cx:f>_xlchart.v1.104</cx:f>
              <cx:v>alliance</cx:v>
            </cx:txData>
          </cx:tx>
          <cx:dataLabels>
            <cx:visibility seriesName="0" categoryName="0" value="1"/>
          </cx:dataLabels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34DFFF9F-C255-47B4-8577-6937F25DE353}">
          <cx:tx>
            <cx:txData>
              <cx:f>_xlchart.v1.106</cx:f>
              <cx:v>opponent</cx:v>
            </cx:txData>
          </cx:tx>
          <cx:dataLabels>
            <cx:visibility seriesName="0" categoryName="0" value="1"/>
          </cx:dataLabels>
          <cx:dataId val="1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  <cx:legend pos="t" align="ctr" overlay="0"/>
  </cx:chart>
</cx:chartSpace>
</file>

<file path=xl/charts/chartEx28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_xlchart.v1.109</cx:f>
      </cx:numDim>
    </cx:data>
    <cx:data id="1">
      <cx:numDim type="val">
        <cx:f>_xlchart.v1.111</cx:f>
      </cx:numDim>
    </cx:data>
  </cx:chartData>
  <cx:chart>
    <cx:title pos="t" align="ctr" overlay="0">
      <cx:tx>
        <cx:txData>
          <cx:v>Score Distributions (Quals Only)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Score Distributions (Quals Only)</a:t>
          </a:r>
        </a:p>
      </cx:txPr>
    </cx:title>
    <cx:plotArea>
      <cx:plotAreaRegion>
        <cx:series layoutId="boxWhisker" uniqueId="{9FFF6167-B044-4F80-8E66-7DC9E66946FA}">
          <cx:tx>
            <cx:txData>
              <cx:f>_xlchart.v1.108</cx:f>
              <cx:v>alliance</cx:v>
            </cx:txData>
          </cx:tx>
          <cx:dataLabels>
            <cx:visibility seriesName="0" categoryName="0" value="1"/>
          </cx:dataLabels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EA4F2162-61EC-48E8-BFCD-086BB71C9216}">
          <cx:tx>
            <cx:txData>
              <cx:f>_xlchart.v1.110</cx:f>
              <cx:v>opponent</cx:v>
            </cx:txData>
          </cx:tx>
          <cx:dataLabels>
            <cx:visibility seriesName="0" categoryName="0" value="1"/>
          </cx:dataLabels>
          <cx:dataId val="1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  <cx:legend pos="t" align="ctr" overlay="0"/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9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0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2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3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4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5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6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7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8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9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0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2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3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4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5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6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7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8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microsoft.com/office/2014/relationships/chartEx" Target="../charts/chartEx2.xml"/><Relationship Id="rId1" Type="http://schemas.microsoft.com/office/2014/relationships/chartEx" Target="../charts/chartEx1.xml"/></Relationships>
</file>

<file path=xl/drawings/_rels/drawing2.xml.rels><?xml version="1.0" encoding="UTF-8" standalone="yes"?>
<Relationships xmlns="http://schemas.openxmlformats.org/package/2006/relationships"><Relationship Id="rId2" Type="http://schemas.microsoft.com/office/2014/relationships/chartEx" Target="../charts/chartEx4.xml"/><Relationship Id="rId1" Type="http://schemas.microsoft.com/office/2014/relationships/chartEx" Target="../charts/chartEx3.xml"/></Relationships>
</file>

<file path=xl/drawings/_rels/drawing3.xml.rels><?xml version="1.0" encoding="UTF-8" standalone="yes"?>
<Relationships xmlns="http://schemas.openxmlformats.org/package/2006/relationships"><Relationship Id="rId2" Type="http://schemas.microsoft.com/office/2014/relationships/chartEx" Target="../charts/chartEx6.xml"/><Relationship Id="rId1" Type="http://schemas.microsoft.com/office/2014/relationships/chartEx" Target="../charts/chartEx5.xml"/></Relationships>
</file>

<file path=xl/drawings/_rels/drawing4.xml.rels><?xml version="1.0" encoding="UTF-8" standalone="yes"?>
<Relationships xmlns="http://schemas.openxmlformats.org/package/2006/relationships"><Relationship Id="rId1" Type="http://schemas.microsoft.com/office/2014/relationships/chartEx" Target="../charts/chartEx7.xml"/></Relationships>
</file>

<file path=xl/drawings/_rels/drawing5.xml.rels><?xml version="1.0" encoding="UTF-8" standalone="yes"?>
<Relationships xmlns="http://schemas.openxmlformats.org/package/2006/relationships"><Relationship Id="rId2" Type="http://schemas.microsoft.com/office/2014/relationships/chartEx" Target="../charts/chartEx9.xml"/><Relationship Id="rId1" Type="http://schemas.microsoft.com/office/2014/relationships/chartEx" Target="../charts/chartEx8.xml"/></Relationships>
</file>

<file path=xl/drawings/_rels/drawing6.xml.rels><?xml version="1.0" encoding="UTF-8" standalone="yes"?>
<Relationships xmlns="http://schemas.openxmlformats.org/package/2006/relationships"><Relationship Id="rId2" Type="http://schemas.microsoft.com/office/2014/relationships/chartEx" Target="../charts/chartEx11.xml"/><Relationship Id="rId1" Type="http://schemas.microsoft.com/office/2014/relationships/chartEx" Target="../charts/chartEx10.xml"/></Relationships>
</file>

<file path=xl/drawings/_rels/drawing7.xml.rels><?xml version="1.0" encoding="UTF-8" standalone="yes"?>
<Relationships xmlns="http://schemas.openxmlformats.org/package/2006/relationships"><Relationship Id="rId2" Type="http://schemas.microsoft.com/office/2014/relationships/chartEx" Target="../charts/chartEx13.xml"/><Relationship Id="rId1" Type="http://schemas.microsoft.com/office/2014/relationships/chartEx" Target="../charts/chartEx12.xml"/></Relationships>
</file>

<file path=xl/drawings/_rels/drawing8.xml.rels><?xml version="1.0" encoding="UTF-8" standalone="yes"?>
<Relationships xmlns="http://schemas.openxmlformats.org/package/2006/relationships"><Relationship Id="rId2" Type="http://schemas.microsoft.com/office/2014/relationships/chartEx" Target="../charts/chartEx15.xml"/><Relationship Id="rId1" Type="http://schemas.microsoft.com/office/2014/relationships/chartEx" Target="../charts/chartEx14.xml"/></Relationships>
</file>

<file path=xl/drawings/_rels/drawing9.xml.rels><?xml version="1.0" encoding="UTF-8" standalone="yes"?>
<Relationships xmlns="http://schemas.openxmlformats.org/package/2006/relationships"><Relationship Id="rId2" Type="http://schemas.microsoft.com/office/2014/relationships/chartEx" Target="../charts/chartEx17.xml"/><Relationship Id="rId1" Type="http://schemas.microsoft.com/office/2014/relationships/chartEx" Target="../charts/chartEx16.xml"/></Relationships>
</file>

<file path=xl/drawings/_rels/drawing10.xml.rels><?xml version="1.0" encoding="UTF-8" standalone="yes"?>
<Relationships xmlns="http://schemas.openxmlformats.org/package/2006/relationships"><Relationship Id="rId1" Type="http://schemas.microsoft.com/office/2014/relationships/chartEx" Target="../charts/chartEx18.xml"/></Relationships>
</file>

<file path=xl/drawings/_rels/drawing11.xml.rels><?xml version="1.0" encoding="UTF-8" standalone="yes"?>
<Relationships xmlns="http://schemas.openxmlformats.org/package/2006/relationships"><Relationship Id="rId2" Type="http://schemas.microsoft.com/office/2014/relationships/chartEx" Target="../charts/chartEx20.xml"/><Relationship Id="rId1" Type="http://schemas.microsoft.com/office/2014/relationships/chartEx" Target="../charts/chartEx19.xml"/></Relationships>
</file>

<file path=xl/drawings/_rels/drawing12.xml.rels><?xml version="1.0" encoding="UTF-8" standalone="yes"?>
<Relationships xmlns="http://schemas.openxmlformats.org/package/2006/relationships"><Relationship Id="rId2" Type="http://schemas.microsoft.com/office/2014/relationships/chartEx" Target="../charts/chartEx22.xml"/><Relationship Id="rId1" Type="http://schemas.microsoft.com/office/2014/relationships/chartEx" Target="../charts/chartEx21.xml"/></Relationships>
</file>

<file path=xl/drawings/_rels/drawing13.xml.rels><?xml version="1.0" encoding="UTF-8" standalone="yes"?>
<Relationships xmlns="http://schemas.openxmlformats.org/package/2006/relationships"><Relationship Id="rId2" Type="http://schemas.microsoft.com/office/2014/relationships/chartEx" Target="../charts/chartEx24.xml"/><Relationship Id="rId1" Type="http://schemas.microsoft.com/office/2014/relationships/chartEx" Target="../charts/chartEx23.xml"/></Relationships>
</file>

<file path=xl/drawings/_rels/drawing14.xml.rels><?xml version="1.0" encoding="UTF-8" standalone="yes"?>
<Relationships xmlns="http://schemas.openxmlformats.org/package/2006/relationships"><Relationship Id="rId2" Type="http://schemas.microsoft.com/office/2014/relationships/chartEx" Target="../charts/chartEx26.xml"/><Relationship Id="rId1" Type="http://schemas.microsoft.com/office/2014/relationships/chartEx" Target="../charts/chartEx25.xml"/></Relationships>
</file>

<file path=xl/drawings/_rels/drawing15.xml.rels><?xml version="1.0" encoding="UTF-8" standalone="yes"?>
<Relationships xmlns="http://schemas.openxmlformats.org/package/2006/relationships"><Relationship Id="rId2" Type="http://schemas.microsoft.com/office/2014/relationships/chartEx" Target="../charts/chartEx28.xml"/><Relationship Id="rId1" Type="http://schemas.microsoft.com/office/2014/relationships/chartEx" Target="../charts/chartEx2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30480</xdr:colOff>
      <xdr:row>0</xdr:row>
      <xdr:rowOff>15240</xdr:rowOff>
    </xdr:from>
    <xdr:to>
      <xdr:col>14</xdr:col>
      <xdr:colOff>335280</xdr:colOff>
      <xdr:row>15</xdr:row>
      <xdr:rowOff>15240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C1C7F347-39ED-8C6B-CD18-BCF9C1A1354C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853940" y="1524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6</xdr:col>
      <xdr:colOff>601980</xdr:colOff>
      <xdr:row>17</xdr:row>
      <xdr:rowOff>163830</xdr:rowOff>
    </xdr:from>
    <xdr:to>
      <xdr:col>14</xdr:col>
      <xdr:colOff>297180</xdr:colOff>
      <xdr:row>32</xdr:row>
      <xdr:rowOff>163830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A9DC6EC1-C8F9-088D-FED9-C5B9044A5A2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815840" y="327279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7620</xdr:colOff>
      <xdr:row>0</xdr:row>
      <xdr:rowOff>3810</xdr:rowOff>
    </xdr:from>
    <xdr:to>
      <xdr:col>14</xdr:col>
      <xdr:colOff>312420</xdr:colOff>
      <xdr:row>15</xdr:row>
      <xdr:rowOff>3810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D56383B8-0F0F-2764-96A7-F7B7C6FA932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869180" y="381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7</xdr:col>
      <xdr:colOff>0</xdr:colOff>
      <xdr:row>19</xdr:row>
      <xdr:rowOff>163830</xdr:rowOff>
    </xdr:from>
    <xdr:to>
      <xdr:col>14</xdr:col>
      <xdr:colOff>304800</xdr:colOff>
      <xdr:row>34</xdr:row>
      <xdr:rowOff>163830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C8410D3D-D487-65F9-6279-5984EA150BB5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861560" y="363855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160020</xdr:colOff>
      <xdr:row>0</xdr:row>
      <xdr:rowOff>171450</xdr:rowOff>
    </xdr:from>
    <xdr:to>
      <xdr:col>14</xdr:col>
      <xdr:colOff>464820</xdr:colOff>
      <xdr:row>15</xdr:row>
      <xdr:rowOff>171450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F5A34C4F-F38E-2E3B-B45F-E668583AD03C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899660" y="17145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7</xdr:col>
      <xdr:colOff>175260</xdr:colOff>
      <xdr:row>20</xdr:row>
      <xdr:rowOff>11430</xdr:rowOff>
    </xdr:from>
    <xdr:to>
      <xdr:col>14</xdr:col>
      <xdr:colOff>480060</xdr:colOff>
      <xdr:row>35</xdr:row>
      <xdr:rowOff>11430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7EE5C2AE-FC56-3B99-7E1A-BC740AE61D9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914900" y="366903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38100</xdr:colOff>
      <xdr:row>0</xdr:row>
      <xdr:rowOff>26670</xdr:rowOff>
    </xdr:from>
    <xdr:to>
      <xdr:col>14</xdr:col>
      <xdr:colOff>342900</xdr:colOff>
      <xdr:row>15</xdr:row>
      <xdr:rowOff>26670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C33B15C6-8662-C141-EC82-204EC716919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305300" y="2667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7620</xdr:colOff>
      <xdr:row>0</xdr:row>
      <xdr:rowOff>0</xdr:rowOff>
    </xdr:from>
    <xdr:to>
      <xdr:col>14</xdr:col>
      <xdr:colOff>312420</xdr:colOff>
      <xdr:row>15</xdr:row>
      <xdr:rowOff>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228EB5E7-E557-3D5A-5E00-693D91B3FDD8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663440" y="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7</xdr:col>
      <xdr:colOff>7620</xdr:colOff>
      <xdr:row>15</xdr:row>
      <xdr:rowOff>156210</xdr:rowOff>
    </xdr:from>
    <xdr:to>
      <xdr:col>14</xdr:col>
      <xdr:colOff>312420</xdr:colOff>
      <xdr:row>30</xdr:row>
      <xdr:rowOff>156210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84BF2601-9084-0D36-9F64-0061556F324E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663440" y="289941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7620</xdr:colOff>
      <xdr:row>0</xdr:row>
      <xdr:rowOff>34290</xdr:rowOff>
    </xdr:from>
    <xdr:to>
      <xdr:col>14</xdr:col>
      <xdr:colOff>312420</xdr:colOff>
      <xdr:row>15</xdr:row>
      <xdr:rowOff>34290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DB58AD53-933E-EE07-1EA5-FE5ECA35755E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754880" y="3429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7</xdr:col>
      <xdr:colOff>15240</xdr:colOff>
      <xdr:row>15</xdr:row>
      <xdr:rowOff>87630</xdr:rowOff>
    </xdr:from>
    <xdr:to>
      <xdr:col>14</xdr:col>
      <xdr:colOff>320040</xdr:colOff>
      <xdr:row>30</xdr:row>
      <xdr:rowOff>87630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7BDEFA0D-FFC5-2165-E749-32B54671825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762500" y="283083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449580</xdr:colOff>
      <xdr:row>0</xdr:row>
      <xdr:rowOff>57150</xdr:rowOff>
    </xdr:from>
    <xdr:to>
      <xdr:col>14</xdr:col>
      <xdr:colOff>144780</xdr:colOff>
      <xdr:row>15</xdr:row>
      <xdr:rowOff>57150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D7C6E6E5-1274-8A04-738B-1532CD714DA7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107180" y="5715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6</xdr:col>
      <xdr:colOff>441960</xdr:colOff>
      <xdr:row>15</xdr:row>
      <xdr:rowOff>156210</xdr:rowOff>
    </xdr:from>
    <xdr:to>
      <xdr:col>14</xdr:col>
      <xdr:colOff>137160</xdr:colOff>
      <xdr:row>30</xdr:row>
      <xdr:rowOff>156210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7E850D47-AAFF-F541-65DC-3F1C2B77E6FA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099560" y="289941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388620</xdr:colOff>
      <xdr:row>0</xdr:row>
      <xdr:rowOff>0</xdr:rowOff>
    </xdr:from>
    <xdr:to>
      <xdr:col>14</xdr:col>
      <xdr:colOff>83820</xdr:colOff>
      <xdr:row>15</xdr:row>
      <xdr:rowOff>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112B26E8-BA55-F54B-22CE-01556686525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046220" y="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6</xdr:col>
      <xdr:colOff>373380</xdr:colOff>
      <xdr:row>15</xdr:row>
      <xdr:rowOff>140970</xdr:rowOff>
    </xdr:from>
    <xdr:to>
      <xdr:col>14</xdr:col>
      <xdr:colOff>68580</xdr:colOff>
      <xdr:row>30</xdr:row>
      <xdr:rowOff>140970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7EB83496-E0D5-F123-CBB0-4E2B9E8EB38F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030980" y="288417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0</xdr:row>
      <xdr:rowOff>0</xdr:rowOff>
    </xdr:from>
    <xdr:to>
      <xdr:col>14</xdr:col>
      <xdr:colOff>304800</xdr:colOff>
      <xdr:row>15</xdr:row>
      <xdr:rowOff>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0C1BDCE9-C7A3-A7EF-A92E-34B1584805C5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267200" y="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6</xdr:col>
      <xdr:colOff>586740</xdr:colOff>
      <xdr:row>15</xdr:row>
      <xdr:rowOff>49530</xdr:rowOff>
    </xdr:from>
    <xdr:to>
      <xdr:col>14</xdr:col>
      <xdr:colOff>281940</xdr:colOff>
      <xdr:row>30</xdr:row>
      <xdr:rowOff>49530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EBB70F5D-5F61-26D5-1526-BF7F9752555E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244340" y="279273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22860</xdr:colOff>
      <xdr:row>0</xdr:row>
      <xdr:rowOff>3810</xdr:rowOff>
    </xdr:from>
    <xdr:to>
      <xdr:col>14</xdr:col>
      <xdr:colOff>327660</xdr:colOff>
      <xdr:row>15</xdr:row>
      <xdr:rowOff>3810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F07EA5C0-9C99-D7CC-F672-E49D56495FD4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290060" y="381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594360</xdr:colOff>
      <xdr:row>0</xdr:row>
      <xdr:rowOff>0</xdr:rowOff>
    </xdr:from>
    <xdr:to>
      <xdr:col>14</xdr:col>
      <xdr:colOff>289560</xdr:colOff>
      <xdr:row>15</xdr:row>
      <xdr:rowOff>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8D1FBA71-99DA-AC08-8192-0B31693CF3BC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251960" y="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7</xdr:col>
      <xdr:colOff>15240</xdr:colOff>
      <xdr:row>16</xdr:row>
      <xdr:rowOff>102870</xdr:rowOff>
    </xdr:from>
    <xdr:to>
      <xdr:col>14</xdr:col>
      <xdr:colOff>320040</xdr:colOff>
      <xdr:row>31</xdr:row>
      <xdr:rowOff>102870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B2988DC7-01E4-9293-93B7-FC0AC60F46F8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282440" y="302895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7620</xdr:colOff>
      <xdr:row>0</xdr:row>
      <xdr:rowOff>0</xdr:rowOff>
    </xdr:from>
    <xdr:to>
      <xdr:col>14</xdr:col>
      <xdr:colOff>312420</xdr:colOff>
      <xdr:row>15</xdr:row>
      <xdr:rowOff>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E6B094FC-C2B2-AE76-67CA-73ED51CEC4D5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274820" y="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6</xdr:col>
      <xdr:colOff>601980</xdr:colOff>
      <xdr:row>15</xdr:row>
      <xdr:rowOff>110490</xdr:rowOff>
    </xdr:from>
    <xdr:to>
      <xdr:col>14</xdr:col>
      <xdr:colOff>297180</xdr:colOff>
      <xdr:row>30</xdr:row>
      <xdr:rowOff>110490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DA9D3F75-267B-43CA-C4B3-8583AEC8CF2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259580" y="285369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7620</xdr:colOff>
      <xdr:row>0</xdr:row>
      <xdr:rowOff>0</xdr:rowOff>
    </xdr:from>
    <xdr:to>
      <xdr:col>14</xdr:col>
      <xdr:colOff>312420</xdr:colOff>
      <xdr:row>15</xdr:row>
      <xdr:rowOff>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65811C9E-543A-9C9C-9D2A-8D2C78E589B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274820" y="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7</xdr:col>
      <xdr:colOff>7620</xdr:colOff>
      <xdr:row>15</xdr:row>
      <xdr:rowOff>156210</xdr:rowOff>
    </xdr:from>
    <xdr:to>
      <xdr:col>14</xdr:col>
      <xdr:colOff>312420</xdr:colOff>
      <xdr:row>30</xdr:row>
      <xdr:rowOff>156210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82C167B0-A507-C5D7-B326-2942EB40514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274820" y="289941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15240</xdr:colOff>
      <xdr:row>0</xdr:row>
      <xdr:rowOff>0</xdr:rowOff>
    </xdr:from>
    <xdr:to>
      <xdr:col>14</xdr:col>
      <xdr:colOff>320040</xdr:colOff>
      <xdr:row>15</xdr:row>
      <xdr:rowOff>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E8047867-5A28-AD18-3441-D6B310C98684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282440" y="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7</xdr:col>
      <xdr:colOff>7620</xdr:colOff>
      <xdr:row>17</xdr:row>
      <xdr:rowOff>11430</xdr:rowOff>
    </xdr:from>
    <xdr:to>
      <xdr:col>14</xdr:col>
      <xdr:colOff>312420</xdr:colOff>
      <xdr:row>32</xdr:row>
      <xdr:rowOff>11430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BAE18D8D-3387-E804-E670-57E81E80FC8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274820" y="312039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7620</xdr:colOff>
      <xdr:row>0</xdr:row>
      <xdr:rowOff>0</xdr:rowOff>
    </xdr:from>
    <xdr:to>
      <xdr:col>14</xdr:col>
      <xdr:colOff>312420</xdr:colOff>
      <xdr:row>15</xdr:row>
      <xdr:rowOff>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A0A3BD8B-9ECB-1188-03C6-E0DB1930EC55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274820" y="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7</xdr:col>
      <xdr:colOff>15240</xdr:colOff>
      <xdr:row>18</xdr:row>
      <xdr:rowOff>95250</xdr:rowOff>
    </xdr:from>
    <xdr:to>
      <xdr:col>14</xdr:col>
      <xdr:colOff>320040</xdr:colOff>
      <xdr:row>33</xdr:row>
      <xdr:rowOff>95250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8C0AE88C-1817-C7AF-98ED-175133A01A17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282440" y="338709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acob Maurer" refreshedDate="45306.803658680554" createdVersion="8" refreshedVersion="8" minRefreshableVersion="3" recordCount="1260" xr:uid="{85DC9746-3723-4CF8-BB3F-1F24642EAB1C}">
  <cacheSource type="worksheet">
    <worksheetSource ref="K1:L1261" sheet="Transformed"/>
  </cacheSource>
  <cacheFields count="2">
    <cacheField name="team" numFmtId="0">
      <sharedItems count="124">
        <s v="938G"/>
        <s v="10Z"/>
        <s v="10B"/>
        <s v="5233J"/>
        <s v="10009A"/>
        <s v="98225F"/>
        <s v="12516A"/>
        <s v="84141B"/>
        <s v="938P"/>
        <s v="98225J"/>
        <s v="1010W"/>
        <s v="51581S"/>
        <s v="2605B"/>
        <s v="5327S"/>
        <s v="886N"/>
        <s v="8931R"/>
        <s v="7899A"/>
        <s v="938J"/>
        <s v="47874R"/>
        <s v="949Z"/>
        <s v="11101B"/>
        <s v="99621H"/>
        <s v="7700P"/>
        <s v="7700E"/>
        <s v="99621B"/>
        <s v="9364H"/>
        <s v="920B"/>
        <s v="90385R"/>
        <s v="938M"/>
        <s v="502X"/>
        <s v="10W"/>
        <s v="61002G"/>
        <s v="47874A"/>
        <s v="884A"/>
        <s v="938T"/>
        <s v="93199G"/>
        <s v="10E"/>
        <s v="938B"/>
        <s v="3512D"/>
        <s v="9364D"/>
        <s v="1091A"/>
        <s v="1469A"/>
        <s v="44244S"/>
        <s v="3484X"/>
        <s v="6526E"/>
        <s v="604X"/>
        <s v="98548C"/>
        <s v="10S"/>
        <s v="299Y"/>
        <s v="80001B"/>
        <s v="609B"/>
        <s v="3583A"/>
        <s v="1248X"/>
        <s v="10N"/>
        <s v="10G"/>
        <s v="10K"/>
        <s v="39313Z"/>
        <s v="16689D"/>
        <s v="938E"/>
        <s v="938W"/>
        <s v="16689X"/>
        <s v="8675R"/>
        <s v="51581E"/>
        <s v="90385G"/>
        <s v="10C"/>
        <s v="7784W"/>
        <s v="8675F"/>
        <s v="938F"/>
        <s v="10M"/>
        <s v="99621C"/>
        <s v="51777H"/>
        <s v="938A"/>
        <s v="938X"/>
        <s v="47000X"/>
        <s v="7899B"/>
        <s v="84141A"/>
        <s v="9364G"/>
        <s v="44244N"/>
        <s v="2681A"/>
        <s v="10F"/>
        <s v="6526H"/>
        <s v="16689E"/>
        <s v="10J"/>
        <s v="6526D"/>
        <s v="938C"/>
        <s v="884B"/>
        <s v="1687C"/>
        <s v="99621A"/>
        <s v="938H"/>
        <s v="537K"/>
        <s v="10012G"/>
        <s v="98040C"/>
        <s v="938U"/>
        <s v="502A"/>
        <s v="1698Y"/>
        <s v="9364C"/>
        <s v="652A"/>
        <s v="10T"/>
        <s v="938R"/>
        <s v="16689Z"/>
        <s v="10X"/>
        <s v="9805A"/>
        <s v="1168A"/>
        <s v="16689A"/>
        <s v="47874J"/>
        <s v="938K"/>
        <s v="1000A"/>
        <s v="5327K"/>
        <s v="609A"/>
        <s v="8675V"/>
        <s v="229V"/>
        <s v="98225H"/>
        <s v="84141X"/>
        <s v="98225M"/>
        <s v="938N"/>
        <s v="3512E"/>
        <s v="5155A"/>
        <s v="7700H"/>
        <s v="10A"/>
        <s v="3512B"/>
        <s v="1023E"/>
        <s v="917A"/>
        <s v="66475C"/>
        <s v="1258V"/>
      </sharedItems>
    </cacheField>
    <cacheField name="score" numFmtId="0">
      <sharedItems containsSemiMixedTypes="0" containsString="0" containsNumber="1" containsInteger="1" minValue="0" maxValue="223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acob Maurer" refreshedDate="45309.915157523152" createdVersion="8" refreshedVersion="8" minRefreshableVersion="3" recordCount="630" xr:uid="{BA0A0B28-C306-4582-9CEB-494D300BA5CD}">
  <cacheSource type="worksheet">
    <worksheetSource ref="N1:P631" sheet="Transformed"/>
  </cacheSource>
  <cacheFields count="3">
    <cacheField name="team1" numFmtId="0">
      <sharedItems count="124">
        <s v="938G"/>
        <s v="10009A"/>
        <s v="938P"/>
        <s v="2605B"/>
        <s v="7899A"/>
        <s v="11101B"/>
        <s v="99621B"/>
        <s v="938M"/>
        <s v="47874A"/>
        <s v="10E"/>
        <s v="1091A"/>
        <s v="6526E"/>
        <s v="299Y"/>
        <s v="1248X"/>
        <s v="39313Z"/>
        <s v="16689X"/>
        <s v="1010W"/>
        <s v="3512D"/>
        <s v="920B"/>
        <s v="5327S"/>
        <s v="7700P"/>
        <s v="949Z"/>
        <s v="3484X"/>
        <s v="9364D"/>
        <s v="10K"/>
        <s v="886N"/>
        <s v="90385R"/>
        <s v="3583A"/>
        <s v="47874R"/>
        <s v="10S"/>
        <s v="12516A"/>
        <s v="938T"/>
        <s v="938B"/>
        <s v="98225J"/>
        <s v="10W"/>
        <s v="10B"/>
        <s v="16689D"/>
        <s v="938E"/>
        <s v="609B"/>
        <s v="98225F"/>
        <s v="98548C"/>
        <s v="51581S"/>
        <s v="502X"/>
        <s v="9364H"/>
        <s v="604X"/>
        <s v="44244S"/>
        <s v="84141B"/>
        <s v="8675R"/>
        <s v="938W"/>
        <s v="1469A"/>
        <s v="884A"/>
        <s v="7700E"/>
        <s v="10Z"/>
        <s v="93199G"/>
        <s v="99621H"/>
        <s v="80001B"/>
        <s v="61002G"/>
        <s v="8931R"/>
        <s v="51581E"/>
        <s v="8675F"/>
        <s v="51777H"/>
        <s v="7899B"/>
        <s v="2681A"/>
        <s v="10J"/>
        <s v="1687C"/>
        <s v="10012G"/>
        <s v="1698Y"/>
        <s v="938R"/>
        <s v="1168A"/>
        <s v="1000A"/>
        <s v="229V"/>
        <s v="938N"/>
        <s v="10A"/>
        <s v="66475C"/>
        <s v="47000X"/>
        <s v="938H"/>
        <s v="8675V"/>
        <s v="537K"/>
        <s v="16689A"/>
        <s v="1023E"/>
        <s v="9805A"/>
        <s v="84141X"/>
        <s v="10X"/>
        <s v="7700H"/>
        <s v="7784W"/>
        <s v="938C"/>
        <s v="884B"/>
        <s v="99621C"/>
        <s v="938X"/>
        <s v="938K"/>
        <s v="44244N"/>
        <s v="6526H"/>
        <s v="609A"/>
        <s v="938U"/>
        <s v="6526D"/>
        <s v="938F"/>
        <s v="5155A"/>
        <s v="652A"/>
        <s v="5327K"/>
        <s v="98225M"/>
        <s v="10M"/>
        <s v="16689Z"/>
        <s v="47874J"/>
        <s v="10C"/>
        <s v="9364G"/>
        <s v="938A"/>
        <s v="1258V"/>
        <s v="10T"/>
        <s v="16689E"/>
        <s v="9364C"/>
        <s v="98225H"/>
        <s v="10F"/>
        <s v="90385G"/>
        <s v="3512B"/>
        <s v="98040C"/>
        <s v="502A"/>
        <s v="917A"/>
        <s v="3512E"/>
        <s v="84141A"/>
        <s v="10G"/>
        <s v="938J"/>
        <s v="5233J"/>
        <s v="10N"/>
        <s v="99621A"/>
      </sharedItems>
    </cacheField>
    <cacheField name="team2" numFmtId="0">
      <sharedItems count="124">
        <s v="10Z"/>
        <s v="98225F"/>
        <s v="98225J"/>
        <s v="5327S"/>
        <s v="938J"/>
        <s v="99621H"/>
        <s v="9364H"/>
        <s v="502X"/>
        <s v="884A"/>
        <s v="938B"/>
        <s v="1469A"/>
        <s v="604X"/>
        <s v="80001B"/>
        <s v="10N"/>
        <s v="16689D"/>
        <s v="8675R"/>
        <s v="61002G"/>
        <s v="44244S"/>
        <s v="938M"/>
        <s v="299Y"/>
        <s v="8931R"/>
        <s v="7700E"/>
        <s v="93199G"/>
        <s v="5233J"/>
        <s v="10G"/>
        <s v="10W"/>
        <s v="938W"/>
        <s v="51581S"/>
        <s v="84141B"/>
        <s v="10E"/>
        <s v="3512D"/>
        <s v="920B"/>
        <s v="16689X"/>
        <s v="2605B"/>
        <s v="7899A"/>
        <s v="1010W"/>
        <s v="39313Z"/>
        <s v="938E"/>
        <s v="6526E"/>
        <s v="1248X"/>
        <s v="11101B"/>
        <s v="938P"/>
        <s v="47874A"/>
        <s v="609B"/>
        <s v="1091A"/>
        <s v="47874R"/>
        <s v="10009A"/>
        <s v="938T"/>
        <s v="10S"/>
        <s v="886N"/>
        <s v="90385R"/>
        <s v="10B"/>
        <s v="99621B"/>
        <s v="949Z"/>
        <s v="10K"/>
        <s v="9364D"/>
        <s v="3484X"/>
        <s v="90385G"/>
        <s v="938F"/>
        <s v="938A"/>
        <s v="84141A"/>
        <s v="10F"/>
        <s v="6526D"/>
        <s v="99621A"/>
        <s v="98040C"/>
        <s v="9364C"/>
        <s v="16689Z"/>
        <s v="16689A"/>
        <s v="5327K"/>
        <s v="98225H"/>
        <s v="3512E"/>
        <s v="3512B"/>
        <s v="1258V"/>
        <s v="51581E"/>
        <s v="10C"/>
        <s v="47874J"/>
        <s v="652A"/>
        <s v="9364G"/>
        <s v="917A"/>
        <s v="10T"/>
        <s v="938K"/>
        <s v="5155A"/>
        <s v="502A"/>
        <s v="98225M"/>
        <s v="16689E"/>
        <s v="609A"/>
        <s v="537K"/>
        <s v="47000X"/>
        <s v="66475C"/>
        <s v="229V"/>
        <s v="2681A"/>
        <s v="1000A"/>
        <s v="10M"/>
        <s v="84141X"/>
        <s v="938C"/>
        <s v="938N"/>
        <s v="1687C"/>
        <s v="938U"/>
        <s v="10A"/>
        <s v="9805A"/>
        <s v="10J"/>
        <s v="884B"/>
        <s v="938H"/>
        <s v="10012G"/>
        <s v="10X"/>
        <s v="1168A"/>
        <s v="7700H"/>
        <s v="51777H"/>
        <s v="1698Y"/>
        <s v="938X"/>
        <s v="1023E"/>
        <s v="7784W"/>
        <s v="44244N"/>
        <s v="8675V"/>
        <s v="7899B"/>
        <s v="8675F"/>
        <s v="3583A"/>
        <s v="938G"/>
        <s v="98548C"/>
        <s v="7700P"/>
        <s v="12516A"/>
        <s v="99621C"/>
        <s v="938R"/>
        <s v="6526H"/>
      </sharedItems>
    </cacheField>
    <cacheField name="score" numFmtId="0">
      <sharedItems containsSemiMixedTypes="0" containsString="0" containsNumber="1" containsInteger="1" minValue="0" maxValue="223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acob Maurer" refreshedDate="45310.555070949071" createdVersion="8" refreshedVersion="8" minRefreshableVersion="3" recordCount="1120" xr:uid="{5DAFEE64-21A6-428B-BF14-6C5D92BF37B0}">
  <cacheSource type="worksheet">
    <worksheetSource ref="R1:S1121" sheet="Transformed"/>
  </cacheSource>
  <cacheFields count="2">
    <cacheField name="team" numFmtId="0">
      <sharedItems count="124">
        <s v="938G"/>
        <s v="10Z"/>
        <s v="10B"/>
        <s v="5233J"/>
        <s v="10009A"/>
        <s v="98225F"/>
        <s v="12516A"/>
        <s v="84141B"/>
        <s v="938P"/>
        <s v="98225J"/>
        <s v="1010W"/>
        <s v="51581S"/>
        <s v="2605B"/>
        <s v="5327S"/>
        <s v="886N"/>
        <s v="8931R"/>
        <s v="7899A"/>
        <s v="938J"/>
        <s v="47874R"/>
        <s v="949Z"/>
        <s v="11101B"/>
        <s v="99621H"/>
        <s v="7700P"/>
        <s v="7700E"/>
        <s v="99621B"/>
        <s v="9364H"/>
        <s v="920B"/>
        <s v="90385R"/>
        <s v="938M"/>
        <s v="502X"/>
        <s v="10W"/>
        <s v="61002G"/>
        <s v="47874A"/>
        <s v="884A"/>
        <s v="938T"/>
        <s v="93199G"/>
        <s v="10E"/>
        <s v="938B"/>
        <s v="3512D"/>
        <s v="9364D"/>
        <s v="1091A"/>
        <s v="1469A"/>
        <s v="44244S"/>
        <s v="3484X"/>
        <s v="6526E"/>
        <s v="604X"/>
        <s v="98548C"/>
        <s v="10S"/>
        <s v="299Y"/>
        <s v="80001B"/>
        <s v="609B"/>
        <s v="3583A"/>
        <s v="1248X"/>
        <s v="10N"/>
        <s v="10G"/>
        <s v="10K"/>
        <s v="39313Z"/>
        <s v="16689D"/>
        <s v="938E"/>
        <s v="938W"/>
        <s v="16689X"/>
        <s v="8675R"/>
        <s v="51581E"/>
        <s v="90385G"/>
        <s v="10C"/>
        <s v="7784W"/>
        <s v="8675F"/>
        <s v="938F"/>
        <s v="10M"/>
        <s v="99621C"/>
        <s v="51777H"/>
        <s v="938A"/>
        <s v="938X"/>
        <s v="47000X"/>
        <s v="7899B"/>
        <s v="84141A"/>
        <s v="9364G"/>
        <s v="44244N"/>
        <s v="2681A"/>
        <s v="10F"/>
        <s v="6526H"/>
        <s v="16689E"/>
        <s v="10J"/>
        <s v="6526D"/>
        <s v="938C"/>
        <s v="884B"/>
        <s v="1687C"/>
        <s v="99621A"/>
        <s v="938H"/>
        <s v="537K"/>
        <s v="10012G"/>
        <s v="98040C"/>
        <s v="938U"/>
        <s v="502A"/>
        <s v="1698Y"/>
        <s v="9364C"/>
        <s v="652A"/>
        <s v="10T"/>
        <s v="938R"/>
        <s v="16689Z"/>
        <s v="10X"/>
        <s v="9805A"/>
        <s v="1168A"/>
        <s v="16689A"/>
        <s v="47874J"/>
        <s v="938K"/>
        <s v="1000A"/>
        <s v="5327K"/>
        <s v="609A"/>
        <s v="8675V"/>
        <s v="229V"/>
        <s v="98225H"/>
        <s v="84141X"/>
        <s v="98225M"/>
        <s v="938N"/>
        <s v="3512E"/>
        <s v="5155A"/>
        <s v="7700H"/>
        <s v="10A"/>
        <s v="3512B"/>
        <s v="1023E"/>
        <s v="917A"/>
        <s v="66475C"/>
        <s v="1258V"/>
      </sharedItems>
    </cacheField>
    <cacheField name="score" numFmtId="0">
      <sharedItems containsSemiMixedTypes="0" containsString="0" containsNumber="1" containsInteger="1" minValue="0" maxValue="223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acob Maurer" refreshedDate="45310.58337847222" createdVersion="8" refreshedVersion="8" minRefreshableVersion="3" recordCount="560" xr:uid="{86BFC3A6-D757-467A-8BD3-F40C0AD0FC7C}">
  <cacheSource type="worksheet">
    <worksheetSource ref="U1:W561" sheet="Transformed"/>
  </cacheSource>
  <cacheFields count="3">
    <cacheField name="team1" numFmtId="0">
      <sharedItems count="124">
        <s v="938G"/>
        <s v="10009A"/>
        <s v="938P"/>
        <s v="2605B"/>
        <s v="7899A"/>
        <s v="11101B"/>
        <s v="99621B"/>
        <s v="938M"/>
        <s v="47874A"/>
        <s v="10E"/>
        <s v="1091A"/>
        <s v="6526E"/>
        <s v="299Y"/>
        <s v="1248X"/>
        <s v="39313Z"/>
        <s v="16689X"/>
        <s v="1010W"/>
        <s v="3512D"/>
        <s v="920B"/>
        <s v="5327S"/>
        <s v="7700P"/>
        <s v="949Z"/>
        <s v="3484X"/>
        <s v="9364D"/>
        <s v="10K"/>
        <s v="886N"/>
        <s v="90385R"/>
        <s v="3583A"/>
        <s v="47874R"/>
        <s v="10S"/>
        <s v="12516A"/>
        <s v="938T"/>
        <s v="938B"/>
        <s v="98225J"/>
        <s v="10W"/>
        <s v="10B"/>
        <s v="16689D"/>
        <s v="938E"/>
        <s v="609B"/>
        <s v="98225F"/>
        <s v="98548C"/>
        <s v="51581S"/>
        <s v="502X"/>
        <s v="9364H"/>
        <s v="604X"/>
        <s v="44244S"/>
        <s v="84141B"/>
        <s v="8675R"/>
        <s v="938W"/>
        <s v="1469A"/>
        <s v="884A"/>
        <s v="7700E"/>
        <s v="10Z"/>
        <s v="93199G"/>
        <s v="99621H"/>
        <s v="80001B"/>
        <s v="61002G"/>
        <s v="8931R"/>
        <s v="51581E"/>
        <s v="8675F"/>
        <s v="51777H"/>
        <s v="7899B"/>
        <s v="2681A"/>
        <s v="10J"/>
        <s v="1687C"/>
        <s v="10012G"/>
        <s v="1698Y"/>
        <s v="938R"/>
        <s v="1168A"/>
        <s v="1000A"/>
        <s v="229V"/>
        <s v="938N"/>
        <s v="10A"/>
        <s v="66475C"/>
        <s v="47000X"/>
        <s v="938H"/>
        <s v="8675V"/>
        <s v="537K"/>
        <s v="16689A"/>
        <s v="1023E"/>
        <s v="9805A"/>
        <s v="84141X"/>
        <s v="10X"/>
        <s v="7700H"/>
        <s v="7784W"/>
        <s v="938C"/>
        <s v="884B"/>
        <s v="99621C"/>
        <s v="938X"/>
        <s v="938K"/>
        <s v="44244N"/>
        <s v="6526H"/>
        <s v="609A"/>
        <s v="938U"/>
        <s v="6526D"/>
        <s v="938F"/>
        <s v="5155A"/>
        <s v="652A"/>
        <s v="5327K"/>
        <s v="98225M"/>
        <s v="10M"/>
        <s v="16689Z"/>
        <s v="47874J"/>
        <s v="10C"/>
        <s v="9364G"/>
        <s v="938A"/>
        <s v="1258V"/>
        <s v="10T"/>
        <s v="16689E"/>
        <s v="9364C"/>
        <s v="98225H"/>
        <s v="10F"/>
        <s v="90385G"/>
        <s v="3512B"/>
        <s v="98040C"/>
        <s v="502A"/>
        <s v="917A"/>
        <s v="3512E"/>
        <s v="84141A"/>
        <s v="10G"/>
        <s v="938J"/>
        <s v="5233J"/>
        <s v="10N"/>
        <s v="99621A"/>
      </sharedItems>
    </cacheField>
    <cacheField name="team2" numFmtId="0">
      <sharedItems count="124">
        <s v="10Z"/>
        <s v="98225F"/>
        <s v="98225J"/>
        <s v="5327S"/>
        <s v="938J"/>
        <s v="99621H"/>
        <s v="9364H"/>
        <s v="502X"/>
        <s v="884A"/>
        <s v="938B"/>
        <s v="1469A"/>
        <s v="604X"/>
        <s v="80001B"/>
        <s v="10N"/>
        <s v="16689D"/>
        <s v="8675R"/>
        <s v="61002G"/>
        <s v="44244S"/>
        <s v="938M"/>
        <s v="299Y"/>
        <s v="8931R"/>
        <s v="7700E"/>
        <s v="93199G"/>
        <s v="5233J"/>
        <s v="10G"/>
        <s v="10W"/>
        <s v="938W"/>
        <s v="51581S"/>
        <s v="84141B"/>
        <s v="10E"/>
        <s v="3512D"/>
        <s v="920B"/>
        <s v="16689X"/>
        <s v="2605B"/>
        <s v="7899A"/>
        <s v="1010W"/>
        <s v="39313Z"/>
        <s v="938E"/>
        <s v="6526E"/>
        <s v="1248X"/>
        <s v="11101B"/>
        <s v="938P"/>
        <s v="47874A"/>
        <s v="609B"/>
        <s v="1091A"/>
        <s v="47874R"/>
        <s v="10009A"/>
        <s v="938T"/>
        <s v="10S"/>
        <s v="886N"/>
        <s v="90385R"/>
        <s v="10B"/>
        <s v="99621B"/>
        <s v="949Z"/>
        <s v="10K"/>
        <s v="9364D"/>
        <s v="3484X"/>
        <s v="90385G"/>
        <s v="938F"/>
        <s v="938A"/>
        <s v="84141A"/>
        <s v="10F"/>
        <s v="6526D"/>
        <s v="99621A"/>
        <s v="98040C"/>
        <s v="9364C"/>
        <s v="16689Z"/>
        <s v="16689A"/>
        <s v="5327K"/>
        <s v="98225H"/>
        <s v="3512E"/>
        <s v="3512B"/>
        <s v="1258V"/>
        <s v="51581E"/>
        <s v="10C"/>
        <s v="47874J"/>
        <s v="652A"/>
        <s v="9364G"/>
        <s v="917A"/>
        <s v="10T"/>
        <s v="938K"/>
        <s v="5155A"/>
        <s v="502A"/>
        <s v="98225M"/>
        <s v="16689E"/>
        <s v="609A"/>
        <s v="537K"/>
        <s v="47000X"/>
        <s v="66475C"/>
        <s v="229V"/>
        <s v="2681A"/>
        <s v="1000A"/>
        <s v="10M"/>
        <s v="84141X"/>
        <s v="938C"/>
        <s v="938N"/>
        <s v="1687C"/>
        <s v="938U"/>
        <s v="10A"/>
        <s v="9805A"/>
        <s v="10J"/>
        <s v="884B"/>
        <s v="938H"/>
        <s v="10012G"/>
        <s v="10X"/>
        <s v="1168A"/>
        <s v="7700H"/>
        <s v="51777H"/>
        <s v="1698Y"/>
        <s v="938X"/>
        <s v="1023E"/>
        <s v="7784W"/>
        <s v="44244N"/>
        <s v="8675V"/>
        <s v="7899B"/>
        <s v="3583A"/>
        <s v="938G"/>
        <s v="98548C"/>
        <s v="7700P"/>
        <s v="12516A"/>
        <s v="99621C"/>
        <s v="8675F"/>
        <s v="938R"/>
        <s v="6526H"/>
      </sharedItems>
    </cacheField>
    <cacheField name="score" numFmtId="0">
      <sharedItems containsSemiMixedTypes="0" containsString="0" containsNumber="1" containsInteger="1" minValue="0" maxValue="223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260">
  <r>
    <x v="0"/>
    <n v="59"/>
  </r>
  <r>
    <x v="1"/>
    <n v="59"/>
  </r>
  <r>
    <x v="2"/>
    <n v="107"/>
  </r>
  <r>
    <x v="3"/>
    <n v="107"/>
  </r>
  <r>
    <x v="4"/>
    <n v="135"/>
  </r>
  <r>
    <x v="5"/>
    <n v="135"/>
  </r>
  <r>
    <x v="6"/>
    <n v="56"/>
  </r>
  <r>
    <x v="7"/>
    <n v="56"/>
  </r>
  <r>
    <x v="8"/>
    <n v="48"/>
  </r>
  <r>
    <x v="9"/>
    <n v="48"/>
  </r>
  <r>
    <x v="10"/>
    <n v="122"/>
  </r>
  <r>
    <x v="11"/>
    <n v="122"/>
  </r>
  <r>
    <x v="12"/>
    <n v="72"/>
  </r>
  <r>
    <x v="13"/>
    <n v="72"/>
  </r>
  <r>
    <x v="14"/>
    <n v="115"/>
  </r>
  <r>
    <x v="15"/>
    <n v="115"/>
  </r>
  <r>
    <x v="16"/>
    <n v="14"/>
  </r>
  <r>
    <x v="17"/>
    <n v="14"/>
  </r>
  <r>
    <x v="18"/>
    <n v="144"/>
  </r>
  <r>
    <x v="19"/>
    <n v="144"/>
  </r>
  <r>
    <x v="20"/>
    <n v="113"/>
  </r>
  <r>
    <x v="21"/>
    <n v="113"/>
  </r>
  <r>
    <x v="22"/>
    <n v="30"/>
  </r>
  <r>
    <x v="23"/>
    <n v="30"/>
  </r>
  <r>
    <x v="24"/>
    <n v="110"/>
  </r>
  <r>
    <x v="25"/>
    <n v="110"/>
  </r>
  <r>
    <x v="26"/>
    <n v="65"/>
  </r>
  <r>
    <x v="27"/>
    <n v="65"/>
  </r>
  <r>
    <x v="28"/>
    <n v="78"/>
  </r>
  <r>
    <x v="29"/>
    <n v="78"/>
  </r>
  <r>
    <x v="30"/>
    <n v="82"/>
  </r>
  <r>
    <x v="31"/>
    <n v="82"/>
  </r>
  <r>
    <x v="32"/>
    <n v="47"/>
  </r>
  <r>
    <x v="33"/>
    <n v="47"/>
  </r>
  <r>
    <x v="34"/>
    <n v="73"/>
  </r>
  <r>
    <x v="35"/>
    <n v="73"/>
  </r>
  <r>
    <x v="36"/>
    <n v="53"/>
  </r>
  <r>
    <x v="37"/>
    <n v="53"/>
  </r>
  <r>
    <x v="38"/>
    <n v="116"/>
  </r>
  <r>
    <x v="39"/>
    <n v="116"/>
  </r>
  <r>
    <x v="40"/>
    <n v="118"/>
  </r>
  <r>
    <x v="41"/>
    <n v="118"/>
  </r>
  <r>
    <x v="42"/>
    <n v="70"/>
  </r>
  <r>
    <x v="43"/>
    <n v="70"/>
  </r>
  <r>
    <x v="44"/>
    <n v="110"/>
  </r>
  <r>
    <x v="45"/>
    <n v="110"/>
  </r>
  <r>
    <x v="46"/>
    <n v="87"/>
  </r>
  <r>
    <x v="47"/>
    <n v="87"/>
  </r>
  <r>
    <x v="48"/>
    <n v="88"/>
  </r>
  <r>
    <x v="49"/>
    <n v="88"/>
  </r>
  <r>
    <x v="50"/>
    <n v="47"/>
  </r>
  <r>
    <x v="51"/>
    <n v="47"/>
  </r>
  <r>
    <x v="52"/>
    <n v="80"/>
  </r>
  <r>
    <x v="53"/>
    <n v="80"/>
  </r>
  <r>
    <x v="54"/>
    <n v="78"/>
  </r>
  <r>
    <x v="55"/>
    <n v="78"/>
  </r>
  <r>
    <x v="56"/>
    <n v="122"/>
  </r>
  <r>
    <x v="57"/>
    <n v="122"/>
  </r>
  <r>
    <x v="58"/>
    <n v="15"/>
  </r>
  <r>
    <x v="59"/>
    <n v="15"/>
  </r>
  <r>
    <x v="60"/>
    <n v="70"/>
  </r>
  <r>
    <x v="61"/>
    <n v="70"/>
  </r>
  <r>
    <x v="24"/>
    <n v="120"/>
  </r>
  <r>
    <x v="2"/>
    <n v="120"/>
  </r>
  <r>
    <x v="10"/>
    <n v="108"/>
  </r>
  <r>
    <x v="31"/>
    <n v="108"/>
  </r>
  <r>
    <x v="37"/>
    <n v="25"/>
  </r>
  <r>
    <x v="16"/>
    <n v="25"/>
  </r>
  <r>
    <x v="38"/>
    <n v="63"/>
  </r>
  <r>
    <x v="42"/>
    <n v="63"/>
  </r>
  <r>
    <x v="25"/>
    <n v="111"/>
  </r>
  <r>
    <x v="34"/>
    <n v="111"/>
  </r>
  <r>
    <x v="26"/>
    <n v="27"/>
  </r>
  <r>
    <x v="28"/>
    <n v="27"/>
  </r>
  <r>
    <x v="20"/>
    <n v="117"/>
  </r>
  <r>
    <x v="36"/>
    <n v="117"/>
  </r>
  <r>
    <x v="13"/>
    <n v="128"/>
  </r>
  <r>
    <x v="33"/>
    <n v="128"/>
  </r>
  <r>
    <x v="40"/>
    <n v="72"/>
  </r>
  <r>
    <x v="21"/>
    <n v="72"/>
  </r>
  <r>
    <x v="22"/>
    <n v="84"/>
  </r>
  <r>
    <x v="48"/>
    <n v="84"/>
  </r>
  <r>
    <x v="17"/>
    <n v="77"/>
  </r>
  <r>
    <x v="53"/>
    <n v="77"/>
  </r>
  <r>
    <x v="19"/>
    <n v="125"/>
  </r>
  <r>
    <x v="15"/>
    <n v="125"/>
  </r>
  <r>
    <x v="41"/>
    <n v="59"/>
  </r>
  <r>
    <x v="0"/>
    <n v="59"/>
  </r>
  <r>
    <x v="43"/>
    <n v="62"/>
  </r>
  <r>
    <x v="23"/>
    <n v="62"/>
  </r>
  <r>
    <x v="58"/>
    <n v="78"/>
  </r>
  <r>
    <x v="7"/>
    <n v="78"/>
  </r>
  <r>
    <x v="39"/>
    <n v="96"/>
  </r>
  <r>
    <x v="35"/>
    <n v="96"/>
  </r>
  <r>
    <x v="50"/>
    <n v="58"/>
  </r>
  <r>
    <x v="46"/>
    <n v="58"/>
  </r>
  <r>
    <x v="55"/>
    <n v="80"/>
  </r>
  <r>
    <x v="3"/>
    <n v="80"/>
  </r>
  <r>
    <x v="9"/>
    <n v="102"/>
  </r>
  <r>
    <x v="12"/>
    <n v="102"/>
  </r>
  <r>
    <x v="14"/>
    <n v="153"/>
  </r>
  <r>
    <x v="54"/>
    <n v="153"/>
  </r>
  <r>
    <x v="32"/>
    <n v="36"/>
  </r>
  <r>
    <x v="8"/>
    <n v="36"/>
  </r>
  <r>
    <x v="27"/>
    <n v="100"/>
  </r>
  <r>
    <x v="5"/>
    <n v="100"/>
  </r>
  <r>
    <x v="60"/>
    <n v="47"/>
  </r>
  <r>
    <x v="52"/>
    <n v="47"/>
  </r>
  <r>
    <x v="51"/>
    <n v="170"/>
  </r>
  <r>
    <x v="30"/>
    <n v="170"/>
  </r>
  <r>
    <x v="61"/>
    <n v="65"/>
  </r>
  <r>
    <x v="57"/>
    <n v="65"/>
  </r>
  <r>
    <x v="18"/>
    <n v="115"/>
  </r>
  <r>
    <x v="1"/>
    <n v="115"/>
  </r>
  <r>
    <x v="44"/>
    <n v="108"/>
  </r>
  <r>
    <x v="4"/>
    <n v="108"/>
  </r>
  <r>
    <x v="47"/>
    <n v="98"/>
  </r>
  <r>
    <x v="59"/>
    <n v="98"/>
  </r>
  <r>
    <x v="29"/>
    <n v="136"/>
  </r>
  <r>
    <x v="49"/>
    <n v="136"/>
  </r>
  <r>
    <x v="6"/>
    <n v="35"/>
  </r>
  <r>
    <x v="11"/>
    <n v="35"/>
  </r>
  <r>
    <x v="45"/>
    <n v="63"/>
  </r>
  <r>
    <x v="56"/>
    <n v="63"/>
  </r>
  <r>
    <x v="34"/>
    <n v="42"/>
  </r>
  <r>
    <x v="7"/>
    <n v="42"/>
  </r>
  <r>
    <x v="20"/>
    <n v="133"/>
  </r>
  <r>
    <x v="53"/>
    <n v="133"/>
  </r>
  <r>
    <x v="37"/>
    <n v="82"/>
  </r>
  <r>
    <x v="42"/>
    <n v="82"/>
  </r>
  <r>
    <x v="33"/>
    <n v="75"/>
  </r>
  <r>
    <x v="22"/>
    <n v="75"/>
  </r>
  <r>
    <x v="9"/>
    <n v="40"/>
  </r>
  <r>
    <x v="36"/>
    <n v="40"/>
  </r>
  <r>
    <x v="43"/>
    <n v="74"/>
  </r>
  <r>
    <x v="27"/>
    <n v="74"/>
  </r>
  <r>
    <x v="30"/>
    <n v="58"/>
  </r>
  <r>
    <x v="38"/>
    <n v="58"/>
  </r>
  <r>
    <x v="32"/>
    <n v="91"/>
  </r>
  <r>
    <x v="40"/>
    <n v="91"/>
  </r>
  <r>
    <x v="39"/>
    <n v="147"/>
  </r>
  <r>
    <x v="41"/>
    <n v="147"/>
  </r>
  <r>
    <x v="8"/>
    <n v="7"/>
  </r>
  <r>
    <x v="3"/>
    <n v="7"/>
  </r>
  <r>
    <x v="47"/>
    <n v="62"/>
  </r>
  <r>
    <x v="15"/>
    <n v="62"/>
  </r>
  <r>
    <x v="52"/>
    <n v="38"/>
  </r>
  <r>
    <x v="18"/>
    <n v="38"/>
  </r>
  <r>
    <x v="2"/>
    <n v="140"/>
  </r>
  <r>
    <x v="49"/>
    <n v="140"/>
  </r>
  <r>
    <x v="35"/>
    <n v="30"/>
  </r>
  <r>
    <x v="54"/>
    <n v="30"/>
  </r>
  <r>
    <x v="14"/>
    <n v="111"/>
  </r>
  <r>
    <x v="31"/>
    <n v="111"/>
  </r>
  <r>
    <x v="48"/>
    <n v="39"/>
  </r>
  <r>
    <x v="45"/>
    <n v="39"/>
  </r>
  <r>
    <x v="57"/>
    <n v="55"/>
  </r>
  <r>
    <x v="26"/>
    <n v="55"/>
  </r>
  <r>
    <x v="11"/>
    <n v="107"/>
  </r>
  <r>
    <x v="55"/>
    <n v="107"/>
  </r>
  <r>
    <x v="44"/>
    <n v="30"/>
  </r>
  <r>
    <x v="21"/>
    <n v="30"/>
  </r>
  <r>
    <x v="25"/>
    <n v="93"/>
  </r>
  <r>
    <x v="6"/>
    <n v="93"/>
  </r>
  <r>
    <x v="58"/>
    <n v="22"/>
  </r>
  <r>
    <x v="60"/>
    <n v="22"/>
  </r>
  <r>
    <x v="0"/>
    <n v="133"/>
  </r>
  <r>
    <x v="29"/>
    <n v="133"/>
  </r>
  <r>
    <x v="50"/>
    <n v="77"/>
  </r>
  <r>
    <x v="12"/>
    <n v="77"/>
  </r>
  <r>
    <x v="61"/>
    <n v="118"/>
  </r>
  <r>
    <x v="19"/>
    <n v="118"/>
  </r>
  <r>
    <x v="5"/>
    <n v="84"/>
  </r>
  <r>
    <x v="17"/>
    <n v="84"/>
  </r>
  <r>
    <x v="1"/>
    <n v="67"/>
  </r>
  <r>
    <x v="28"/>
    <n v="67"/>
  </r>
  <r>
    <x v="46"/>
    <n v="53"/>
  </r>
  <r>
    <x v="16"/>
    <n v="53"/>
  </r>
  <r>
    <x v="13"/>
    <n v="105"/>
  </r>
  <r>
    <x v="23"/>
    <n v="105"/>
  </r>
  <r>
    <x v="24"/>
    <n v="95"/>
  </r>
  <r>
    <x v="10"/>
    <n v="95"/>
  </r>
  <r>
    <x v="51"/>
    <n v="97"/>
  </r>
  <r>
    <x v="59"/>
    <n v="97"/>
  </r>
  <r>
    <x v="4"/>
    <n v="88"/>
  </r>
  <r>
    <x v="56"/>
    <n v="88"/>
  </r>
  <r>
    <x v="35"/>
    <n v="26"/>
  </r>
  <r>
    <x v="36"/>
    <n v="26"/>
  </r>
  <r>
    <x v="43"/>
    <n v="67"/>
  </r>
  <r>
    <x v="31"/>
    <n v="67"/>
  </r>
  <r>
    <x v="57"/>
    <n v="49"/>
  </r>
  <r>
    <x v="47"/>
    <n v="49"/>
  </r>
  <r>
    <x v="18"/>
    <n v="71"/>
  </r>
  <r>
    <x v="58"/>
    <n v="71"/>
  </r>
  <r>
    <x v="14"/>
    <n v="138"/>
  </r>
  <r>
    <x v="34"/>
    <n v="138"/>
  </r>
  <r>
    <x v="12"/>
    <n v="63"/>
  </r>
  <r>
    <x v="44"/>
    <n v="63"/>
  </r>
  <r>
    <x v="37"/>
    <n v="78"/>
  </r>
  <r>
    <x v="30"/>
    <n v="78"/>
  </r>
  <r>
    <x v="55"/>
    <n v="140"/>
  </r>
  <r>
    <x v="61"/>
    <n v="140"/>
  </r>
  <r>
    <x v="22"/>
    <n v="81"/>
  </r>
  <r>
    <x v="15"/>
    <n v="81"/>
  </r>
  <r>
    <x v="11"/>
    <n v="98"/>
  </r>
  <r>
    <x v="52"/>
    <n v="98"/>
  </r>
  <r>
    <x v="28"/>
    <n v="115"/>
  </r>
  <r>
    <x v="3"/>
    <n v="115"/>
  </r>
  <r>
    <x v="40"/>
    <n v="93"/>
  </r>
  <r>
    <x v="20"/>
    <n v="93"/>
  </r>
  <r>
    <x v="39"/>
    <n v="80"/>
  </r>
  <r>
    <x v="2"/>
    <n v="80"/>
  </r>
  <r>
    <x v="50"/>
    <n v="27"/>
  </r>
  <r>
    <x v="21"/>
    <n v="27"/>
  </r>
  <r>
    <x v="10"/>
    <n v="118"/>
  </r>
  <r>
    <x v="56"/>
    <n v="118"/>
  </r>
  <r>
    <x v="29"/>
    <n v="96"/>
  </r>
  <r>
    <x v="8"/>
    <n v="96"/>
  </r>
  <r>
    <x v="5"/>
    <n v="106"/>
  </r>
  <r>
    <x v="16"/>
    <n v="106"/>
  </r>
  <r>
    <x v="25"/>
    <n v="57"/>
  </r>
  <r>
    <x v="7"/>
    <n v="57"/>
  </r>
  <r>
    <x v="17"/>
    <n v="40"/>
  </r>
  <r>
    <x v="49"/>
    <n v="40"/>
  </r>
  <r>
    <x v="46"/>
    <n v="37"/>
  </r>
  <r>
    <x v="59"/>
    <n v="37"/>
  </r>
  <r>
    <x v="26"/>
    <n v="121"/>
  </r>
  <r>
    <x v="1"/>
    <n v="121"/>
  </r>
  <r>
    <x v="6"/>
    <n v="40"/>
  </r>
  <r>
    <x v="54"/>
    <n v="40"/>
  </r>
  <r>
    <x v="13"/>
    <n v="143"/>
  </r>
  <r>
    <x v="0"/>
    <n v="143"/>
  </r>
  <r>
    <x v="45"/>
    <n v="65"/>
  </r>
  <r>
    <x v="53"/>
    <n v="65"/>
  </r>
  <r>
    <x v="4"/>
    <n v="119"/>
  </r>
  <r>
    <x v="41"/>
    <n v="119"/>
  </r>
  <r>
    <x v="42"/>
    <n v="135"/>
  </r>
  <r>
    <x v="32"/>
    <n v="135"/>
  </r>
  <r>
    <x v="9"/>
    <n v="106"/>
  </r>
  <r>
    <x v="24"/>
    <n v="106"/>
  </r>
  <r>
    <x v="27"/>
    <n v="45"/>
  </r>
  <r>
    <x v="38"/>
    <n v="45"/>
  </r>
  <r>
    <x v="33"/>
    <n v="104"/>
  </r>
  <r>
    <x v="48"/>
    <n v="104"/>
  </r>
  <r>
    <x v="51"/>
    <n v="96"/>
  </r>
  <r>
    <x v="23"/>
    <n v="96"/>
  </r>
  <r>
    <x v="60"/>
    <n v="64"/>
  </r>
  <r>
    <x v="19"/>
    <n v="64"/>
  </r>
  <r>
    <x v="58"/>
    <n v="45"/>
  </r>
  <r>
    <x v="50"/>
    <n v="45"/>
  </r>
  <r>
    <x v="11"/>
    <n v="155"/>
  </r>
  <r>
    <x v="44"/>
    <n v="155"/>
  </r>
  <r>
    <x v="22"/>
    <n v="45"/>
  </r>
  <r>
    <x v="3"/>
    <n v="45"/>
  </r>
  <r>
    <x v="26"/>
    <n v="117"/>
  </r>
  <r>
    <x v="56"/>
    <n v="117"/>
  </r>
  <r>
    <x v="16"/>
    <n v="111"/>
  </r>
  <r>
    <x v="49"/>
    <n v="111"/>
  </r>
  <r>
    <x v="12"/>
    <n v="48"/>
  </r>
  <r>
    <x v="57"/>
    <n v="48"/>
  </r>
  <r>
    <x v="7"/>
    <n v="90"/>
  </r>
  <r>
    <x v="30"/>
    <n v="90"/>
  </r>
  <r>
    <x v="45"/>
    <n v="98"/>
  </r>
  <r>
    <x v="15"/>
    <n v="98"/>
  </r>
  <r>
    <x v="61"/>
    <n v="109"/>
  </r>
  <r>
    <x v="35"/>
    <n v="109"/>
  </r>
  <r>
    <x v="29"/>
    <n v="131"/>
  </r>
  <r>
    <x v="21"/>
    <n v="131"/>
  </r>
  <r>
    <x v="39"/>
    <n v="102"/>
  </r>
  <r>
    <x v="1"/>
    <n v="102"/>
  </r>
  <r>
    <x v="31"/>
    <n v="48"/>
  </r>
  <r>
    <x v="42"/>
    <n v="48"/>
  </r>
  <r>
    <x v="59"/>
    <n v="32"/>
  </r>
  <r>
    <x v="40"/>
    <n v="32"/>
  </r>
  <r>
    <x v="25"/>
    <n v="68"/>
  </r>
  <r>
    <x v="8"/>
    <n v="68"/>
  </r>
  <r>
    <x v="41"/>
    <n v="97"/>
  </r>
  <r>
    <x v="18"/>
    <n v="97"/>
  </r>
  <r>
    <x v="60"/>
    <n v="69"/>
  </r>
  <r>
    <x v="36"/>
    <n v="69"/>
  </r>
  <r>
    <x v="33"/>
    <n v="104"/>
  </r>
  <r>
    <x v="4"/>
    <n v="104"/>
  </r>
  <r>
    <x v="54"/>
    <n v="44"/>
  </r>
  <r>
    <x v="28"/>
    <n v="44"/>
  </r>
  <r>
    <x v="51"/>
    <n v="91"/>
  </r>
  <r>
    <x v="17"/>
    <n v="91"/>
  </r>
  <r>
    <x v="46"/>
    <n v="93"/>
  </r>
  <r>
    <x v="9"/>
    <n v="93"/>
  </r>
  <r>
    <x v="19"/>
    <n v="104"/>
  </r>
  <r>
    <x v="34"/>
    <n v="104"/>
  </r>
  <r>
    <x v="27"/>
    <n v="106"/>
  </r>
  <r>
    <x v="13"/>
    <n v="106"/>
  </r>
  <r>
    <x v="55"/>
    <n v="140"/>
  </r>
  <r>
    <x v="10"/>
    <n v="140"/>
  </r>
  <r>
    <x v="32"/>
    <n v="67"/>
  </r>
  <r>
    <x v="48"/>
    <n v="67"/>
  </r>
  <r>
    <x v="43"/>
    <n v="142"/>
  </r>
  <r>
    <x v="20"/>
    <n v="142"/>
  </r>
  <r>
    <x v="6"/>
    <n v="49"/>
  </r>
  <r>
    <x v="24"/>
    <n v="49"/>
  </r>
  <r>
    <x v="2"/>
    <n v="94"/>
  </r>
  <r>
    <x v="47"/>
    <n v="94"/>
  </r>
  <r>
    <x v="38"/>
    <n v="53"/>
  </r>
  <r>
    <x v="5"/>
    <n v="53"/>
  </r>
  <r>
    <x v="0"/>
    <n v="113"/>
  </r>
  <r>
    <x v="53"/>
    <n v="113"/>
  </r>
  <r>
    <x v="23"/>
    <n v="63"/>
  </r>
  <r>
    <x v="37"/>
    <n v="63"/>
  </r>
  <r>
    <x v="52"/>
    <n v="132"/>
  </r>
  <r>
    <x v="14"/>
    <n v="132"/>
  </r>
  <r>
    <x v="36"/>
    <n v="49"/>
  </r>
  <r>
    <x v="50"/>
    <n v="49"/>
  </r>
  <r>
    <x v="46"/>
    <n v="75"/>
  </r>
  <r>
    <x v="28"/>
    <n v="75"/>
  </r>
  <r>
    <x v="7"/>
    <n v="100"/>
  </r>
  <r>
    <x v="42"/>
    <n v="100"/>
  </r>
  <r>
    <x v="56"/>
    <n v="39"/>
  </r>
  <r>
    <x v="8"/>
    <n v="39"/>
  </r>
  <r>
    <x v="51"/>
    <n v="116"/>
  </r>
  <r>
    <x v="31"/>
    <n v="116"/>
  </r>
  <r>
    <x v="11"/>
    <n v="108"/>
  </r>
  <r>
    <x v="27"/>
    <n v="108"/>
  </r>
  <r>
    <x v="32"/>
    <n v="52"/>
  </r>
  <r>
    <x v="12"/>
    <n v="52"/>
  </r>
  <r>
    <x v="60"/>
    <n v="45"/>
  </r>
  <r>
    <x v="48"/>
    <n v="45"/>
  </r>
  <r>
    <x v="3"/>
    <n v="108"/>
  </r>
  <r>
    <x v="40"/>
    <n v="108"/>
  </r>
  <r>
    <x v="47"/>
    <n v="30"/>
  </r>
  <r>
    <x v="17"/>
    <n v="30"/>
  </r>
  <r>
    <x v="33"/>
    <n v="73"/>
  </r>
  <r>
    <x v="58"/>
    <n v="73"/>
  </r>
  <r>
    <x v="26"/>
    <n v="80"/>
  </r>
  <r>
    <x v="13"/>
    <n v="80"/>
  </r>
  <r>
    <x v="43"/>
    <n v="85"/>
  </r>
  <r>
    <x v="61"/>
    <n v="85"/>
  </r>
  <r>
    <x v="23"/>
    <n v="127"/>
  </r>
  <r>
    <x v="35"/>
    <n v="127"/>
  </r>
  <r>
    <x v="55"/>
    <n v="34"/>
  </r>
  <r>
    <x v="59"/>
    <n v="34"/>
  </r>
  <r>
    <x v="0"/>
    <n v="56"/>
  </r>
  <r>
    <x v="52"/>
    <n v="56"/>
  </r>
  <r>
    <x v="4"/>
    <n v="97"/>
  </r>
  <r>
    <x v="30"/>
    <n v="97"/>
  </r>
  <r>
    <x v="6"/>
    <n v="40"/>
  </r>
  <r>
    <x v="2"/>
    <n v="40"/>
  </r>
  <r>
    <x v="18"/>
    <n v="88"/>
  </r>
  <r>
    <x v="53"/>
    <n v="88"/>
  </r>
  <r>
    <x v="37"/>
    <n v="43"/>
  </r>
  <r>
    <x v="45"/>
    <n v="43"/>
  </r>
  <r>
    <x v="49"/>
    <n v="60"/>
  </r>
  <r>
    <x v="1"/>
    <n v="60"/>
  </r>
  <r>
    <x v="22"/>
    <n v="115"/>
  </r>
  <r>
    <x v="57"/>
    <n v="115"/>
  </r>
  <r>
    <x v="9"/>
    <n v="40"/>
  </r>
  <r>
    <x v="34"/>
    <n v="40"/>
  </r>
  <r>
    <x v="19"/>
    <n v="65"/>
  </r>
  <r>
    <x v="54"/>
    <n v="65"/>
  </r>
  <r>
    <x v="39"/>
    <n v="113"/>
  </r>
  <r>
    <x v="29"/>
    <n v="113"/>
  </r>
  <r>
    <x v="24"/>
    <n v="73"/>
  </r>
  <r>
    <x v="38"/>
    <n v="73"/>
  </r>
  <r>
    <x v="21"/>
    <n v="86"/>
  </r>
  <r>
    <x v="16"/>
    <n v="86"/>
  </r>
  <r>
    <x v="44"/>
    <n v="75"/>
  </r>
  <r>
    <x v="41"/>
    <n v="75"/>
  </r>
  <r>
    <x v="14"/>
    <n v="157"/>
  </r>
  <r>
    <x v="20"/>
    <n v="157"/>
  </r>
  <r>
    <x v="25"/>
    <n v="52"/>
  </r>
  <r>
    <x v="15"/>
    <n v="52"/>
  </r>
  <r>
    <x v="5"/>
    <n v="89"/>
  </r>
  <r>
    <x v="10"/>
    <n v="89"/>
  </r>
  <r>
    <x v="56"/>
    <n v="60"/>
  </r>
  <r>
    <x v="27"/>
    <n v="60"/>
  </r>
  <r>
    <x v="47"/>
    <n v="41"/>
  </r>
  <r>
    <x v="28"/>
    <n v="41"/>
  </r>
  <r>
    <x v="1"/>
    <n v="86"/>
  </r>
  <r>
    <x v="33"/>
    <n v="86"/>
  </r>
  <r>
    <x v="51"/>
    <n v="93"/>
  </r>
  <r>
    <x v="6"/>
    <n v="93"/>
  </r>
  <r>
    <x v="34"/>
    <n v="59"/>
  </r>
  <r>
    <x v="8"/>
    <n v="59"/>
  </r>
  <r>
    <x v="12"/>
    <n v="148"/>
  </r>
  <r>
    <x v="48"/>
    <n v="148"/>
  </r>
  <r>
    <x v="57"/>
    <n v="54"/>
  </r>
  <r>
    <x v="36"/>
    <n v="54"/>
  </r>
  <r>
    <x v="2"/>
    <n v="72"/>
  </r>
  <r>
    <x v="42"/>
    <n v="72"/>
  </r>
  <r>
    <x v="59"/>
    <n v="60"/>
  </r>
  <r>
    <x v="53"/>
    <n v="60"/>
  </r>
  <r>
    <x v="31"/>
    <n v="97"/>
  </r>
  <r>
    <x v="21"/>
    <n v="97"/>
  </r>
  <r>
    <x v="32"/>
    <n v="80"/>
  </r>
  <r>
    <x v="3"/>
    <n v="80"/>
  </r>
  <r>
    <x v="7"/>
    <n v="118"/>
  </r>
  <r>
    <x v="13"/>
    <n v="118"/>
  </r>
  <r>
    <x v="11"/>
    <n v="98"/>
  </r>
  <r>
    <x v="61"/>
    <n v="98"/>
  </r>
  <r>
    <x v="40"/>
    <n v="86"/>
  </r>
  <r>
    <x v="0"/>
    <n v="86"/>
  </r>
  <r>
    <x v="29"/>
    <n v="130"/>
  </r>
  <r>
    <x v="45"/>
    <n v="130"/>
  </r>
  <r>
    <x v="38"/>
    <n v="35"/>
  </r>
  <r>
    <x v="23"/>
    <n v="35"/>
  </r>
  <r>
    <x v="22"/>
    <n v="144"/>
  </r>
  <r>
    <x v="24"/>
    <n v="144"/>
  </r>
  <r>
    <x v="5"/>
    <n v="69"/>
  </r>
  <r>
    <x v="50"/>
    <n v="69"/>
  </r>
  <r>
    <x v="35"/>
    <n v="103"/>
  </r>
  <r>
    <x v="30"/>
    <n v="103"/>
  </r>
  <r>
    <x v="16"/>
    <n v="40"/>
  </r>
  <r>
    <x v="58"/>
    <n v="40"/>
  </r>
  <r>
    <x v="14"/>
    <n v="84"/>
  </r>
  <r>
    <x v="19"/>
    <n v="84"/>
  </r>
  <r>
    <x v="4"/>
    <n v="105"/>
  </r>
  <r>
    <x v="49"/>
    <n v="105"/>
  </r>
  <r>
    <x v="37"/>
    <n v="48"/>
  </r>
  <r>
    <x v="54"/>
    <n v="48"/>
  </r>
  <r>
    <x v="20"/>
    <n v="155"/>
  </r>
  <r>
    <x v="15"/>
    <n v="155"/>
  </r>
  <r>
    <x v="18"/>
    <n v="95"/>
  </r>
  <r>
    <x v="55"/>
    <n v="95"/>
  </r>
  <r>
    <x v="25"/>
    <n v="88"/>
  </r>
  <r>
    <x v="46"/>
    <n v="88"/>
  </r>
  <r>
    <x v="60"/>
    <n v="82"/>
  </r>
  <r>
    <x v="10"/>
    <n v="82"/>
  </r>
  <r>
    <x v="44"/>
    <n v="65"/>
  </r>
  <r>
    <x v="43"/>
    <n v="65"/>
  </r>
  <r>
    <x v="26"/>
    <n v="110"/>
  </r>
  <r>
    <x v="9"/>
    <n v="110"/>
  </r>
  <r>
    <x v="52"/>
    <n v="84"/>
  </r>
  <r>
    <x v="41"/>
    <n v="84"/>
  </r>
  <r>
    <x v="21"/>
    <n v="79"/>
  </r>
  <r>
    <x v="39"/>
    <n v="79"/>
  </r>
  <r>
    <x v="17"/>
    <n v="63"/>
  </r>
  <r>
    <x v="57"/>
    <n v="63"/>
  </r>
  <r>
    <x v="48"/>
    <n v="77"/>
  </r>
  <r>
    <x v="5"/>
    <n v="77"/>
  </r>
  <r>
    <x v="61"/>
    <n v="79"/>
  </r>
  <r>
    <x v="56"/>
    <n v="79"/>
  </r>
  <r>
    <x v="49"/>
    <n v="135"/>
  </r>
  <r>
    <x v="23"/>
    <n v="135"/>
  </r>
  <r>
    <x v="8"/>
    <n v="35"/>
  </r>
  <r>
    <x v="27"/>
    <n v="35"/>
  </r>
  <r>
    <x v="4"/>
    <n v="64"/>
  </r>
  <r>
    <x v="50"/>
    <n v="64"/>
  </r>
  <r>
    <x v="20"/>
    <n v="97"/>
  </r>
  <r>
    <x v="47"/>
    <n v="97"/>
  </r>
  <r>
    <x v="31"/>
    <n v="90"/>
  </r>
  <r>
    <x v="54"/>
    <n v="90"/>
  </r>
  <r>
    <x v="18"/>
    <n v="99"/>
  </r>
  <r>
    <x v="11"/>
    <n v="99"/>
  </r>
  <r>
    <x v="15"/>
    <n v="121"/>
  </r>
  <r>
    <x v="3"/>
    <n v="121"/>
  </r>
  <r>
    <x v="59"/>
    <n v="54"/>
  </r>
  <r>
    <x v="36"/>
    <n v="54"/>
  </r>
  <r>
    <x v="0"/>
    <n v="44"/>
  </r>
  <r>
    <x v="43"/>
    <n v="44"/>
  </r>
  <r>
    <x v="33"/>
    <n v="102"/>
  </r>
  <r>
    <x v="25"/>
    <n v="102"/>
  </r>
  <r>
    <x v="42"/>
    <n v="96"/>
  </r>
  <r>
    <x v="13"/>
    <n v="96"/>
  </r>
  <r>
    <x v="17"/>
    <n v="43"/>
  </r>
  <r>
    <x v="30"/>
    <n v="43"/>
  </r>
  <r>
    <x v="12"/>
    <n v="49"/>
  </r>
  <r>
    <x v="24"/>
    <n v="49"/>
  </r>
  <r>
    <x v="52"/>
    <n v="73"/>
  </r>
  <r>
    <x v="39"/>
    <n v="73"/>
  </r>
  <r>
    <x v="7"/>
    <n v="148"/>
  </r>
  <r>
    <x v="29"/>
    <n v="148"/>
  </r>
  <r>
    <x v="22"/>
    <n v="48"/>
  </r>
  <r>
    <x v="44"/>
    <n v="48"/>
  </r>
  <r>
    <x v="38"/>
    <n v="67"/>
  </r>
  <r>
    <x v="10"/>
    <n v="67"/>
  </r>
  <r>
    <x v="19"/>
    <n v="55"/>
  </r>
  <r>
    <x v="1"/>
    <n v="55"/>
  </r>
  <r>
    <x v="2"/>
    <n v="82"/>
  </r>
  <r>
    <x v="34"/>
    <n v="82"/>
  </r>
  <r>
    <x v="46"/>
    <n v="55"/>
  </r>
  <r>
    <x v="37"/>
    <n v="55"/>
  </r>
  <r>
    <x v="9"/>
    <n v="90"/>
  </r>
  <r>
    <x v="35"/>
    <n v="90"/>
  </r>
  <r>
    <x v="14"/>
    <n v="114"/>
  </r>
  <r>
    <x v="53"/>
    <n v="114"/>
  </r>
  <r>
    <x v="32"/>
    <n v="86"/>
  </r>
  <r>
    <x v="16"/>
    <n v="86"/>
  </r>
  <r>
    <x v="60"/>
    <n v="139"/>
  </r>
  <r>
    <x v="26"/>
    <n v="139"/>
  </r>
  <r>
    <x v="6"/>
    <n v="56"/>
  </r>
  <r>
    <x v="58"/>
    <n v="56"/>
  </r>
  <r>
    <x v="41"/>
    <n v="121"/>
  </r>
  <r>
    <x v="55"/>
    <n v="121"/>
  </r>
  <r>
    <x v="51"/>
    <n v="118"/>
  </r>
  <r>
    <x v="40"/>
    <n v="118"/>
  </r>
  <r>
    <x v="45"/>
    <n v="52"/>
  </r>
  <r>
    <x v="28"/>
    <n v="52"/>
  </r>
  <r>
    <x v="15"/>
    <n v="91"/>
  </r>
  <r>
    <x v="57"/>
    <n v="91"/>
  </r>
  <r>
    <x v="44"/>
    <n v="72"/>
  </r>
  <r>
    <x v="8"/>
    <n v="72"/>
  </r>
  <r>
    <x v="42"/>
    <n v="144"/>
  </r>
  <r>
    <x v="11"/>
    <n v="144"/>
  </r>
  <r>
    <x v="5"/>
    <n v="72"/>
  </r>
  <r>
    <x v="23"/>
    <n v="72"/>
  </r>
  <r>
    <x v="36"/>
    <n v="52"/>
  </r>
  <r>
    <x v="12"/>
    <n v="52"/>
  </r>
  <r>
    <x v="10"/>
    <n v="143"/>
  </r>
  <r>
    <x v="0"/>
    <n v="143"/>
  </r>
  <r>
    <x v="49"/>
    <n v="0"/>
  </r>
  <r>
    <x v="3"/>
    <n v="0"/>
  </r>
  <r>
    <x v="53"/>
    <n v="83"/>
  </r>
  <r>
    <x v="61"/>
    <n v="83"/>
  </r>
  <r>
    <x v="60"/>
    <n v="150"/>
  </r>
  <r>
    <x v="13"/>
    <n v="150"/>
  </r>
  <r>
    <x v="35"/>
    <n v="87"/>
  </r>
  <r>
    <x v="37"/>
    <n v="87"/>
  </r>
  <r>
    <x v="7"/>
    <n v="104"/>
  </r>
  <r>
    <x v="14"/>
    <n v="104"/>
  </r>
  <r>
    <x v="21"/>
    <n v="63"/>
  </r>
  <r>
    <x v="1"/>
    <n v="63"/>
  </r>
  <r>
    <x v="28"/>
    <n v="66"/>
  </r>
  <r>
    <x v="18"/>
    <n v="66"/>
  </r>
  <r>
    <x v="39"/>
    <n v="62"/>
  </r>
  <r>
    <x v="59"/>
    <n v="62"/>
  </r>
  <r>
    <x v="32"/>
    <n v="43"/>
  </r>
  <r>
    <x v="50"/>
    <n v="43"/>
  </r>
  <r>
    <x v="41"/>
    <n v="84"/>
  </r>
  <r>
    <x v="17"/>
    <n v="84"/>
  </r>
  <r>
    <x v="20"/>
    <n v="95"/>
  </r>
  <r>
    <x v="16"/>
    <n v="95"/>
  </r>
  <r>
    <x v="45"/>
    <n v="63"/>
  </r>
  <r>
    <x v="33"/>
    <n v="63"/>
  </r>
  <r>
    <x v="58"/>
    <n v="73"/>
  </r>
  <r>
    <x v="19"/>
    <n v="73"/>
  </r>
  <r>
    <x v="31"/>
    <n v="111"/>
  </r>
  <r>
    <x v="24"/>
    <n v="111"/>
  </r>
  <r>
    <x v="2"/>
    <n v="68"/>
  </r>
  <r>
    <x v="27"/>
    <n v="68"/>
  </r>
  <r>
    <x v="22"/>
    <n v="72"/>
  </r>
  <r>
    <x v="51"/>
    <n v="72"/>
  </r>
  <r>
    <x v="55"/>
    <n v="113"/>
  </r>
  <r>
    <x v="4"/>
    <n v="113"/>
  </r>
  <r>
    <x v="43"/>
    <n v="27"/>
  </r>
  <r>
    <x v="38"/>
    <n v="27"/>
  </r>
  <r>
    <x v="46"/>
    <n v="70"/>
  </r>
  <r>
    <x v="52"/>
    <n v="70"/>
  </r>
  <r>
    <x v="40"/>
    <n v="161"/>
  </r>
  <r>
    <x v="29"/>
    <n v="161"/>
  </r>
  <r>
    <x v="25"/>
    <n v="69"/>
  </r>
  <r>
    <x v="9"/>
    <n v="69"/>
  </r>
  <r>
    <x v="54"/>
    <n v="48"/>
  </r>
  <r>
    <x v="56"/>
    <n v="48"/>
  </r>
  <r>
    <x v="6"/>
    <n v="37"/>
  </r>
  <r>
    <x v="47"/>
    <n v="37"/>
  </r>
  <r>
    <x v="26"/>
    <n v="72"/>
  </r>
  <r>
    <x v="34"/>
    <n v="72"/>
  </r>
  <r>
    <x v="30"/>
    <n v="70"/>
  </r>
  <r>
    <x v="48"/>
    <n v="70"/>
  </r>
  <r>
    <x v="20"/>
    <n v="125"/>
  </r>
  <r>
    <x v="1"/>
    <n v="125"/>
  </r>
  <r>
    <x v="10"/>
    <n v="121"/>
  </r>
  <r>
    <x v="20"/>
    <n v="121"/>
  </r>
  <r>
    <x v="51"/>
    <n v="85"/>
  </r>
  <r>
    <x v="53"/>
    <n v="85"/>
  </r>
  <r>
    <x v="39"/>
    <n v="103"/>
  </r>
  <r>
    <x v="56"/>
    <n v="103"/>
  </r>
  <r>
    <x v="11"/>
    <n v="120"/>
  </r>
  <r>
    <x v="25"/>
    <n v="120"/>
  </r>
  <r>
    <x v="2"/>
    <n v="138"/>
  </r>
  <r>
    <x v="49"/>
    <n v="138"/>
  </r>
  <r>
    <x v="14"/>
    <n v="122"/>
  </r>
  <r>
    <x v="26"/>
    <n v="122"/>
  </r>
  <r>
    <x v="31"/>
    <n v="107"/>
  </r>
  <r>
    <x v="41"/>
    <n v="107"/>
  </r>
  <r>
    <x v="40"/>
    <n v="78"/>
  </r>
  <r>
    <x v="29"/>
    <n v="78"/>
  </r>
  <r>
    <x v="10"/>
    <n v="119"/>
  </r>
  <r>
    <x v="20"/>
    <n v="119"/>
  </r>
  <r>
    <x v="11"/>
    <n v="87"/>
  </r>
  <r>
    <x v="25"/>
    <n v="87"/>
  </r>
  <r>
    <x v="2"/>
    <n v="130"/>
  </r>
  <r>
    <x v="49"/>
    <n v="130"/>
  </r>
  <r>
    <x v="31"/>
    <n v="93"/>
  </r>
  <r>
    <x v="41"/>
    <n v="93"/>
  </r>
  <r>
    <x v="10"/>
    <n v="123"/>
  </r>
  <r>
    <x v="20"/>
    <n v="123"/>
  </r>
  <r>
    <x v="2"/>
    <n v="130"/>
  </r>
  <r>
    <x v="49"/>
    <n v="130"/>
  </r>
  <r>
    <x v="10"/>
    <n v="148"/>
  </r>
  <r>
    <x v="20"/>
    <n v="148"/>
  </r>
  <r>
    <x v="2"/>
    <n v="124"/>
  </r>
  <r>
    <x v="49"/>
    <n v="124"/>
  </r>
  <r>
    <x v="10"/>
    <n v="152"/>
  </r>
  <r>
    <x v="20"/>
    <n v="152"/>
  </r>
  <r>
    <x v="2"/>
    <n v="142"/>
  </r>
  <r>
    <x v="49"/>
    <n v="142"/>
  </r>
  <r>
    <x v="10"/>
    <n v="138"/>
  </r>
  <r>
    <x v="20"/>
    <n v="138"/>
  </r>
  <r>
    <x v="34"/>
    <n v="67"/>
  </r>
  <r>
    <x v="35"/>
    <n v="67"/>
  </r>
  <r>
    <x v="51"/>
    <n v="107"/>
  </r>
  <r>
    <x v="53"/>
    <n v="107"/>
  </r>
  <r>
    <x v="4"/>
    <n v="78"/>
  </r>
  <r>
    <x v="18"/>
    <n v="78"/>
  </r>
  <r>
    <x v="39"/>
    <n v="130"/>
  </r>
  <r>
    <x v="56"/>
    <n v="130"/>
  </r>
  <r>
    <x v="30"/>
    <n v="93"/>
  </r>
  <r>
    <x v="55"/>
    <n v="93"/>
  </r>
  <r>
    <x v="11"/>
    <n v="121"/>
  </r>
  <r>
    <x v="25"/>
    <n v="121"/>
  </r>
  <r>
    <x v="27"/>
    <n v="71"/>
  </r>
  <r>
    <x v="5"/>
    <n v="71"/>
  </r>
  <r>
    <x v="2"/>
    <n v="120"/>
  </r>
  <r>
    <x v="49"/>
    <n v="120"/>
  </r>
  <r>
    <x v="61"/>
    <n v="0"/>
  </r>
  <r>
    <x v="3"/>
    <n v="0"/>
  </r>
  <r>
    <x v="15"/>
    <n v="108"/>
  </r>
  <r>
    <x v="45"/>
    <n v="108"/>
  </r>
  <r>
    <x v="14"/>
    <n v="148"/>
  </r>
  <r>
    <x v="26"/>
    <n v="148"/>
  </r>
  <r>
    <x v="31"/>
    <n v="158"/>
  </r>
  <r>
    <x v="41"/>
    <n v="158"/>
  </r>
  <r>
    <x v="21"/>
    <n v="90"/>
  </r>
  <r>
    <x v="24"/>
    <n v="90"/>
  </r>
  <r>
    <x v="40"/>
    <n v="133"/>
  </r>
  <r>
    <x v="29"/>
    <n v="133"/>
  </r>
  <r>
    <x v="13"/>
    <n v="90"/>
  </r>
  <r>
    <x v="42"/>
    <n v="90"/>
  </r>
  <r>
    <x v="62"/>
    <n v="17"/>
  </r>
  <r>
    <x v="63"/>
    <n v="17"/>
  </r>
  <r>
    <x v="64"/>
    <n v="73"/>
  </r>
  <r>
    <x v="65"/>
    <n v="73"/>
  </r>
  <r>
    <x v="66"/>
    <n v="109"/>
  </r>
  <r>
    <x v="67"/>
    <n v="109"/>
  </r>
  <r>
    <x v="68"/>
    <n v="129"/>
  </r>
  <r>
    <x v="69"/>
    <n v="129"/>
  </r>
  <r>
    <x v="70"/>
    <n v="60"/>
  </r>
  <r>
    <x v="71"/>
    <n v="60"/>
  </r>
  <r>
    <x v="72"/>
    <n v="89"/>
  </r>
  <r>
    <x v="73"/>
    <n v="89"/>
  </r>
  <r>
    <x v="74"/>
    <n v="57"/>
  </r>
  <r>
    <x v="75"/>
    <n v="57"/>
  </r>
  <r>
    <x v="76"/>
    <n v="118"/>
  </r>
  <r>
    <x v="77"/>
    <n v="118"/>
  </r>
  <r>
    <x v="78"/>
    <n v="89"/>
  </r>
  <r>
    <x v="79"/>
    <n v="89"/>
  </r>
  <r>
    <x v="80"/>
    <n v="113"/>
  </r>
  <r>
    <x v="81"/>
    <n v="113"/>
  </r>
  <r>
    <x v="82"/>
    <n v="112"/>
  </r>
  <r>
    <x v="83"/>
    <n v="112"/>
  </r>
  <r>
    <x v="84"/>
    <n v="65"/>
  </r>
  <r>
    <x v="85"/>
    <n v="65"/>
  </r>
  <r>
    <x v="86"/>
    <n v="99"/>
  </r>
  <r>
    <x v="87"/>
    <n v="99"/>
  </r>
  <r>
    <x v="88"/>
    <n v="97"/>
  </r>
  <r>
    <x v="89"/>
    <n v="97"/>
  </r>
  <r>
    <x v="90"/>
    <n v="59"/>
  </r>
  <r>
    <x v="91"/>
    <n v="59"/>
  </r>
  <r>
    <x v="92"/>
    <n v="42"/>
  </r>
  <r>
    <x v="93"/>
    <n v="42"/>
  </r>
  <r>
    <x v="94"/>
    <n v="132"/>
  </r>
  <r>
    <x v="95"/>
    <n v="132"/>
  </r>
  <r>
    <x v="96"/>
    <n v="118"/>
  </r>
  <r>
    <x v="97"/>
    <n v="118"/>
  </r>
  <r>
    <x v="98"/>
    <n v="48"/>
  </r>
  <r>
    <x v="99"/>
    <n v="48"/>
  </r>
  <r>
    <x v="100"/>
    <n v="125"/>
  </r>
  <r>
    <x v="101"/>
    <n v="125"/>
  </r>
  <r>
    <x v="102"/>
    <n v="186"/>
  </r>
  <r>
    <x v="103"/>
    <n v="186"/>
  </r>
  <r>
    <x v="104"/>
    <n v="55"/>
  </r>
  <r>
    <x v="105"/>
    <n v="55"/>
  </r>
  <r>
    <x v="106"/>
    <n v="113"/>
  </r>
  <r>
    <x v="107"/>
    <n v="113"/>
  </r>
  <r>
    <x v="108"/>
    <n v="90"/>
  </r>
  <r>
    <x v="109"/>
    <n v="90"/>
  </r>
  <r>
    <x v="110"/>
    <n v="149"/>
  </r>
  <r>
    <x v="111"/>
    <n v="149"/>
  </r>
  <r>
    <x v="112"/>
    <n v="62"/>
  </r>
  <r>
    <x v="113"/>
    <n v="62"/>
  </r>
  <r>
    <x v="114"/>
    <n v="54"/>
  </r>
  <r>
    <x v="115"/>
    <n v="54"/>
  </r>
  <r>
    <x v="116"/>
    <n v="200"/>
  </r>
  <r>
    <x v="117"/>
    <n v="200"/>
  </r>
  <r>
    <x v="118"/>
    <n v="73"/>
  </r>
  <r>
    <x v="119"/>
    <n v="73"/>
  </r>
  <r>
    <x v="120"/>
    <n v="89"/>
  </r>
  <r>
    <x v="121"/>
    <n v="89"/>
  </r>
  <r>
    <x v="122"/>
    <n v="62"/>
  </r>
  <r>
    <x v="123"/>
    <n v="62"/>
  </r>
  <r>
    <x v="77"/>
    <n v="47"/>
  </r>
  <r>
    <x v="94"/>
    <n v="47"/>
  </r>
  <r>
    <x v="73"/>
    <n v="37"/>
  </r>
  <r>
    <x v="62"/>
    <n v="37"/>
  </r>
  <r>
    <x v="98"/>
    <n v="41"/>
  </r>
  <r>
    <x v="79"/>
    <n v="41"/>
  </r>
  <r>
    <x v="88"/>
    <n v="107"/>
  </r>
  <r>
    <x v="64"/>
    <n v="107"/>
  </r>
  <r>
    <x v="83"/>
    <n v="105"/>
  </r>
  <r>
    <x v="68"/>
    <n v="105"/>
  </r>
  <r>
    <x v="109"/>
    <n v="128"/>
  </r>
  <r>
    <x v="104"/>
    <n v="128"/>
  </r>
  <r>
    <x v="86"/>
    <n v="134"/>
  </r>
  <r>
    <x v="91"/>
    <n v="134"/>
  </r>
  <r>
    <x v="89"/>
    <n v="130"/>
  </r>
  <r>
    <x v="96"/>
    <n v="130"/>
  </r>
  <r>
    <x v="67"/>
    <n v="70"/>
  </r>
  <r>
    <x v="75"/>
    <n v="70"/>
  </r>
  <r>
    <x v="103"/>
    <n v="98"/>
  </r>
  <r>
    <x v="76"/>
    <n v="98"/>
  </r>
  <r>
    <x v="111"/>
    <n v="27"/>
  </r>
  <r>
    <x v="99"/>
    <n v="27"/>
  </r>
  <r>
    <x v="120"/>
    <n v="168"/>
  </r>
  <r>
    <x v="95"/>
    <n v="168"/>
  </r>
  <r>
    <x v="115"/>
    <n v="85"/>
  </r>
  <r>
    <x v="87"/>
    <n v="85"/>
  </r>
  <r>
    <x v="101"/>
    <n v="75"/>
  </r>
  <r>
    <x v="121"/>
    <n v="75"/>
  </r>
  <r>
    <x v="71"/>
    <n v="92"/>
  </r>
  <r>
    <x v="123"/>
    <n v="92"/>
  </r>
  <r>
    <x v="112"/>
    <n v="92"/>
  </r>
  <r>
    <x v="97"/>
    <n v="92"/>
  </r>
  <r>
    <x v="92"/>
    <n v="105"/>
  </r>
  <r>
    <x v="102"/>
    <n v="105"/>
  </r>
  <r>
    <x v="100"/>
    <n v="70"/>
  </r>
  <r>
    <x v="105"/>
    <n v="70"/>
  </r>
  <r>
    <x v="70"/>
    <n v="110"/>
  </r>
  <r>
    <x v="66"/>
    <n v="110"/>
  </r>
  <r>
    <x v="117"/>
    <n v="53"/>
  </r>
  <r>
    <x v="119"/>
    <n v="53"/>
  </r>
  <r>
    <x v="90"/>
    <n v="115"/>
  </r>
  <r>
    <x v="82"/>
    <n v="115"/>
  </r>
  <r>
    <x v="65"/>
    <n v="93"/>
  </r>
  <r>
    <x v="116"/>
    <n v="93"/>
  </r>
  <r>
    <x v="80"/>
    <n v="115"/>
  </r>
  <r>
    <x v="110"/>
    <n v="115"/>
  </r>
  <r>
    <x v="84"/>
    <n v="65"/>
  </r>
  <r>
    <x v="93"/>
    <n v="65"/>
  </r>
  <r>
    <x v="122"/>
    <n v="57"/>
  </r>
  <r>
    <x v="107"/>
    <n v="57"/>
  </r>
  <r>
    <x v="85"/>
    <n v="54"/>
  </r>
  <r>
    <x v="113"/>
    <n v="54"/>
  </r>
  <r>
    <x v="74"/>
    <n v="62"/>
  </r>
  <r>
    <x v="114"/>
    <n v="62"/>
  </r>
  <r>
    <x v="69"/>
    <n v="42"/>
  </r>
  <r>
    <x v="81"/>
    <n v="42"/>
  </r>
  <r>
    <x v="63"/>
    <n v="65"/>
  </r>
  <r>
    <x v="106"/>
    <n v="65"/>
  </r>
  <r>
    <x v="72"/>
    <n v="77"/>
  </r>
  <r>
    <x v="108"/>
    <n v="77"/>
  </r>
  <r>
    <x v="118"/>
    <n v="60"/>
  </r>
  <r>
    <x v="78"/>
    <n v="60"/>
  </r>
  <r>
    <x v="105"/>
    <n v="24"/>
  </r>
  <r>
    <x v="79"/>
    <n v="24"/>
  </r>
  <r>
    <x v="123"/>
    <n v="80"/>
  </r>
  <r>
    <x v="115"/>
    <n v="80"/>
  </r>
  <r>
    <x v="98"/>
    <n v="30"/>
  </r>
  <r>
    <x v="71"/>
    <n v="30"/>
  </r>
  <r>
    <x v="95"/>
    <n v="174"/>
  </r>
  <r>
    <x v="86"/>
    <n v="174"/>
  </r>
  <r>
    <x v="77"/>
    <n v="77"/>
  </r>
  <r>
    <x v="97"/>
    <n v="77"/>
  </r>
  <r>
    <x v="119"/>
    <n v="68"/>
  </r>
  <r>
    <x v="62"/>
    <n v="68"/>
  </r>
  <r>
    <x v="80"/>
    <n v="85"/>
  </r>
  <r>
    <x v="89"/>
    <n v="85"/>
  </r>
  <r>
    <x v="94"/>
    <n v="75"/>
  </r>
  <r>
    <x v="111"/>
    <n v="75"/>
  </r>
  <r>
    <x v="66"/>
    <n v="29"/>
  </r>
  <r>
    <x v="93"/>
    <n v="29"/>
  </r>
  <r>
    <x v="102"/>
    <n v="129"/>
  </r>
  <r>
    <x v="96"/>
    <n v="129"/>
  </r>
  <r>
    <x v="74"/>
    <n v="111"/>
  </r>
  <r>
    <x v="63"/>
    <n v="111"/>
  </r>
  <r>
    <x v="84"/>
    <n v="120"/>
  </r>
  <r>
    <x v="120"/>
    <n v="120"/>
  </r>
  <r>
    <x v="90"/>
    <n v="136"/>
  </r>
  <r>
    <x v="73"/>
    <n v="136"/>
  </r>
  <r>
    <x v="112"/>
    <n v="137"/>
  </r>
  <r>
    <x v="99"/>
    <n v="137"/>
  </r>
  <r>
    <x v="108"/>
    <n v="98"/>
  </r>
  <r>
    <x v="122"/>
    <n v="98"/>
  </r>
  <r>
    <x v="82"/>
    <n v="22"/>
  </r>
  <r>
    <x v="101"/>
    <n v="22"/>
  </r>
  <r>
    <x v="92"/>
    <n v="79"/>
  </r>
  <r>
    <x v="110"/>
    <n v="79"/>
  </r>
  <r>
    <x v="118"/>
    <n v="65"/>
  </r>
  <r>
    <x v="70"/>
    <n v="65"/>
  </r>
  <r>
    <x v="100"/>
    <n v="116"/>
  </r>
  <r>
    <x v="81"/>
    <n v="116"/>
  </r>
  <r>
    <x v="114"/>
    <n v="62"/>
  </r>
  <r>
    <x v="87"/>
    <n v="62"/>
  </r>
  <r>
    <x v="88"/>
    <n v="57"/>
  </r>
  <r>
    <x v="78"/>
    <n v="57"/>
  </r>
  <r>
    <x v="67"/>
    <n v="95"/>
  </r>
  <r>
    <x v="85"/>
    <n v="95"/>
  </r>
  <r>
    <x v="72"/>
    <n v="86"/>
  </r>
  <r>
    <x v="91"/>
    <n v="86"/>
  </r>
  <r>
    <x v="103"/>
    <n v="89"/>
  </r>
  <r>
    <x v="75"/>
    <n v="89"/>
  </r>
  <r>
    <x v="109"/>
    <n v="67"/>
  </r>
  <r>
    <x v="121"/>
    <n v="67"/>
  </r>
  <r>
    <x v="69"/>
    <n v="119"/>
  </r>
  <r>
    <x v="64"/>
    <n v="119"/>
  </r>
  <r>
    <x v="65"/>
    <n v="116"/>
  </r>
  <r>
    <x v="76"/>
    <n v="116"/>
  </r>
  <r>
    <x v="113"/>
    <n v="64"/>
  </r>
  <r>
    <x v="107"/>
    <n v="64"/>
  </r>
  <r>
    <x v="83"/>
    <n v="103"/>
  </r>
  <r>
    <x v="106"/>
    <n v="103"/>
  </r>
  <r>
    <x v="104"/>
    <n v="75"/>
  </r>
  <r>
    <x v="116"/>
    <n v="75"/>
  </r>
  <r>
    <x v="117"/>
    <n v="87"/>
  </r>
  <r>
    <x v="68"/>
    <n v="87"/>
  </r>
  <r>
    <x v="108"/>
    <n v="97"/>
  </r>
  <r>
    <x v="123"/>
    <n v="97"/>
  </r>
  <r>
    <x v="120"/>
    <n v="78"/>
  </r>
  <r>
    <x v="112"/>
    <n v="78"/>
  </r>
  <r>
    <x v="122"/>
    <n v="102"/>
  </r>
  <r>
    <x v="70"/>
    <n v="102"/>
  </r>
  <r>
    <x v="102"/>
    <n v="123"/>
  </r>
  <r>
    <x v="84"/>
    <n v="123"/>
  </r>
  <r>
    <x v="88"/>
    <n v="87"/>
  </r>
  <r>
    <x v="100"/>
    <n v="87"/>
  </r>
  <r>
    <x v="67"/>
    <n v="27"/>
  </r>
  <r>
    <x v="114"/>
    <n v="27"/>
  </r>
  <r>
    <x v="103"/>
    <n v="130"/>
  </r>
  <r>
    <x v="110"/>
    <n v="130"/>
  </r>
  <r>
    <x v="69"/>
    <n v="112"/>
  </r>
  <r>
    <x v="87"/>
    <n v="112"/>
  </r>
  <r>
    <x v="74"/>
    <n v="125"/>
  </r>
  <r>
    <x v="91"/>
    <n v="125"/>
  </r>
  <r>
    <x v="66"/>
    <n v="47"/>
  </r>
  <r>
    <x v="115"/>
    <n v="47"/>
  </r>
  <r>
    <x v="72"/>
    <n v="53"/>
  </r>
  <r>
    <x v="65"/>
    <n v="53"/>
  </r>
  <r>
    <x v="80"/>
    <n v="100"/>
  </r>
  <r>
    <x v="83"/>
    <n v="100"/>
  </r>
  <r>
    <x v="97"/>
    <n v="71"/>
  </r>
  <r>
    <x v="71"/>
    <n v="71"/>
  </r>
  <r>
    <x v="116"/>
    <n v="109"/>
  </r>
  <r>
    <x v="89"/>
    <n v="109"/>
  </r>
  <r>
    <x v="95"/>
    <n v="109"/>
  </r>
  <r>
    <x v="109"/>
    <n v="109"/>
  </r>
  <r>
    <x v="96"/>
    <n v="100"/>
  </r>
  <r>
    <x v="78"/>
    <n v="100"/>
  </r>
  <r>
    <x v="98"/>
    <n v="70"/>
  </r>
  <r>
    <x v="106"/>
    <n v="70"/>
  </r>
  <r>
    <x v="107"/>
    <n v="80"/>
  </r>
  <r>
    <x v="86"/>
    <n v="80"/>
  </r>
  <r>
    <x v="79"/>
    <n v="60"/>
  </r>
  <r>
    <x v="77"/>
    <n v="60"/>
  </r>
  <r>
    <x v="113"/>
    <n v="51"/>
  </r>
  <r>
    <x v="75"/>
    <n v="51"/>
  </r>
  <r>
    <x v="90"/>
    <n v="168"/>
  </r>
  <r>
    <x v="94"/>
    <n v="168"/>
  </r>
  <r>
    <x v="68"/>
    <n v="64"/>
  </r>
  <r>
    <x v="92"/>
    <n v="64"/>
  </r>
  <r>
    <x v="76"/>
    <n v="60"/>
  </r>
  <r>
    <x v="121"/>
    <n v="60"/>
  </r>
  <r>
    <x v="99"/>
    <n v="63"/>
  </r>
  <r>
    <x v="118"/>
    <n v="63"/>
  </r>
  <r>
    <x v="93"/>
    <n v="106"/>
  </r>
  <r>
    <x v="62"/>
    <n v="106"/>
  </r>
  <r>
    <x v="105"/>
    <n v="56"/>
  </r>
  <r>
    <x v="101"/>
    <n v="56"/>
  </r>
  <r>
    <x v="119"/>
    <n v="56"/>
  </r>
  <r>
    <x v="63"/>
    <n v="56"/>
  </r>
  <r>
    <x v="104"/>
    <n v="77"/>
  </r>
  <r>
    <x v="82"/>
    <n v="77"/>
  </r>
  <r>
    <x v="81"/>
    <n v="63"/>
  </r>
  <r>
    <x v="111"/>
    <n v="63"/>
  </r>
  <r>
    <x v="64"/>
    <n v="98"/>
  </r>
  <r>
    <x v="85"/>
    <n v="98"/>
  </r>
  <r>
    <x v="73"/>
    <n v="37"/>
  </r>
  <r>
    <x v="117"/>
    <n v="37"/>
  </r>
  <r>
    <x v="109"/>
    <n v="57"/>
  </r>
  <r>
    <x v="87"/>
    <n v="57"/>
  </r>
  <r>
    <x v="103"/>
    <n v="99"/>
  </r>
  <r>
    <x v="66"/>
    <n v="99"/>
  </r>
  <r>
    <x v="96"/>
    <n v="123"/>
  </r>
  <r>
    <x v="88"/>
    <n v="123"/>
  </r>
  <r>
    <x v="80"/>
    <n v="80"/>
  </r>
  <r>
    <x v="91"/>
    <n v="80"/>
  </r>
  <r>
    <x v="76"/>
    <n v="135"/>
  </r>
  <r>
    <x v="90"/>
    <n v="135"/>
  </r>
  <r>
    <x v="89"/>
    <n v="42"/>
  </r>
  <r>
    <x v="98"/>
    <n v="42"/>
  </r>
  <r>
    <x v="107"/>
    <n v="72"/>
  </r>
  <r>
    <x v="100"/>
    <n v="72"/>
  </r>
  <r>
    <x v="110"/>
    <n v="132"/>
  </r>
  <r>
    <x v="74"/>
    <n v="132"/>
  </r>
  <r>
    <x v="94"/>
    <n v="135"/>
  </r>
  <r>
    <x v="86"/>
    <n v="135"/>
  </r>
  <r>
    <x v="78"/>
    <n v="22"/>
  </r>
  <r>
    <x v="83"/>
    <n v="22"/>
  </r>
  <r>
    <x v="114"/>
    <n v="49"/>
  </r>
  <r>
    <x v="101"/>
    <n v="49"/>
  </r>
  <r>
    <x v="120"/>
    <n v="114"/>
  </r>
  <r>
    <x v="79"/>
    <n v="114"/>
  </r>
  <r>
    <x v="71"/>
    <n v="82"/>
  </r>
  <r>
    <x v="112"/>
    <n v="82"/>
  </r>
  <r>
    <x v="81"/>
    <n v="62"/>
  </r>
  <r>
    <x v="119"/>
    <n v="62"/>
  </r>
  <r>
    <x v="123"/>
    <n v="97"/>
  </r>
  <r>
    <x v="116"/>
    <n v="97"/>
  </r>
  <r>
    <x v="64"/>
    <n v="65"/>
  </r>
  <r>
    <x v="93"/>
    <n v="65"/>
  </r>
  <r>
    <x v="82"/>
    <n v="82"/>
  </r>
  <r>
    <x v="115"/>
    <n v="82"/>
  </r>
  <r>
    <x v="118"/>
    <n v="115"/>
  </r>
  <r>
    <x v="68"/>
    <n v="115"/>
  </r>
  <r>
    <x v="70"/>
    <n v="67"/>
  </r>
  <r>
    <x v="99"/>
    <n v="67"/>
  </r>
  <r>
    <x v="95"/>
    <n v="88"/>
  </r>
  <r>
    <x v="75"/>
    <n v="88"/>
  </r>
  <r>
    <x v="77"/>
    <n v="97"/>
  </r>
  <r>
    <x v="113"/>
    <n v="97"/>
  </r>
  <r>
    <x v="104"/>
    <n v="119"/>
  </r>
  <r>
    <x v="84"/>
    <n v="119"/>
  </r>
  <r>
    <x v="69"/>
    <n v="90"/>
  </r>
  <r>
    <x v="102"/>
    <n v="90"/>
  </r>
  <r>
    <x v="62"/>
    <n v="46"/>
  </r>
  <r>
    <x v="108"/>
    <n v="46"/>
  </r>
  <r>
    <x v="65"/>
    <n v="107"/>
  </r>
  <r>
    <x v="85"/>
    <n v="107"/>
  </r>
  <r>
    <x v="106"/>
    <n v="72"/>
  </r>
  <r>
    <x v="121"/>
    <n v="72"/>
  </r>
  <r>
    <x v="67"/>
    <n v="114"/>
  </r>
  <r>
    <x v="73"/>
    <n v="114"/>
  </r>
  <r>
    <x v="92"/>
    <n v="106"/>
  </r>
  <r>
    <x v="105"/>
    <n v="106"/>
  </r>
  <r>
    <x v="122"/>
    <n v="81"/>
  </r>
  <r>
    <x v="111"/>
    <n v="81"/>
  </r>
  <r>
    <x v="72"/>
    <n v="74"/>
  </r>
  <r>
    <x v="63"/>
    <n v="74"/>
  </r>
  <r>
    <x v="97"/>
    <n v="150"/>
  </r>
  <r>
    <x v="117"/>
    <n v="150"/>
  </r>
  <r>
    <x v="74"/>
    <n v="71"/>
  </r>
  <r>
    <x v="88"/>
    <n v="71"/>
  </r>
  <r>
    <x v="123"/>
    <n v="54"/>
  </r>
  <r>
    <x v="114"/>
    <n v="54"/>
  </r>
  <r>
    <x v="96"/>
    <n v="95"/>
  </r>
  <r>
    <x v="82"/>
    <n v="95"/>
  </r>
  <r>
    <x v="84"/>
    <n v="39"/>
  </r>
  <r>
    <x v="119"/>
    <n v="39"/>
  </r>
  <r>
    <x v="78"/>
    <n v="223"/>
  </r>
  <r>
    <x v="110"/>
    <n v="223"/>
  </r>
  <r>
    <x v="64"/>
    <n v="120"/>
  </r>
  <r>
    <x v="104"/>
    <n v="120"/>
  </r>
  <r>
    <x v="98"/>
    <n v="37"/>
  </r>
  <r>
    <x v="115"/>
    <n v="37"/>
  </r>
  <r>
    <x v="62"/>
    <n v="84"/>
  </r>
  <r>
    <x v="75"/>
    <n v="84"/>
  </r>
  <r>
    <x v="120"/>
    <n v="93"/>
  </r>
  <r>
    <x v="80"/>
    <n v="93"/>
  </r>
  <r>
    <x v="81"/>
    <n v="74"/>
  </r>
  <r>
    <x v="70"/>
    <n v="74"/>
  </r>
  <r>
    <x v="109"/>
    <n v="104"/>
  </r>
  <r>
    <x v="102"/>
    <n v="104"/>
  </r>
  <r>
    <x v="92"/>
    <n v="80"/>
  </r>
  <r>
    <x v="94"/>
    <n v="80"/>
  </r>
  <r>
    <x v="107"/>
    <n v="109"/>
  </r>
  <r>
    <x v="103"/>
    <n v="109"/>
  </r>
  <r>
    <x v="113"/>
    <n v="111"/>
  </r>
  <r>
    <x v="93"/>
    <n v="111"/>
  </r>
  <r>
    <x v="105"/>
    <n v="39"/>
  </r>
  <r>
    <x v="87"/>
    <n v="39"/>
  </r>
  <r>
    <x v="77"/>
    <n v="74"/>
  </r>
  <r>
    <x v="63"/>
    <n v="74"/>
  </r>
  <r>
    <x v="73"/>
    <n v="123"/>
  </r>
  <r>
    <x v="116"/>
    <n v="123"/>
  </r>
  <r>
    <x v="68"/>
    <n v="106"/>
  </r>
  <r>
    <x v="91"/>
    <n v="106"/>
  </r>
  <r>
    <x v="65"/>
    <n v="41"/>
  </r>
  <r>
    <x v="101"/>
    <n v="41"/>
  </r>
  <r>
    <x v="95"/>
    <n v="87"/>
  </r>
  <r>
    <x v="108"/>
    <n v="87"/>
  </r>
  <r>
    <x v="112"/>
    <n v="104"/>
  </r>
  <r>
    <x v="66"/>
    <n v="104"/>
  </r>
  <r>
    <x v="83"/>
    <n v="58"/>
  </r>
  <r>
    <x v="99"/>
    <n v="58"/>
  </r>
  <r>
    <x v="89"/>
    <n v="120"/>
  </r>
  <r>
    <x v="117"/>
    <n v="120"/>
  </r>
  <r>
    <x v="111"/>
    <n v="83"/>
  </r>
  <r>
    <x v="121"/>
    <n v="83"/>
  </r>
  <r>
    <x v="90"/>
    <n v="138"/>
  </r>
  <r>
    <x v="100"/>
    <n v="138"/>
  </r>
  <r>
    <x v="79"/>
    <n v="103"/>
  </r>
  <r>
    <x v="85"/>
    <n v="103"/>
  </r>
  <r>
    <x v="69"/>
    <n v="80"/>
  </r>
  <r>
    <x v="97"/>
    <n v="80"/>
  </r>
  <r>
    <x v="67"/>
    <n v="83"/>
  </r>
  <r>
    <x v="72"/>
    <n v="83"/>
  </r>
  <r>
    <x v="86"/>
    <n v="52"/>
  </r>
  <r>
    <x v="76"/>
    <n v="52"/>
  </r>
  <r>
    <x v="106"/>
    <n v="85"/>
  </r>
  <r>
    <x v="118"/>
    <n v="85"/>
  </r>
  <r>
    <x v="122"/>
    <n v="40"/>
  </r>
  <r>
    <x v="71"/>
    <n v="40"/>
  </r>
  <r>
    <x v="64"/>
    <n v="95"/>
  </r>
  <r>
    <x v="107"/>
    <n v="95"/>
  </r>
  <r>
    <x v="87"/>
    <n v="60"/>
  </r>
  <r>
    <x v="78"/>
    <n v="60"/>
  </r>
  <r>
    <x v="110"/>
    <n v="103"/>
  </r>
  <r>
    <x v="105"/>
    <n v="103"/>
  </r>
  <r>
    <x v="82"/>
    <n v="37"/>
  </r>
  <r>
    <x v="88"/>
    <n v="37"/>
  </r>
  <r>
    <x v="74"/>
    <n v="118"/>
  </r>
  <r>
    <x v="73"/>
    <n v="118"/>
  </r>
  <r>
    <x v="104"/>
    <n v="64"/>
  </r>
  <r>
    <x v="66"/>
    <n v="64"/>
  </r>
  <r>
    <x v="63"/>
    <n v="92"/>
  </r>
  <r>
    <x v="94"/>
    <n v="92"/>
  </r>
  <r>
    <x v="117"/>
    <n v="54"/>
  </r>
  <r>
    <x v="93"/>
    <n v="54"/>
  </r>
  <r>
    <x v="92"/>
    <n v="85"/>
  </r>
  <r>
    <x v="108"/>
    <n v="85"/>
  </r>
  <r>
    <x v="75"/>
    <n v="40"/>
  </r>
  <r>
    <x v="115"/>
    <n v="40"/>
  </r>
  <r>
    <x v="123"/>
    <n v="130"/>
  </r>
  <r>
    <x v="95"/>
    <n v="130"/>
  </r>
  <r>
    <x v="119"/>
    <n v="25"/>
  </r>
  <r>
    <x v="113"/>
    <n v="25"/>
  </r>
  <r>
    <x v="69"/>
    <n v="87"/>
  </r>
  <r>
    <x v="90"/>
    <n v="87"/>
  </r>
  <r>
    <x v="96"/>
    <n v="53"/>
  </r>
  <r>
    <x v="65"/>
    <n v="53"/>
  </r>
  <r>
    <x v="80"/>
    <n v="100"/>
  </r>
  <r>
    <x v="101"/>
    <n v="100"/>
  </r>
  <r>
    <x v="67"/>
    <n v="87"/>
  </r>
  <r>
    <x v="77"/>
    <n v="87"/>
  </r>
  <r>
    <x v="81"/>
    <n v="97"/>
  </r>
  <r>
    <x v="103"/>
    <n v="97"/>
  </r>
  <r>
    <x v="121"/>
    <n v="79"/>
  </r>
  <r>
    <x v="62"/>
    <n v="79"/>
  </r>
  <r>
    <x v="70"/>
    <n v="84"/>
  </r>
  <r>
    <x v="84"/>
    <n v="84"/>
  </r>
  <r>
    <x v="97"/>
    <n v="86"/>
  </r>
  <r>
    <x v="89"/>
    <n v="86"/>
  </r>
  <r>
    <x v="98"/>
    <n v="102"/>
  </r>
  <r>
    <x v="120"/>
    <n v="102"/>
  </r>
  <r>
    <x v="72"/>
    <n v="105"/>
  </r>
  <r>
    <x v="68"/>
    <n v="105"/>
  </r>
  <r>
    <x v="102"/>
    <n v="148"/>
  </r>
  <r>
    <x v="122"/>
    <n v="148"/>
  </r>
  <r>
    <x v="83"/>
    <n v="86"/>
  </r>
  <r>
    <x v="114"/>
    <n v="86"/>
  </r>
  <r>
    <x v="116"/>
    <n v="89"/>
  </r>
  <r>
    <x v="86"/>
    <n v="89"/>
  </r>
  <r>
    <x v="111"/>
    <n v="77"/>
  </r>
  <r>
    <x v="85"/>
    <n v="77"/>
  </r>
  <r>
    <x v="112"/>
    <n v="42"/>
  </r>
  <r>
    <x v="91"/>
    <n v="42"/>
  </r>
  <r>
    <x v="76"/>
    <n v="75"/>
  </r>
  <r>
    <x v="106"/>
    <n v="75"/>
  </r>
  <r>
    <x v="109"/>
    <n v="85"/>
  </r>
  <r>
    <x v="71"/>
    <n v="85"/>
  </r>
  <r>
    <x v="99"/>
    <n v="92"/>
  </r>
  <r>
    <x v="79"/>
    <n v="92"/>
  </r>
  <r>
    <x v="100"/>
    <n v="98"/>
  </r>
  <r>
    <x v="118"/>
    <n v="98"/>
  </r>
  <r>
    <x v="80"/>
    <n v="92"/>
  </r>
  <r>
    <x v="95"/>
    <n v="92"/>
  </r>
  <r>
    <x v="81"/>
    <n v="65"/>
  </r>
  <r>
    <x v="65"/>
    <n v="65"/>
  </r>
  <r>
    <x v="108"/>
    <n v="106"/>
  </r>
  <r>
    <x v="73"/>
    <n v="106"/>
  </r>
  <r>
    <x v="110"/>
    <n v="143"/>
  </r>
  <r>
    <x v="87"/>
    <n v="143"/>
  </r>
  <r>
    <x v="68"/>
    <n v="60"/>
  </r>
  <r>
    <x v="63"/>
    <n v="60"/>
  </r>
  <r>
    <x v="119"/>
    <n v="69"/>
  </r>
  <r>
    <x v="88"/>
    <n v="69"/>
  </r>
  <r>
    <x v="122"/>
    <n v="131"/>
  </r>
  <r>
    <x v="103"/>
    <n v="131"/>
  </r>
  <r>
    <x v="104"/>
    <n v="90"/>
  </r>
  <r>
    <x v="85"/>
    <n v="90"/>
  </r>
  <r>
    <x v="101"/>
    <n v="112"/>
  </r>
  <r>
    <x v="90"/>
    <n v="112"/>
  </r>
  <r>
    <x v="91"/>
    <n v="80"/>
  </r>
  <r>
    <x v="107"/>
    <n v="80"/>
  </r>
  <r>
    <x v="116"/>
    <n v="80"/>
  </r>
  <r>
    <x v="70"/>
    <n v="80"/>
  </r>
  <r>
    <x v="93"/>
    <n v="103"/>
  </r>
  <r>
    <x v="111"/>
    <n v="103"/>
  </r>
  <r>
    <x v="71"/>
    <n v="45"/>
  </r>
  <r>
    <x v="69"/>
    <n v="45"/>
  </r>
  <r>
    <x v="97"/>
    <n v="83"/>
  </r>
  <r>
    <x v="115"/>
    <n v="83"/>
  </r>
  <r>
    <x v="78"/>
    <n v="70"/>
  </r>
  <r>
    <x v="76"/>
    <n v="70"/>
  </r>
  <r>
    <x v="96"/>
    <n v="93"/>
  </r>
  <r>
    <x v="77"/>
    <n v="93"/>
  </r>
  <r>
    <x v="83"/>
    <n v="55"/>
  </r>
  <r>
    <x v="100"/>
    <n v="55"/>
  </r>
  <r>
    <x v="106"/>
    <n v="37"/>
  </r>
  <r>
    <x v="89"/>
    <n v="37"/>
  </r>
  <r>
    <x v="123"/>
    <n v="92"/>
  </r>
  <r>
    <x v="62"/>
    <n v="92"/>
  </r>
  <r>
    <x v="64"/>
    <n v="95"/>
  </r>
  <r>
    <x v="120"/>
    <n v="95"/>
  </r>
  <r>
    <x v="113"/>
    <n v="112"/>
  </r>
  <r>
    <x v="86"/>
    <n v="112"/>
  </r>
  <r>
    <x v="72"/>
    <n v="168"/>
  </r>
  <r>
    <x v="109"/>
    <n v="168"/>
  </r>
  <r>
    <x v="92"/>
    <n v="48"/>
  </r>
  <r>
    <x v="114"/>
    <n v="48"/>
  </r>
  <r>
    <x v="66"/>
    <n v="52"/>
  </r>
  <r>
    <x v="99"/>
    <n v="52"/>
  </r>
  <r>
    <x v="84"/>
    <n v="62"/>
  </r>
  <r>
    <x v="94"/>
    <n v="62"/>
  </r>
  <r>
    <x v="121"/>
    <n v="79"/>
  </r>
  <r>
    <x v="82"/>
    <n v="79"/>
  </r>
  <r>
    <x v="67"/>
    <n v="111"/>
  </r>
  <r>
    <x v="102"/>
    <n v="111"/>
  </r>
  <r>
    <x v="98"/>
    <n v="62"/>
  </r>
  <r>
    <x v="117"/>
    <n v="62"/>
  </r>
  <r>
    <x v="105"/>
    <n v="22"/>
  </r>
  <r>
    <x v="75"/>
    <n v="22"/>
  </r>
  <r>
    <x v="79"/>
    <n v="94"/>
  </r>
  <r>
    <x v="74"/>
    <n v="94"/>
  </r>
  <r>
    <x v="112"/>
    <n v="70"/>
  </r>
  <r>
    <x v="118"/>
    <n v="70"/>
  </r>
  <r>
    <x v="108"/>
    <n v="80"/>
  </r>
  <r>
    <x v="83"/>
    <n v="80"/>
  </r>
  <r>
    <x v="110"/>
    <n v="123"/>
  </r>
  <r>
    <x v="91"/>
    <n v="123"/>
  </r>
  <r>
    <x v="93"/>
    <n v="70"/>
  </r>
  <r>
    <x v="97"/>
    <n v="70"/>
  </r>
  <r>
    <x v="104"/>
    <n v="47"/>
  </r>
  <r>
    <x v="65"/>
    <n v="47"/>
  </r>
  <r>
    <x v="115"/>
    <n v="62"/>
  </r>
  <r>
    <x v="86"/>
    <n v="62"/>
  </r>
  <r>
    <x v="81"/>
    <n v="105"/>
  </r>
  <r>
    <x v="122"/>
    <n v="105"/>
  </r>
  <r>
    <x v="71"/>
    <n v="109"/>
  </r>
  <r>
    <x v="90"/>
    <n v="109"/>
  </r>
  <r>
    <x v="66"/>
    <n v="87"/>
  </r>
  <r>
    <x v="114"/>
    <n v="87"/>
  </r>
  <r>
    <x v="89"/>
    <n v="60"/>
  </r>
  <r>
    <x v="72"/>
    <n v="60"/>
  </r>
  <r>
    <x v="107"/>
    <n v="80"/>
  </r>
  <r>
    <x v="119"/>
    <n v="80"/>
  </r>
  <r>
    <x v="106"/>
    <n v="98"/>
  </r>
  <r>
    <x v="95"/>
    <n v="98"/>
  </r>
  <r>
    <x v="64"/>
    <n v="90"/>
  </r>
  <r>
    <x v="67"/>
    <n v="90"/>
  </r>
  <r>
    <x v="112"/>
    <n v="83"/>
  </r>
  <r>
    <x v="63"/>
    <n v="83"/>
  </r>
  <r>
    <x v="85"/>
    <n v="87"/>
  </r>
  <r>
    <x v="123"/>
    <n v="87"/>
  </r>
  <r>
    <x v="88"/>
    <n v="31"/>
  </r>
  <r>
    <x v="113"/>
    <n v="31"/>
  </r>
  <r>
    <x v="101"/>
    <n v="90"/>
  </r>
  <r>
    <x v="109"/>
    <n v="90"/>
  </r>
  <r>
    <x v="78"/>
    <n v="43"/>
  </r>
  <r>
    <x v="92"/>
    <n v="43"/>
  </r>
  <r>
    <x v="100"/>
    <n v="105"/>
  </r>
  <r>
    <x v="120"/>
    <n v="105"/>
  </r>
  <r>
    <x v="79"/>
    <n v="63"/>
  </r>
  <r>
    <x v="117"/>
    <n v="63"/>
  </r>
  <r>
    <x v="87"/>
    <n v="20"/>
  </r>
  <r>
    <x v="111"/>
    <n v="20"/>
  </r>
  <r>
    <x v="75"/>
    <n v="130"/>
  </r>
  <r>
    <x v="116"/>
    <n v="130"/>
  </r>
  <r>
    <x v="102"/>
    <n v="83"/>
  </r>
  <r>
    <x v="118"/>
    <n v="83"/>
  </r>
  <r>
    <x v="80"/>
    <n v="92"/>
  </r>
  <r>
    <x v="76"/>
    <n v="92"/>
  </r>
  <r>
    <x v="73"/>
    <n v="59"/>
  </r>
  <r>
    <x v="84"/>
    <n v="59"/>
  </r>
  <r>
    <x v="121"/>
    <n v="129"/>
  </r>
  <r>
    <x v="96"/>
    <n v="129"/>
  </r>
  <r>
    <x v="105"/>
    <n v="59"/>
  </r>
  <r>
    <x v="99"/>
    <n v="59"/>
  </r>
  <r>
    <x v="77"/>
    <n v="71"/>
  </r>
  <r>
    <x v="70"/>
    <n v="71"/>
  </r>
  <r>
    <x v="69"/>
    <n v="63"/>
  </r>
  <r>
    <x v="98"/>
    <n v="63"/>
  </r>
  <r>
    <x v="62"/>
    <n v="84"/>
  </r>
  <r>
    <x v="82"/>
    <n v="84"/>
  </r>
  <r>
    <x v="74"/>
    <n v="127"/>
  </r>
  <r>
    <x v="94"/>
    <n v="127"/>
  </r>
  <r>
    <x v="68"/>
    <n v="80"/>
  </r>
  <r>
    <x v="103"/>
    <n v="80"/>
  </r>
  <r>
    <x v="71"/>
    <n v="96"/>
  </r>
  <r>
    <x v="100"/>
    <n v="96"/>
  </r>
  <r>
    <x v="110"/>
    <n v="163"/>
  </r>
  <r>
    <x v="64"/>
    <n v="163"/>
  </r>
  <r>
    <x v="86"/>
    <n v="65"/>
  </r>
  <r>
    <x v="97"/>
    <n v="65"/>
  </r>
  <r>
    <x v="96"/>
    <n v="103"/>
  </r>
  <r>
    <x v="106"/>
    <n v="103"/>
  </r>
  <r>
    <x v="103"/>
    <n v="80"/>
  </r>
  <r>
    <x v="123"/>
    <n v="80"/>
  </r>
  <r>
    <x v="102"/>
    <n v="103"/>
  </r>
  <r>
    <x v="122"/>
    <n v="103"/>
  </r>
  <r>
    <x v="80"/>
    <n v="87"/>
  </r>
  <r>
    <x v="62"/>
    <n v="87"/>
  </r>
  <r>
    <x v="72"/>
    <n v="65"/>
  </r>
  <r>
    <x v="94"/>
    <n v="65"/>
  </r>
  <r>
    <x v="90"/>
    <n v="100"/>
  </r>
  <r>
    <x v="95"/>
    <n v="100"/>
  </r>
  <r>
    <x v="110"/>
    <n v="105"/>
  </r>
  <r>
    <x v="64"/>
    <n v="105"/>
  </r>
  <r>
    <x v="96"/>
    <n v="90"/>
  </r>
  <r>
    <x v="106"/>
    <n v="90"/>
  </r>
  <r>
    <x v="102"/>
    <n v="85"/>
  </r>
  <r>
    <x v="122"/>
    <n v="85"/>
  </r>
  <r>
    <x v="90"/>
    <n v="128"/>
  </r>
  <r>
    <x v="95"/>
    <n v="128"/>
  </r>
  <r>
    <x v="110"/>
    <n v="158"/>
  </r>
  <r>
    <x v="64"/>
    <n v="158"/>
  </r>
  <r>
    <x v="90"/>
    <n v="90"/>
  </r>
  <r>
    <x v="95"/>
    <n v="90"/>
  </r>
  <r>
    <x v="110"/>
    <n v="105"/>
  </r>
  <r>
    <x v="64"/>
    <n v="105"/>
  </r>
  <r>
    <x v="90"/>
    <n v="97"/>
  </r>
  <r>
    <x v="95"/>
    <n v="97"/>
  </r>
  <r>
    <x v="110"/>
    <n v="160"/>
  </r>
  <r>
    <x v="64"/>
    <n v="160"/>
  </r>
  <r>
    <x v="69"/>
    <n v="54"/>
  </r>
  <r>
    <x v="68"/>
    <n v="54"/>
  </r>
  <r>
    <x v="116"/>
    <n v="0"/>
  </r>
  <r>
    <x v="66"/>
    <n v="0"/>
  </r>
  <r>
    <x v="86"/>
    <n v="115"/>
  </r>
  <r>
    <x v="97"/>
    <n v="115"/>
  </r>
  <r>
    <x v="96"/>
    <n v="140"/>
  </r>
  <r>
    <x v="106"/>
    <n v="140"/>
  </r>
  <r>
    <x v="74"/>
    <n v="55"/>
  </r>
  <r>
    <x v="79"/>
    <n v="55"/>
  </r>
  <r>
    <x v="103"/>
    <n v="121"/>
  </r>
  <r>
    <x v="123"/>
    <n v="121"/>
  </r>
  <r>
    <x v="76"/>
    <n v="72"/>
  </r>
  <r>
    <x v="67"/>
    <n v="72"/>
  </r>
  <r>
    <x v="102"/>
    <n v="84"/>
  </r>
  <r>
    <x v="122"/>
    <n v="84"/>
  </r>
  <r>
    <x v="89"/>
    <n v="60"/>
  </r>
  <r>
    <x v="70"/>
    <n v="60"/>
  </r>
  <r>
    <x v="85"/>
    <n v="0"/>
  </r>
  <r>
    <x v="120"/>
    <n v="0"/>
  </r>
  <r>
    <x v="80"/>
    <n v="72"/>
  </r>
  <r>
    <x v="62"/>
    <n v="72"/>
  </r>
  <r>
    <x v="72"/>
    <n v="158"/>
  </r>
  <r>
    <x v="94"/>
    <n v="158"/>
  </r>
  <r>
    <x v="92"/>
    <n v="0"/>
  </r>
  <r>
    <x v="71"/>
    <n v="0"/>
  </r>
  <r>
    <x v="90"/>
    <n v="168"/>
  </r>
  <r>
    <x v="95"/>
    <n v="168"/>
  </r>
  <r>
    <x v="91"/>
    <n v="100"/>
  </r>
  <r>
    <x v="100"/>
    <n v="100"/>
  </r>
  <r>
    <x v="110"/>
    <n v="138"/>
  </r>
  <r>
    <x v="64"/>
    <n v="138"/>
  </r>
  <r>
    <x v="10"/>
    <n v="77"/>
  </r>
  <r>
    <x v="20"/>
    <n v="77"/>
  </r>
  <r>
    <x v="110"/>
    <n v="129"/>
  </r>
  <r>
    <x v="64"/>
    <n v="129"/>
  </r>
  <r>
    <x v="10"/>
    <n v="89"/>
  </r>
  <r>
    <x v="20"/>
    <n v="89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30">
  <r>
    <x v="0"/>
    <x v="0"/>
    <n v="59"/>
  </r>
  <r>
    <x v="1"/>
    <x v="1"/>
    <n v="135"/>
  </r>
  <r>
    <x v="2"/>
    <x v="2"/>
    <n v="48"/>
  </r>
  <r>
    <x v="3"/>
    <x v="3"/>
    <n v="72"/>
  </r>
  <r>
    <x v="4"/>
    <x v="4"/>
    <n v="14"/>
  </r>
  <r>
    <x v="5"/>
    <x v="5"/>
    <n v="113"/>
  </r>
  <r>
    <x v="6"/>
    <x v="6"/>
    <n v="110"/>
  </r>
  <r>
    <x v="7"/>
    <x v="7"/>
    <n v="78"/>
  </r>
  <r>
    <x v="8"/>
    <x v="8"/>
    <n v="47"/>
  </r>
  <r>
    <x v="9"/>
    <x v="9"/>
    <n v="53"/>
  </r>
  <r>
    <x v="10"/>
    <x v="10"/>
    <n v="118"/>
  </r>
  <r>
    <x v="11"/>
    <x v="11"/>
    <n v="110"/>
  </r>
  <r>
    <x v="12"/>
    <x v="12"/>
    <n v="88"/>
  </r>
  <r>
    <x v="13"/>
    <x v="13"/>
    <n v="80"/>
  </r>
  <r>
    <x v="14"/>
    <x v="14"/>
    <n v="122"/>
  </r>
  <r>
    <x v="15"/>
    <x v="15"/>
    <n v="70"/>
  </r>
  <r>
    <x v="16"/>
    <x v="16"/>
    <n v="108"/>
  </r>
  <r>
    <x v="17"/>
    <x v="17"/>
    <n v="63"/>
  </r>
  <r>
    <x v="18"/>
    <x v="18"/>
    <n v="27"/>
  </r>
  <r>
    <x v="19"/>
    <x v="8"/>
    <n v="128"/>
  </r>
  <r>
    <x v="20"/>
    <x v="19"/>
    <n v="84"/>
  </r>
  <r>
    <x v="21"/>
    <x v="20"/>
    <n v="125"/>
  </r>
  <r>
    <x v="22"/>
    <x v="21"/>
    <n v="62"/>
  </r>
  <r>
    <x v="23"/>
    <x v="22"/>
    <n v="96"/>
  </r>
  <r>
    <x v="24"/>
    <x v="23"/>
    <n v="80"/>
  </r>
  <r>
    <x v="25"/>
    <x v="24"/>
    <n v="153"/>
  </r>
  <r>
    <x v="26"/>
    <x v="1"/>
    <n v="100"/>
  </r>
  <r>
    <x v="27"/>
    <x v="25"/>
    <n v="170"/>
  </r>
  <r>
    <x v="28"/>
    <x v="0"/>
    <n v="115"/>
  </r>
  <r>
    <x v="29"/>
    <x v="26"/>
    <n v="98"/>
  </r>
  <r>
    <x v="30"/>
    <x v="27"/>
    <n v="35"/>
  </r>
  <r>
    <x v="31"/>
    <x v="28"/>
    <n v="42"/>
  </r>
  <r>
    <x v="32"/>
    <x v="17"/>
    <n v="82"/>
  </r>
  <r>
    <x v="33"/>
    <x v="29"/>
    <n v="40"/>
  </r>
  <r>
    <x v="34"/>
    <x v="30"/>
    <n v="58"/>
  </r>
  <r>
    <x v="23"/>
    <x v="10"/>
    <n v="147"/>
  </r>
  <r>
    <x v="29"/>
    <x v="20"/>
    <n v="62"/>
  </r>
  <r>
    <x v="35"/>
    <x v="12"/>
    <n v="140"/>
  </r>
  <r>
    <x v="25"/>
    <x v="16"/>
    <n v="111"/>
  </r>
  <r>
    <x v="36"/>
    <x v="31"/>
    <n v="55"/>
  </r>
  <r>
    <x v="11"/>
    <x v="5"/>
    <n v="30"/>
  </r>
  <r>
    <x v="37"/>
    <x v="32"/>
    <n v="22"/>
  </r>
  <r>
    <x v="38"/>
    <x v="33"/>
    <n v="77"/>
  </r>
  <r>
    <x v="39"/>
    <x v="4"/>
    <n v="84"/>
  </r>
  <r>
    <x v="40"/>
    <x v="34"/>
    <n v="53"/>
  </r>
  <r>
    <x v="6"/>
    <x v="35"/>
    <n v="95"/>
  </r>
  <r>
    <x v="1"/>
    <x v="36"/>
    <n v="88"/>
  </r>
  <r>
    <x v="22"/>
    <x v="16"/>
    <n v="67"/>
  </r>
  <r>
    <x v="28"/>
    <x v="37"/>
    <n v="71"/>
  </r>
  <r>
    <x v="3"/>
    <x v="38"/>
    <n v="63"/>
  </r>
  <r>
    <x v="24"/>
    <x v="15"/>
    <n v="140"/>
  </r>
  <r>
    <x v="41"/>
    <x v="39"/>
    <n v="98"/>
  </r>
  <r>
    <x v="10"/>
    <x v="40"/>
    <n v="93"/>
  </r>
  <r>
    <x v="38"/>
    <x v="5"/>
    <n v="27"/>
  </r>
  <r>
    <x v="42"/>
    <x v="41"/>
    <n v="96"/>
  </r>
  <r>
    <x v="43"/>
    <x v="28"/>
    <n v="57"/>
  </r>
  <r>
    <x v="40"/>
    <x v="26"/>
    <n v="37"/>
  </r>
  <r>
    <x v="30"/>
    <x v="24"/>
    <n v="40"/>
  </r>
  <r>
    <x v="44"/>
    <x v="13"/>
    <n v="65"/>
  </r>
  <r>
    <x v="45"/>
    <x v="42"/>
    <n v="135"/>
  </r>
  <r>
    <x v="26"/>
    <x v="30"/>
    <n v="45"/>
  </r>
  <r>
    <x v="27"/>
    <x v="21"/>
    <n v="96"/>
  </r>
  <r>
    <x v="37"/>
    <x v="43"/>
    <n v="45"/>
  </r>
  <r>
    <x v="20"/>
    <x v="23"/>
    <n v="45"/>
  </r>
  <r>
    <x v="4"/>
    <x v="12"/>
    <n v="111"/>
  </r>
  <r>
    <x v="46"/>
    <x v="25"/>
    <n v="90"/>
  </r>
  <r>
    <x v="47"/>
    <x v="22"/>
    <n v="109"/>
  </r>
  <r>
    <x v="23"/>
    <x v="0"/>
    <n v="102"/>
  </r>
  <r>
    <x v="48"/>
    <x v="44"/>
    <n v="32"/>
  </r>
  <r>
    <x v="49"/>
    <x v="45"/>
    <n v="97"/>
  </r>
  <r>
    <x v="50"/>
    <x v="46"/>
    <n v="104"/>
  </r>
  <r>
    <x v="27"/>
    <x v="4"/>
    <n v="91"/>
  </r>
  <r>
    <x v="21"/>
    <x v="47"/>
    <n v="104"/>
  </r>
  <r>
    <x v="24"/>
    <x v="35"/>
    <n v="140"/>
  </r>
  <r>
    <x v="22"/>
    <x v="40"/>
    <n v="142"/>
  </r>
  <r>
    <x v="35"/>
    <x v="48"/>
    <n v="94"/>
  </r>
  <r>
    <x v="0"/>
    <x v="13"/>
    <n v="113"/>
  </r>
  <r>
    <x v="13"/>
    <x v="49"/>
    <n v="132"/>
  </r>
  <r>
    <x v="40"/>
    <x v="18"/>
    <n v="75"/>
  </r>
  <r>
    <x v="14"/>
    <x v="41"/>
    <n v="39"/>
  </r>
  <r>
    <x v="41"/>
    <x v="50"/>
    <n v="108"/>
  </r>
  <r>
    <x v="15"/>
    <x v="19"/>
    <n v="45"/>
  </r>
  <r>
    <x v="29"/>
    <x v="4"/>
    <n v="30"/>
  </r>
  <r>
    <x v="18"/>
    <x v="3"/>
    <n v="80"/>
  </r>
  <r>
    <x v="51"/>
    <x v="22"/>
    <n v="127"/>
  </r>
  <r>
    <x v="0"/>
    <x v="39"/>
    <n v="56"/>
  </r>
  <r>
    <x v="30"/>
    <x v="51"/>
    <n v="40"/>
  </r>
  <r>
    <x v="32"/>
    <x v="11"/>
    <n v="43"/>
  </r>
  <r>
    <x v="20"/>
    <x v="14"/>
    <n v="115"/>
  </r>
  <r>
    <x v="21"/>
    <x v="24"/>
    <n v="65"/>
  </r>
  <r>
    <x v="6"/>
    <x v="30"/>
    <n v="73"/>
  </r>
  <r>
    <x v="11"/>
    <x v="10"/>
    <n v="75"/>
  </r>
  <r>
    <x v="43"/>
    <x v="20"/>
    <n v="52"/>
  </r>
  <r>
    <x v="14"/>
    <x v="50"/>
    <n v="60"/>
  </r>
  <r>
    <x v="52"/>
    <x v="8"/>
    <n v="86"/>
  </r>
  <r>
    <x v="31"/>
    <x v="41"/>
    <n v="59"/>
  </r>
  <r>
    <x v="36"/>
    <x v="29"/>
    <n v="54"/>
  </r>
  <r>
    <x v="48"/>
    <x v="13"/>
    <n v="60"/>
  </r>
  <r>
    <x v="8"/>
    <x v="23"/>
    <n v="80"/>
  </r>
  <r>
    <x v="41"/>
    <x v="15"/>
    <n v="98"/>
  </r>
  <r>
    <x v="42"/>
    <x v="11"/>
    <n v="130"/>
  </r>
  <r>
    <x v="20"/>
    <x v="52"/>
    <n v="144"/>
  </r>
  <r>
    <x v="53"/>
    <x v="25"/>
    <n v="103"/>
  </r>
  <r>
    <x v="25"/>
    <x v="53"/>
    <n v="84"/>
  </r>
  <r>
    <x v="32"/>
    <x v="24"/>
    <n v="48"/>
  </r>
  <r>
    <x v="28"/>
    <x v="54"/>
    <n v="95"/>
  </r>
  <r>
    <x v="15"/>
    <x v="35"/>
    <n v="82"/>
  </r>
  <r>
    <x v="18"/>
    <x v="2"/>
    <n v="110"/>
  </r>
  <r>
    <x v="54"/>
    <x v="55"/>
    <n v="79"/>
  </r>
  <r>
    <x v="12"/>
    <x v="1"/>
    <n v="77"/>
  </r>
  <r>
    <x v="55"/>
    <x v="21"/>
    <n v="135"/>
  </r>
  <r>
    <x v="1"/>
    <x v="43"/>
    <n v="64"/>
  </r>
  <r>
    <x v="56"/>
    <x v="24"/>
    <n v="90"/>
  </r>
  <r>
    <x v="57"/>
    <x v="23"/>
    <n v="121"/>
  </r>
  <r>
    <x v="0"/>
    <x v="56"/>
    <n v="44"/>
  </r>
  <r>
    <x v="45"/>
    <x v="3"/>
    <n v="96"/>
  </r>
  <r>
    <x v="3"/>
    <x v="52"/>
    <n v="49"/>
  </r>
  <r>
    <x v="46"/>
    <x v="7"/>
    <n v="148"/>
  </r>
  <r>
    <x v="17"/>
    <x v="35"/>
    <n v="67"/>
  </r>
  <r>
    <x v="35"/>
    <x v="47"/>
    <n v="82"/>
  </r>
  <r>
    <x v="33"/>
    <x v="22"/>
    <n v="90"/>
  </r>
  <r>
    <x v="8"/>
    <x v="34"/>
    <n v="86"/>
  </r>
  <r>
    <x v="30"/>
    <x v="37"/>
    <n v="56"/>
  </r>
  <r>
    <x v="27"/>
    <x v="44"/>
    <n v="118"/>
  </r>
  <r>
    <x v="57"/>
    <x v="14"/>
    <n v="91"/>
  </r>
  <r>
    <x v="45"/>
    <x v="27"/>
    <n v="144"/>
  </r>
  <r>
    <x v="9"/>
    <x v="33"/>
    <n v="52"/>
  </r>
  <r>
    <x v="55"/>
    <x v="23"/>
    <n v="0"/>
  </r>
  <r>
    <x v="15"/>
    <x v="3"/>
    <n v="150"/>
  </r>
  <r>
    <x v="46"/>
    <x v="49"/>
    <n v="104"/>
  </r>
  <r>
    <x v="7"/>
    <x v="45"/>
    <n v="66"/>
  </r>
  <r>
    <x v="8"/>
    <x v="43"/>
    <n v="43"/>
  </r>
  <r>
    <x v="5"/>
    <x v="34"/>
    <n v="95"/>
  </r>
  <r>
    <x v="37"/>
    <x v="53"/>
    <n v="73"/>
  </r>
  <r>
    <x v="35"/>
    <x v="50"/>
    <n v="68"/>
  </r>
  <r>
    <x v="24"/>
    <x v="46"/>
    <n v="113"/>
  </r>
  <r>
    <x v="40"/>
    <x v="39"/>
    <n v="70"/>
  </r>
  <r>
    <x v="43"/>
    <x v="2"/>
    <n v="69"/>
  </r>
  <r>
    <x v="30"/>
    <x v="48"/>
    <n v="37"/>
  </r>
  <r>
    <x v="34"/>
    <x v="19"/>
    <n v="70"/>
  </r>
  <r>
    <x v="16"/>
    <x v="40"/>
    <n v="121"/>
  </r>
  <r>
    <x v="23"/>
    <x v="36"/>
    <n v="103"/>
  </r>
  <r>
    <x v="35"/>
    <x v="12"/>
    <n v="138"/>
  </r>
  <r>
    <x v="56"/>
    <x v="10"/>
    <n v="107"/>
  </r>
  <r>
    <x v="16"/>
    <x v="40"/>
    <n v="119"/>
  </r>
  <r>
    <x v="35"/>
    <x v="12"/>
    <n v="130"/>
  </r>
  <r>
    <x v="16"/>
    <x v="40"/>
    <n v="123"/>
  </r>
  <r>
    <x v="16"/>
    <x v="40"/>
    <n v="148"/>
  </r>
  <r>
    <x v="16"/>
    <x v="40"/>
    <n v="152"/>
  </r>
  <r>
    <x v="16"/>
    <x v="40"/>
    <n v="138"/>
  </r>
  <r>
    <x v="27"/>
    <x v="13"/>
    <n v="107"/>
  </r>
  <r>
    <x v="23"/>
    <x v="36"/>
    <n v="130"/>
  </r>
  <r>
    <x v="41"/>
    <x v="6"/>
    <n v="121"/>
  </r>
  <r>
    <x v="35"/>
    <x v="12"/>
    <n v="120"/>
  </r>
  <r>
    <x v="57"/>
    <x v="11"/>
    <n v="108"/>
  </r>
  <r>
    <x v="56"/>
    <x v="10"/>
    <n v="158"/>
  </r>
  <r>
    <x v="10"/>
    <x v="7"/>
    <n v="133"/>
  </r>
  <r>
    <x v="58"/>
    <x v="57"/>
    <n v="17"/>
  </r>
  <r>
    <x v="59"/>
    <x v="58"/>
    <n v="109"/>
  </r>
  <r>
    <x v="60"/>
    <x v="59"/>
    <n v="60"/>
  </r>
  <r>
    <x v="61"/>
    <x v="60"/>
    <n v="57"/>
  </r>
  <r>
    <x v="62"/>
    <x v="61"/>
    <n v="89"/>
  </r>
  <r>
    <x v="63"/>
    <x v="62"/>
    <n v="112"/>
  </r>
  <r>
    <x v="64"/>
    <x v="63"/>
    <n v="99"/>
  </r>
  <r>
    <x v="65"/>
    <x v="64"/>
    <n v="59"/>
  </r>
  <r>
    <x v="66"/>
    <x v="65"/>
    <n v="132"/>
  </r>
  <r>
    <x v="67"/>
    <x v="66"/>
    <n v="48"/>
  </r>
  <r>
    <x v="68"/>
    <x v="67"/>
    <n v="186"/>
  </r>
  <r>
    <x v="69"/>
    <x v="68"/>
    <n v="113"/>
  </r>
  <r>
    <x v="70"/>
    <x v="69"/>
    <n v="149"/>
  </r>
  <r>
    <x v="71"/>
    <x v="70"/>
    <n v="54"/>
  </r>
  <r>
    <x v="72"/>
    <x v="71"/>
    <n v="73"/>
  </r>
  <r>
    <x v="73"/>
    <x v="72"/>
    <n v="62"/>
  </r>
  <r>
    <x v="74"/>
    <x v="73"/>
    <n v="37"/>
  </r>
  <r>
    <x v="75"/>
    <x v="74"/>
    <n v="107"/>
  </r>
  <r>
    <x v="76"/>
    <x v="75"/>
    <n v="128"/>
  </r>
  <r>
    <x v="77"/>
    <x v="76"/>
    <n v="130"/>
  </r>
  <r>
    <x v="78"/>
    <x v="77"/>
    <n v="98"/>
  </r>
  <r>
    <x v="79"/>
    <x v="65"/>
    <n v="168"/>
  </r>
  <r>
    <x v="80"/>
    <x v="78"/>
    <n v="75"/>
  </r>
  <r>
    <x v="81"/>
    <x v="79"/>
    <n v="92"/>
  </r>
  <r>
    <x v="82"/>
    <x v="80"/>
    <n v="70"/>
  </r>
  <r>
    <x v="83"/>
    <x v="71"/>
    <n v="53"/>
  </r>
  <r>
    <x v="84"/>
    <x v="81"/>
    <n v="93"/>
  </r>
  <r>
    <x v="85"/>
    <x v="82"/>
    <n v="65"/>
  </r>
  <r>
    <x v="86"/>
    <x v="83"/>
    <n v="54"/>
  </r>
  <r>
    <x v="87"/>
    <x v="84"/>
    <n v="42"/>
  </r>
  <r>
    <x v="88"/>
    <x v="85"/>
    <n v="77"/>
  </r>
  <r>
    <x v="89"/>
    <x v="61"/>
    <n v="24"/>
  </r>
  <r>
    <x v="67"/>
    <x v="59"/>
    <n v="30"/>
  </r>
  <r>
    <x v="90"/>
    <x v="79"/>
    <n v="77"/>
  </r>
  <r>
    <x v="91"/>
    <x v="86"/>
    <n v="85"/>
  </r>
  <r>
    <x v="59"/>
    <x v="82"/>
    <n v="29"/>
  </r>
  <r>
    <x v="61"/>
    <x v="57"/>
    <n v="111"/>
  </r>
  <r>
    <x v="65"/>
    <x v="87"/>
    <n v="136"/>
  </r>
  <r>
    <x v="92"/>
    <x v="88"/>
    <n v="98"/>
  </r>
  <r>
    <x v="93"/>
    <x v="89"/>
    <n v="79"/>
  </r>
  <r>
    <x v="82"/>
    <x v="84"/>
    <n v="116"/>
  </r>
  <r>
    <x v="75"/>
    <x v="90"/>
    <n v="57"/>
  </r>
  <r>
    <x v="88"/>
    <x v="64"/>
    <n v="86"/>
  </r>
  <r>
    <x v="76"/>
    <x v="78"/>
    <n v="67"/>
  </r>
  <r>
    <x v="84"/>
    <x v="77"/>
    <n v="116"/>
  </r>
  <r>
    <x v="94"/>
    <x v="91"/>
    <n v="103"/>
  </r>
  <r>
    <x v="83"/>
    <x v="92"/>
    <n v="87"/>
  </r>
  <r>
    <x v="79"/>
    <x v="93"/>
    <n v="78"/>
  </r>
  <r>
    <x v="68"/>
    <x v="94"/>
    <n v="123"/>
  </r>
  <r>
    <x v="95"/>
    <x v="95"/>
    <n v="27"/>
  </r>
  <r>
    <x v="87"/>
    <x v="63"/>
    <n v="112"/>
  </r>
  <r>
    <x v="59"/>
    <x v="70"/>
    <n v="47"/>
  </r>
  <r>
    <x v="91"/>
    <x v="62"/>
    <n v="100"/>
  </r>
  <r>
    <x v="96"/>
    <x v="86"/>
    <n v="109"/>
  </r>
  <r>
    <x v="97"/>
    <x v="90"/>
    <n v="100"/>
  </r>
  <r>
    <x v="98"/>
    <x v="96"/>
    <n v="80"/>
  </r>
  <r>
    <x v="99"/>
    <x v="60"/>
    <n v="51"/>
  </r>
  <r>
    <x v="100"/>
    <x v="97"/>
    <n v="64"/>
  </r>
  <r>
    <x v="101"/>
    <x v="98"/>
    <n v="63"/>
  </r>
  <r>
    <x v="89"/>
    <x v="99"/>
    <n v="56"/>
  </r>
  <r>
    <x v="102"/>
    <x v="100"/>
    <n v="77"/>
  </r>
  <r>
    <x v="103"/>
    <x v="101"/>
    <n v="98"/>
  </r>
  <r>
    <x v="76"/>
    <x v="63"/>
    <n v="57"/>
  </r>
  <r>
    <x v="97"/>
    <x v="102"/>
    <n v="123"/>
  </r>
  <r>
    <x v="104"/>
    <x v="103"/>
    <n v="135"/>
  </r>
  <r>
    <x v="98"/>
    <x v="104"/>
    <n v="72"/>
  </r>
  <r>
    <x v="66"/>
    <x v="96"/>
    <n v="135"/>
  </r>
  <r>
    <x v="71"/>
    <x v="99"/>
    <n v="49"/>
  </r>
  <r>
    <x v="105"/>
    <x v="93"/>
    <n v="82"/>
  </r>
  <r>
    <x v="106"/>
    <x v="81"/>
    <n v="97"/>
  </r>
  <r>
    <x v="63"/>
    <x v="70"/>
    <n v="82"/>
  </r>
  <r>
    <x v="60"/>
    <x v="66"/>
    <n v="67"/>
  </r>
  <r>
    <x v="90"/>
    <x v="83"/>
    <n v="97"/>
  </r>
  <r>
    <x v="87"/>
    <x v="105"/>
    <n v="90"/>
  </r>
  <r>
    <x v="84"/>
    <x v="101"/>
    <n v="107"/>
  </r>
  <r>
    <x v="95"/>
    <x v="87"/>
    <n v="114"/>
  </r>
  <r>
    <x v="73"/>
    <x v="69"/>
    <n v="81"/>
  </r>
  <r>
    <x v="107"/>
    <x v="106"/>
    <n v="150"/>
  </r>
  <r>
    <x v="106"/>
    <x v="95"/>
    <n v="54"/>
  </r>
  <r>
    <x v="85"/>
    <x v="71"/>
    <n v="39"/>
  </r>
  <r>
    <x v="103"/>
    <x v="75"/>
    <n v="120"/>
  </r>
  <r>
    <x v="58"/>
    <x v="60"/>
    <n v="84"/>
  </r>
  <r>
    <x v="108"/>
    <x v="107"/>
    <n v="74"/>
  </r>
  <r>
    <x v="93"/>
    <x v="108"/>
    <n v="80"/>
  </r>
  <r>
    <x v="99"/>
    <x v="82"/>
    <n v="111"/>
  </r>
  <r>
    <x v="90"/>
    <x v="57"/>
    <n v="74"/>
  </r>
  <r>
    <x v="100"/>
    <x v="64"/>
    <n v="106"/>
  </r>
  <r>
    <x v="109"/>
    <x v="85"/>
    <n v="87"/>
  </r>
  <r>
    <x v="94"/>
    <x v="66"/>
    <n v="58"/>
  </r>
  <r>
    <x v="110"/>
    <x v="78"/>
    <n v="83"/>
  </r>
  <r>
    <x v="111"/>
    <x v="101"/>
    <n v="103"/>
  </r>
  <r>
    <x v="95"/>
    <x v="109"/>
    <n v="83"/>
  </r>
  <r>
    <x v="69"/>
    <x v="98"/>
    <n v="85"/>
  </r>
  <r>
    <x v="103"/>
    <x v="68"/>
    <n v="95"/>
  </r>
  <r>
    <x v="70"/>
    <x v="80"/>
    <n v="103"/>
  </r>
  <r>
    <x v="61"/>
    <x v="87"/>
    <n v="118"/>
  </r>
  <r>
    <x v="112"/>
    <x v="108"/>
    <n v="92"/>
  </r>
  <r>
    <x v="93"/>
    <x v="85"/>
    <n v="85"/>
  </r>
  <r>
    <x v="106"/>
    <x v="65"/>
    <n v="130"/>
  </r>
  <r>
    <x v="87"/>
    <x v="103"/>
    <n v="87"/>
  </r>
  <r>
    <x v="91"/>
    <x v="99"/>
    <n v="100"/>
  </r>
  <r>
    <x v="108"/>
    <x v="67"/>
    <n v="97"/>
  </r>
  <r>
    <x v="60"/>
    <x v="94"/>
    <n v="84"/>
  </r>
  <r>
    <x v="67"/>
    <x v="110"/>
    <n v="102"/>
  </r>
  <r>
    <x v="68"/>
    <x v="88"/>
    <n v="148"/>
  </r>
  <r>
    <x v="96"/>
    <x v="96"/>
    <n v="89"/>
  </r>
  <r>
    <x v="81"/>
    <x v="64"/>
    <n v="42"/>
  </r>
  <r>
    <x v="76"/>
    <x v="59"/>
    <n v="85"/>
  </r>
  <r>
    <x v="82"/>
    <x v="98"/>
    <n v="98"/>
  </r>
  <r>
    <x v="108"/>
    <x v="111"/>
    <n v="65"/>
  </r>
  <r>
    <x v="70"/>
    <x v="63"/>
    <n v="143"/>
  </r>
  <r>
    <x v="113"/>
    <x v="102"/>
    <n v="69"/>
  </r>
  <r>
    <x v="102"/>
    <x v="101"/>
    <n v="90"/>
  </r>
  <r>
    <x v="114"/>
    <x v="68"/>
    <n v="80"/>
  </r>
  <r>
    <x v="115"/>
    <x v="69"/>
    <n v="103"/>
  </r>
  <r>
    <x v="107"/>
    <x v="70"/>
    <n v="83"/>
  </r>
  <r>
    <x v="97"/>
    <x v="112"/>
    <n v="93"/>
  </r>
  <r>
    <x v="69"/>
    <x v="86"/>
    <n v="37"/>
  </r>
  <r>
    <x v="103"/>
    <x v="110"/>
    <n v="95"/>
  </r>
  <r>
    <x v="88"/>
    <x v="113"/>
    <n v="168"/>
  </r>
  <r>
    <x v="59"/>
    <x v="66"/>
    <n v="52"/>
  </r>
  <r>
    <x v="116"/>
    <x v="100"/>
    <n v="79"/>
  </r>
  <r>
    <x v="67"/>
    <x v="106"/>
    <n v="62"/>
  </r>
  <r>
    <x v="111"/>
    <x v="114"/>
    <n v="94"/>
  </r>
  <r>
    <x v="92"/>
    <x v="62"/>
    <n v="80"/>
  </r>
  <r>
    <x v="115"/>
    <x v="79"/>
    <n v="70"/>
  </r>
  <r>
    <x v="117"/>
    <x v="96"/>
    <n v="62"/>
  </r>
  <r>
    <x v="105"/>
    <x v="103"/>
    <n v="109"/>
  </r>
  <r>
    <x v="77"/>
    <x v="109"/>
    <n v="60"/>
  </r>
  <r>
    <x v="69"/>
    <x v="65"/>
    <n v="98"/>
  </r>
  <r>
    <x v="81"/>
    <x v="57"/>
    <n v="83"/>
  </r>
  <r>
    <x v="75"/>
    <x v="83"/>
    <n v="31"/>
  </r>
  <r>
    <x v="62"/>
    <x v="97"/>
    <n v="43"/>
  </r>
  <r>
    <x v="111"/>
    <x v="106"/>
    <n v="63"/>
  </r>
  <r>
    <x v="118"/>
    <x v="81"/>
    <n v="130"/>
  </r>
  <r>
    <x v="91"/>
    <x v="77"/>
    <n v="92"/>
  </r>
  <r>
    <x v="116"/>
    <x v="76"/>
    <n v="129"/>
  </r>
  <r>
    <x v="90"/>
    <x v="107"/>
    <n v="71"/>
  </r>
  <r>
    <x v="58"/>
    <x v="100"/>
    <n v="84"/>
  </r>
  <r>
    <x v="100"/>
    <x v="67"/>
    <n v="80"/>
  </r>
  <r>
    <x v="70"/>
    <x v="74"/>
    <n v="163"/>
  </r>
  <r>
    <x v="97"/>
    <x v="91"/>
    <n v="103"/>
  </r>
  <r>
    <x v="68"/>
    <x v="88"/>
    <n v="103"/>
  </r>
  <r>
    <x v="88"/>
    <x v="108"/>
    <n v="65"/>
  </r>
  <r>
    <x v="70"/>
    <x v="74"/>
    <n v="105"/>
  </r>
  <r>
    <x v="68"/>
    <x v="88"/>
    <n v="85"/>
  </r>
  <r>
    <x v="70"/>
    <x v="74"/>
    <n v="158"/>
  </r>
  <r>
    <x v="70"/>
    <x v="74"/>
    <n v="105"/>
  </r>
  <r>
    <x v="70"/>
    <x v="74"/>
    <n v="160"/>
  </r>
  <r>
    <x v="96"/>
    <x v="115"/>
    <n v="0"/>
  </r>
  <r>
    <x v="97"/>
    <x v="91"/>
    <n v="140"/>
  </r>
  <r>
    <x v="78"/>
    <x v="72"/>
    <n v="121"/>
  </r>
  <r>
    <x v="68"/>
    <x v="88"/>
    <n v="84"/>
  </r>
  <r>
    <x v="86"/>
    <x v="110"/>
    <n v="0"/>
  </r>
  <r>
    <x v="88"/>
    <x v="108"/>
    <n v="158"/>
  </r>
  <r>
    <x v="65"/>
    <x v="65"/>
    <n v="168"/>
  </r>
  <r>
    <x v="70"/>
    <x v="74"/>
    <n v="138"/>
  </r>
  <r>
    <x v="70"/>
    <x v="74"/>
    <n v="129"/>
  </r>
  <r>
    <x v="35"/>
    <x v="23"/>
    <n v="107"/>
  </r>
  <r>
    <x v="30"/>
    <x v="28"/>
    <n v="56"/>
  </r>
  <r>
    <x v="16"/>
    <x v="27"/>
    <n v="122"/>
  </r>
  <r>
    <x v="25"/>
    <x v="20"/>
    <n v="115"/>
  </r>
  <r>
    <x v="28"/>
    <x v="53"/>
    <n v="144"/>
  </r>
  <r>
    <x v="20"/>
    <x v="21"/>
    <n v="30"/>
  </r>
  <r>
    <x v="18"/>
    <x v="50"/>
    <n v="65"/>
  </r>
  <r>
    <x v="34"/>
    <x v="16"/>
    <n v="82"/>
  </r>
  <r>
    <x v="31"/>
    <x v="22"/>
    <n v="73"/>
  </r>
  <r>
    <x v="17"/>
    <x v="55"/>
    <n v="116"/>
  </r>
  <r>
    <x v="45"/>
    <x v="56"/>
    <n v="70"/>
  </r>
  <r>
    <x v="40"/>
    <x v="48"/>
    <n v="87"/>
  </r>
  <r>
    <x v="38"/>
    <x v="116"/>
    <n v="47"/>
  </r>
  <r>
    <x v="119"/>
    <x v="54"/>
    <n v="78"/>
  </r>
  <r>
    <x v="37"/>
    <x v="26"/>
    <n v="15"/>
  </r>
  <r>
    <x v="6"/>
    <x v="51"/>
    <n v="120"/>
  </r>
  <r>
    <x v="32"/>
    <x v="34"/>
    <n v="25"/>
  </r>
  <r>
    <x v="43"/>
    <x v="47"/>
    <n v="111"/>
  </r>
  <r>
    <x v="5"/>
    <x v="29"/>
    <n v="117"/>
  </r>
  <r>
    <x v="10"/>
    <x v="5"/>
    <n v="72"/>
  </r>
  <r>
    <x v="120"/>
    <x v="13"/>
    <n v="77"/>
  </r>
  <r>
    <x v="49"/>
    <x v="117"/>
    <n v="59"/>
  </r>
  <r>
    <x v="37"/>
    <x v="28"/>
    <n v="78"/>
  </r>
  <r>
    <x v="38"/>
    <x v="118"/>
    <n v="58"/>
  </r>
  <r>
    <x v="33"/>
    <x v="33"/>
    <n v="102"/>
  </r>
  <r>
    <x v="8"/>
    <x v="41"/>
    <n v="36"/>
  </r>
  <r>
    <x v="15"/>
    <x v="39"/>
    <n v="47"/>
  </r>
  <r>
    <x v="47"/>
    <x v="14"/>
    <n v="65"/>
  </r>
  <r>
    <x v="11"/>
    <x v="46"/>
    <n v="108"/>
  </r>
  <r>
    <x v="42"/>
    <x v="12"/>
    <n v="136"/>
  </r>
  <r>
    <x v="44"/>
    <x v="36"/>
    <n v="63"/>
  </r>
  <r>
    <x v="5"/>
    <x v="13"/>
    <n v="133"/>
  </r>
  <r>
    <x v="50"/>
    <x v="119"/>
    <n v="75"/>
  </r>
  <r>
    <x v="22"/>
    <x v="50"/>
    <n v="74"/>
  </r>
  <r>
    <x v="8"/>
    <x v="44"/>
    <n v="91"/>
  </r>
  <r>
    <x v="2"/>
    <x v="23"/>
    <n v="7"/>
  </r>
  <r>
    <x v="13"/>
    <x v="45"/>
    <n v="38"/>
  </r>
  <r>
    <x v="53"/>
    <x v="24"/>
    <n v="30"/>
  </r>
  <r>
    <x v="12"/>
    <x v="11"/>
    <n v="39"/>
  </r>
  <r>
    <x v="41"/>
    <x v="54"/>
    <n v="107"/>
  </r>
  <r>
    <x v="43"/>
    <x v="120"/>
    <n v="93"/>
  </r>
  <r>
    <x v="0"/>
    <x v="7"/>
    <n v="133"/>
  </r>
  <r>
    <x v="47"/>
    <x v="53"/>
    <n v="118"/>
  </r>
  <r>
    <x v="52"/>
    <x v="18"/>
    <n v="67"/>
  </r>
  <r>
    <x v="19"/>
    <x v="21"/>
    <n v="105"/>
  </r>
  <r>
    <x v="27"/>
    <x v="26"/>
    <n v="97"/>
  </r>
  <r>
    <x v="53"/>
    <x v="29"/>
    <n v="26"/>
  </r>
  <r>
    <x v="36"/>
    <x v="48"/>
    <n v="49"/>
  </r>
  <r>
    <x v="25"/>
    <x v="47"/>
    <n v="138"/>
  </r>
  <r>
    <x v="32"/>
    <x v="25"/>
    <n v="78"/>
  </r>
  <r>
    <x v="20"/>
    <x v="20"/>
    <n v="81"/>
  </r>
  <r>
    <x v="7"/>
    <x v="23"/>
    <n v="115"/>
  </r>
  <r>
    <x v="23"/>
    <x v="51"/>
    <n v="80"/>
  </r>
  <r>
    <x v="16"/>
    <x v="36"/>
    <n v="118"/>
  </r>
  <r>
    <x v="39"/>
    <x v="34"/>
    <n v="106"/>
  </r>
  <r>
    <x v="120"/>
    <x v="12"/>
    <n v="40"/>
  </r>
  <r>
    <x v="18"/>
    <x v="0"/>
    <n v="121"/>
  </r>
  <r>
    <x v="19"/>
    <x v="117"/>
    <n v="143"/>
  </r>
  <r>
    <x v="1"/>
    <x v="10"/>
    <n v="119"/>
  </r>
  <r>
    <x v="33"/>
    <x v="52"/>
    <n v="106"/>
  </r>
  <r>
    <x v="50"/>
    <x v="19"/>
    <n v="104"/>
  </r>
  <r>
    <x v="15"/>
    <x v="53"/>
    <n v="64"/>
  </r>
  <r>
    <x v="41"/>
    <x v="38"/>
    <n v="155"/>
  </r>
  <r>
    <x v="18"/>
    <x v="36"/>
    <n v="117"/>
  </r>
  <r>
    <x v="3"/>
    <x v="14"/>
    <n v="48"/>
  </r>
  <r>
    <x v="44"/>
    <x v="20"/>
    <n v="98"/>
  </r>
  <r>
    <x v="42"/>
    <x v="5"/>
    <n v="131"/>
  </r>
  <r>
    <x v="56"/>
    <x v="17"/>
    <n v="48"/>
  </r>
  <r>
    <x v="43"/>
    <x v="41"/>
    <n v="68"/>
  </r>
  <r>
    <x v="15"/>
    <x v="29"/>
    <n v="69"/>
  </r>
  <r>
    <x v="119"/>
    <x v="18"/>
    <n v="44"/>
  </r>
  <r>
    <x v="40"/>
    <x v="2"/>
    <n v="93"/>
  </r>
  <r>
    <x v="26"/>
    <x v="3"/>
    <n v="106"/>
  </r>
  <r>
    <x v="8"/>
    <x v="19"/>
    <n v="67"/>
  </r>
  <r>
    <x v="30"/>
    <x v="52"/>
    <n v="49"/>
  </r>
  <r>
    <x v="17"/>
    <x v="1"/>
    <n v="53"/>
  </r>
  <r>
    <x v="51"/>
    <x v="9"/>
    <n v="63"/>
  </r>
  <r>
    <x v="9"/>
    <x v="43"/>
    <n v="49"/>
  </r>
  <r>
    <x v="46"/>
    <x v="17"/>
    <n v="100"/>
  </r>
  <r>
    <x v="27"/>
    <x v="16"/>
    <n v="116"/>
  </r>
  <r>
    <x v="8"/>
    <x v="33"/>
    <n v="52"/>
  </r>
  <r>
    <x v="121"/>
    <x v="44"/>
    <n v="108"/>
  </r>
  <r>
    <x v="50"/>
    <x v="37"/>
    <n v="73"/>
  </r>
  <r>
    <x v="22"/>
    <x v="15"/>
    <n v="85"/>
  </r>
  <r>
    <x v="24"/>
    <x v="26"/>
    <n v="34"/>
  </r>
  <r>
    <x v="1"/>
    <x v="25"/>
    <n v="97"/>
  </r>
  <r>
    <x v="28"/>
    <x v="13"/>
    <n v="88"/>
  </r>
  <r>
    <x v="55"/>
    <x v="0"/>
    <n v="60"/>
  </r>
  <r>
    <x v="33"/>
    <x v="47"/>
    <n v="40"/>
  </r>
  <r>
    <x v="23"/>
    <x v="7"/>
    <n v="113"/>
  </r>
  <r>
    <x v="54"/>
    <x v="34"/>
    <n v="86"/>
  </r>
  <r>
    <x v="25"/>
    <x v="40"/>
    <n v="157"/>
  </r>
  <r>
    <x v="39"/>
    <x v="35"/>
    <n v="89"/>
  </r>
  <r>
    <x v="29"/>
    <x v="18"/>
    <n v="41"/>
  </r>
  <r>
    <x v="27"/>
    <x v="120"/>
    <n v="93"/>
  </r>
  <r>
    <x v="3"/>
    <x v="19"/>
    <n v="148"/>
  </r>
  <r>
    <x v="35"/>
    <x v="17"/>
    <n v="72"/>
  </r>
  <r>
    <x v="56"/>
    <x v="5"/>
    <n v="97"/>
  </r>
  <r>
    <x v="46"/>
    <x v="3"/>
    <n v="118"/>
  </r>
  <r>
    <x v="10"/>
    <x v="117"/>
    <n v="86"/>
  </r>
  <r>
    <x v="17"/>
    <x v="21"/>
    <n v="35"/>
  </r>
  <r>
    <x v="39"/>
    <x v="43"/>
    <n v="69"/>
  </r>
  <r>
    <x v="4"/>
    <x v="37"/>
    <n v="40"/>
  </r>
  <r>
    <x v="1"/>
    <x v="12"/>
    <n v="105"/>
  </r>
  <r>
    <x v="5"/>
    <x v="20"/>
    <n v="155"/>
  </r>
  <r>
    <x v="43"/>
    <x v="118"/>
    <n v="88"/>
  </r>
  <r>
    <x v="11"/>
    <x v="56"/>
    <n v="65"/>
  </r>
  <r>
    <x v="13"/>
    <x v="10"/>
    <n v="84"/>
  </r>
  <r>
    <x v="120"/>
    <x v="14"/>
    <n v="63"/>
  </r>
  <r>
    <x v="47"/>
    <x v="36"/>
    <n v="79"/>
  </r>
  <r>
    <x v="2"/>
    <x v="50"/>
    <n v="35"/>
  </r>
  <r>
    <x v="5"/>
    <x v="48"/>
    <n v="97"/>
  </r>
  <r>
    <x v="28"/>
    <x v="27"/>
    <n v="99"/>
  </r>
  <r>
    <x v="48"/>
    <x v="29"/>
    <n v="54"/>
  </r>
  <r>
    <x v="50"/>
    <x v="6"/>
    <n v="102"/>
  </r>
  <r>
    <x v="120"/>
    <x v="25"/>
    <n v="43"/>
  </r>
  <r>
    <x v="13"/>
    <x v="55"/>
    <n v="73"/>
  </r>
  <r>
    <x v="20"/>
    <x v="38"/>
    <n v="48"/>
  </r>
  <r>
    <x v="21"/>
    <x v="0"/>
    <n v="55"/>
  </r>
  <r>
    <x v="40"/>
    <x v="9"/>
    <n v="55"/>
  </r>
  <r>
    <x v="25"/>
    <x v="13"/>
    <n v="114"/>
  </r>
  <r>
    <x v="15"/>
    <x v="31"/>
    <n v="139"/>
  </r>
  <r>
    <x v="49"/>
    <x v="54"/>
    <n v="121"/>
  </r>
  <r>
    <x v="44"/>
    <x v="18"/>
    <n v="52"/>
  </r>
  <r>
    <x v="11"/>
    <x v="41"/>
    <n v="72"/>
  </r>
  <r>
    <x v="39"/>
    <x v="21"/>
    <n v="72"/>
  </r>
  <r>
    <x v="16"/>
    <x v="117"/>
    <n v="143"/>
  </r>
  <r>
    <x v="122"/>
    <x v="15"/>
    <n v="83"/>
  </r>
  <r>
    <x v="53"/>
    <x v="9"/>
    <n v="87"/>
  </r>
  <r>
    <x v="54"/>
    <x v="0"/>
    <n v="63"/>
  </r>
  <r>
    <x v="23"/>
    <x v="26"/>
    <n v="62"/>
  </r>
  <r>
    <x v="49"/>
    <x v="4"/>
    <n v="84"/>
  </r>
  <r>
    <x v="44"/>
    <x v="8"/>
    <n v="63"/>
  </r>
  <r>
    <x v="56"/>
    <x v="52"/>
    <n v="111"/>
  </r>
  <r>
    <x v="20"/>
    <x v="116"/>
    <n v="72"/>
  </r>
  <r>
    <x v="22"/>
    <x v="30"/>
    <n v="27"/>
  </r>
  <r>
    <x v="10"/>
    <x v="7"/>
    <n v="161"/>
  </r>
  <r>
    <x v="119"/>
    <x v="36"/>
    <n v="48"/>
  </r>
  <r>
    <x v="18"/>
    <x v="47"/>
    <n v="72"/>
  </r>
  <r>
    <x v="5"/>
    <x v="0"/>
    <n v="125"/>
  </r>
  <r>
    <x v="27"/>
    <x v="13"/>
    <n v="85"/>
  </r>
  <r>
    <x v="41"/>
    <x v="6"/>
    <n v="120"/>
  </r>
  <r>
    <x v="25"/>
    <x v="31"/>
    <n v="122"/>
  </r>
  <r>
    <x v="10"/>
    <x v="7"/>
    <n v="78"/>
  </r>
  <r>
    <x v="41"/>
    <x v="6"/>
    <n v="87"/>
  </r>
  <r>
    <x v="56"/>
    <x v="10"/>
    <n v="93"/>
  </r>
  <r>
    <x v="35"/>
    <x v="12"/>
    <n v="130"/>
  </r>
  <r>
    <x v="35"/>
    <x v="12"/>
    <n v="124"/>
  </r>
  <r>
    <x v="35"/>
    <x v="12"/>
    <n v="142"/>
  </r>
  <r>
    <x v="31"/>
    <x v="22"/>
    <n v="67"/>
  </r>
  <r>
    <x v="1"/>
    <x v="45"/>
    <n v="78"/>
  </r>
  <r>
    <x v="34"/>
    <x v="54"/>
    <n v="93"/>
  </r>
  <r>
    <x v="26"/>
    <x v="1"/>
    <n v="71"/>
  </r>
  <r>
    <x v="47"/>
    <x v="23"/>
    <n v="0"/>
  </r>
  <r>
    <x v="25"/>
    <x v="31"/>
    <n v="148"/>
  </r>
  <r>
    <x v="54"/>
    <x v="52"/>
    <n v="90"/>
  </r>
  <r>
    <x v="19"/>
    <x v="17"/>
    <n v="90"/>
  </r>
  <r>
    <x v="103"/>
    <x v="111"/>
    <n v="73"/>
  </r>
  <r>
    <x v="100"/>
    <x v="121"/>
    <n v="129"/>
  </r>
  <r>
    <x v="88"/>
    <x v="87"/>
    <n v="89"/>
  </r>
  <r>
    <x v="104"/>
    <x v="112"/>
    <n v="118"/>
  </r>
  <r>
    <x v="91"/>
    <x v="84"/>
    <n v="113"/>
  </r>
  <r>
    <x v="85"/>
    <x v="101"/>
    <n v="65"/>
  </r>
  <r>
    <x v="75"/>
    <x v="86"/>
    <n v="97"/>
  </r>
  <r>
    <x v="93"/>
    <x v="82"/>
    <n v="42"/>
  </r>
  <r>
    <x v="97"/>
    <x v="79"/>
    <n v="118"/>
  </r>
  <r>
    <x v="82"/>
    <x v="99"/>
    <n v="125"/>
  </r>
  <r>
    <x v="102"/>
    <x v="80"/>
    <n v="55"/>
  </r>
  <r>
    <x v="92"/>
    <x v="113"/>
    <n v="90"/>
  </r>
  <r>
    <x v="81"/>
    <x v="83"/>
    <n v="62"/>
  </r>
  <r>
    <x v="96"/>
    <x v="106"/>
    <n v="200"/>
  </r>
  <r>
    <x v="79"/>
    <x v="78"/>
    <n v="89"/>
  </r>
  <r>
    <x v="90"/>
    <x v="108"/>
    <n v="47"/>
  </r>
  <r>
    <x v="67"/>
    <x v="61"/>
    <n v="41"/>
  </r>
  <r>
    <x v="94"/>
    <x v="92"/>
    <n v="105"/>
  </r>
  <r>
    <x v="64"/>
    <x v="64"/>
    <n v="134"/>
  </r>
  <r>
    <x v="95"/>
    <x v="60"/>
    <n v="70"/>
  </r>
  <r>
    <x v="110"/>
    <x v="66"/>
    <n v="27"/>
  </r>
  <r>
    <x v="117"/>
    <x v="63"/>
    <n v="85"/>
  </r>
  <r>
    <x v="105"/>
    <x v="72"/>
    <n v="92"/>
  </r>
  <r>
    <x v="93"/>
    <x v="105"/>
    <n v="105"/>
  </r>
  <r>
    <x v="60"/>
    <x v="115"/>
    <n v="110"/>
  </r>
  <r>
    <x v="65"/>
    <x v="100"/>
    <n v="115"/>
  </r>
  <r>
    <x v="91"/>
    <x v="89"/>
    <n v="115"/>
  </r>
  <r>
    <x v="73"/>
    <x v="68"/>
    <n v="57"/>
  </r>
  <r>
    <x v="61"/>
    <x v="95"/>
    <n v="62"/>
  </r>
  <r>
    <x v="112"/>
    <x v="91"/>
    <n v="65"/>
  </r>
  <r>
    <x v="72"/>
    <x v="90"/>
    <n v="60"/>
  </r>
  <r>
    <x v="106"/>
    <x v="70"/>
    <n v="80"/>
  </r>
  <r>
    <x v="109"/>
    <x v="96"/>
    <n v="174"/>
  </r>
  <r>
    <x v="113"/>
    <x v="73"/>
    <n v="68"/>
  </r>
  <r>
    <x v="66"/>
    <x v="69"/>
    <n v="75"/>
  </r>
  <r>
    <x v="68"/>
    <x v="76"/>
    <n v="129"/>
  </r>
  <r>
    <x v="85"/>
    <x v="110"/>
    <n v="120"/>
  </r>
  <r>
    <x v="81"/>
    <x v="66"/>
    <n v="137"/>
  </r>
  <r>
    <x v="63"/>
    <x v="99"/>
    <n v="22"/>
  </r>
  <r>
    <x v="72"/>
    <x v="107"/>
    <n v="65"/>
  </r>
  <r>
    <x v="71"/>
    <x v="63"/>
    <n v="62"/>
  </r>
  <r>
    <x v="95"/>
    <x v="101"/>
    <n v="95"/>
  </r>
  <r>
    <x v="78"/>
    <x v="60"/>
    <n v="89"/>
  </r>
  <r>
    <x v="87"/>
    <x v="74"/>
    <n v="119"/>
  </r>
  <r>
    <x v="99"/>
    <x v="68"/>
    <n v="64"/>
  </r>
  <r>
    <x v="102"/>
    <x v="81"/>
    <n v="75"/>
  </r>
  <r>
    <x v="92"/>
    <x v="72"/>
    <n v="97"/>
  </r>
  <r>
    <x v="73"/>
    <x v="107"/>
    <n v="102"/>
  </r>
  <r>
    <x v="75"/>
    <x v="104"/>
    <n v="87"/>
  </r>
  <r>
    <x v="78"/>
    <x v="89"/>
    <n v="130"/>
  </r>
  <r>
    <x v="61"/>
    <x v="64"/>
    <n v="125"/>
  </r>
  <r>
    <x v="88"/>
    <x v="111"/>
    <n v="53"/>
  </r>
  <r>
    <x v="107"/>
    <x v="59"/>
    <n v="71"/>
  </r>
  <r>
    <x v="109"/>
    <x v="113"/>
    <n v="109"/>
  </r>
  <r>
    <x v="67"/>
    <x v="91"/>
    <n v="70"/>
  </r>
  <r>
    <x v="111"/>
    <x v="112"/>
    <n v="60"/>
  </r>
  <r>
    <x v="65"/>
    <x v="108"/>
    <n v="168"/>
  </r>
  <r>
    <x v="104"/>
    <x v="78"/>
    <n v="60"/>
  </r>
  <r>
    <x v="115"/>
    <x v="73"/>
    <n v="106"/>
  </r>
  <r>
    <x v="113"/>
    <x v="57"/>
    <n v="56"/>
  </r>
  <r>
    <x v="108"/>
    <x v="69"/>
    <n v="63"/>
  </r>
  <r>
    <x v="74"/>
    <x v="106"/>
    <n v="37"/>
  </r>
  <r>
    <x v="78"/>
    <x v="115"/>
    <n v="99"/>
  </r>
  <r>
    <x v="91"/>
    <x v="64"/>
    <n v="80"/>
  </r>
  <r>
    <x v="77"/>
    <x v="122"/>
    <n v="42"/>
  </r>
  <r>
    <x v="70"/>
    <x v="114"/>
    <n v="132"/>
  </r>
  <r>
    <x v="62"/>
    <x v="62"/>
    <n v="22"/>
  </r>
  <r>
    <x v="79"/>
    <x v="61"/>
    <n v="114"/>
  </r>
  <r>
    <x v="108"/>
    <x v="71"/>
    <n v="62"/>
  </r>
  <r>
    <x v="103"/>
    <x v="82"/>
    <n v="65"/>
  </r>
  <r>
    <x v="72"/>
    <x v="92"/>
    <n v="115"/>
  </r>
  <r>
    <x v="109"/>
    <x v="60"/>
    <n v="88"/>
  </r>
  <r>
    <x v="102"/>
    <x v="94"/>
    <n v="119"/>
  </r>
  <r>
    <x v="58"/>
    <x v="85"/>
    <n v="46"/>
  </r>
  <r>
    <x v="69"/>
    <x v="78"/>
    <n v="72"/>
  </r>
  <r>
    <x v="93"/>
    <x v="80"/>
    <n v="106"/>
  </r>
  <r>
    <x v="88"/>
    <x v="57"/>
    <n v="74"/>
  </r>
  <r>
    <x v="61"/>
    <x v="102"/>
    <n v="71"/>
  </r>
  <r>
    <x v="97"/>
    <x v="100"/>
    <n v="95"/>
  </r>
  <r>
    <x v="62"/>
    <x v="89"/>
    <n v="223"/>
  </r>
  <r>
    <x v="67"/>
    <x v="70"/>
    <n v="37"/>
  </r>
  <r>
    <x v="79"/>
    <x v="123"/>
    <n v="93"/>
  </r>
  <r>
    <x v="76"/>
    <x v="105"/>
    <n v="104"/>
  </r>
  <r>
    <x v="98"/>
    <x v="67"/>
    <n v="109"/>
  </r>
  <r>
    <x v="89"/>
    <x v="63"/>
    <n v="39"/>
  </r>
  <r>
    <x v="74"/>
    <x v="81"/>
    <n v="123"/>
  </r>
  <r>
    <x v="84"/>
    <x v="99"/>
    <n v="41"/>
  </r>
  <r>
    <x v="81"/>
    <x v="115"/>
    <n v="104"/>
  </r>
  <r>
    <x v="77"/>
    <x v="106"/>
    <n v="120"/>
  </r>
  <r>
    <x v="65"/>
    <x v="104"/>
    <n v="138"/>
  </r>
  <r>
    <x v="87"/>
    <x v="79"/>
    <n v="80"/>
  </r>
  <r>
    <x v="64"/>
    <x v="77"/>
    <n v="52"/>
  </r>
  <r>
    <x v="73"/>
    <x v="59"/>
    <n v="40"/>
  </r>
  <r>
    <x v="123"/>
    <x v="90"/>
    <n v="60"/>
  </r>
  <r>
    <x v="63"/>
    <x v="102"/>
    <n v="37"/>
  </r>
  <r>
    <x v="102"/>
    <x v="115"/>
    <n v="64"/>
  </r>
  <r>
    <x v="83"/>
    <x v="82"/>
    <n v="54"/>
  </r>
  <r>
    <x v="118"/>
    <x v="70"/>
    <n v="40"/>
  </r>
  <r>
    <x v="113"/>
    <x v="83"/>
    <n v="25"/>
  </r>
  <r>
    <x v="97"/>
    <x v="111"/>
    <n v="53"/>
  </r>
  <r>
    <x v="95"/>
    <x v="112"/>
    <n v="87"/>
  </r>
  <r>
    <x v="116"/>
    <x v="73"/>
    <n v="79"/>
  </r>
  <r>
    <x v="107"/>
    <x v="86"/>
    <n v="86"/>
  </r>
  <r>
    <x v="88"/>
    <x v="92"/>
    <n v="105"/>
  </r>
  <r>
    <x v="94"/>
    <x v="95"/>
    <n v="86"/>
  </r>
  <r>
    <x v="110"/>
    <x v="101"/>
    <n v="77"/>
  </r>
  <r>
    <x v="104"/>
    <x v="91"/>
    <n v="75"/>
  </r>
  <r>
    <x v="101"/>
    <x v="61"/>
    <n v="92"/>
  </r>
  <r>
    <x v="91"/>
    <x v="65"/>
    <n v="92"/>
  </r>
  <r>
    <x v="92"/>
    <x v="87"/>
    <n v="106"/>
  </r>
  <r>
    <x v="100"/>
    <x v="57"/>
    <n v="60"/>
  </r>
  <r>
    <x v="73"/>
    <x v="67"/>
    <n v="131"/>
  </r>
  <r>
    <x v="80"/>
    <x v="103"/>
    <n v="112"/>
  </r>
  <r>
    <x v="96"/>
    <x v="107"/>
    <n v="80"/>
  </r>
  <r>
    <x v="105"/>
    <x v="121"/>
    <n v="45"/>
  </r>
  <r>
    <x v="62"/>
    <x v="77"/>
    <n v="70"/>
  </r>
  <r>
    <x v="94"/>
    <x v="104"/>
    <n v="55"/>
  </r>
  <r>
    <x v="106"/>
    <x v="73"/>
    <n v="92"/>
  </r>
  <r>
    <x v="99"/>
    <x v="96"/>
    <n v="112"/>
  </r>
  <r>
    <x v="93"/>
    <x v="95"/>
    <n v="48"/>
  </r>
  <r>
    <x v="85"/>
    <x v="108"/>
    <n v="62"/>
  </r>
  <r>
    <x v="95"/>
    <x v="105"/>
    <n v="111"/>
  </r>
  <r>
    <x v="89"/>
    <x v="60"/>
    <n v="22"/>
  </r>
  <r>
    <x v="81"/>
    <x v="98"/>
    <n v="70"/>
  </r>
  <r>
    <x v="70"/>
    <x v="64"/>
    <n v="123"/>
  </r>
  <r>
    <x v="102"/>
    <x v="111"/>
    <n v="47"/>
  </r>
  <r>
    <x v="108"/>
    <x v="88"/>
    <n v="105"/>
  </r>
  <r>
    <x v="59"/>
    <x v="95"/>
    <n v="87"/>
  </r>
  <r>
    <x v="98"/>
    <x v="71"/>
    <n v="80"/>
  </r>
  <r>
    <x v="103"/>
    <x v="58"/>
    <n v="90"/>
  </r>
  <r>
    <x v="86"/>
    <x v="72"/>
    <n v="87"/>
  </r>
  <r>
    <x v="80"/>
    <x v="113"/>
    <n v="90"/>
  </r>
  <r>
    <x v="82"/>
    <x v="110"/>
    <n v="105"/>
  </r>
  <r>
    <x v="123"/>
    <x v="69"/>
    <n v="20"/>
  </r>
  <r>
    <x v="68"/>
    <x v="98"/>
    <n v="83"/>
  </r>
  <r>
    <x v="74"/>
    <x v="94"/>
    <n v="59"/>
  </r>
  <r>
    <x v="89"/>
    <x v="66"/>
    <n v="59"/>
  </r>
  <r>
    <x v="87"/>
    <x v="122"/>
    <n v="63"/>
  </r>
  <r>
    <x v="61"/>
    <x v="108"/>
    <n v="127"/>
  </r>
  <r>
    <x v="105"/>
    <x v="104"/>
    <n v="96"/>
  </r>
  <r>
    <x v="64"/>
    <x v="79"/>
    <n v="65"/>
  </r>
  <r>
    <x v="78"/>
    <x v="72"/>
    <n v="80"/>
  </r>
  <r>
    <x v="91"/>
    <x v="73"/>
    <n v="87"/>
  </r>
  <r>
    <x v="65"/>
    <x v="65"/>
    <n v="100"/>
  </r>
  <r>
    <x v="97"/>
    <x v="91"/>
    <n v="90"/>
  </r>
  <r>
    <x v="65"/>
    <x v="65"/>
    <n v="128"/>
  </r>
  <r>
    <x v="65"/>
    <x v="65"/>
    <n v="90"/>
  </r>
  <r>
    <x v="65"/>
    <x v="65"/>
    <n v="97"/>
  </r>
  <r>
    <x v="87"/>
    <x v="92"/>
    <n v="54"/>
  </r>
  <r>
    <x v="64"/>
    <x v="79"/>
    <n v="115"/>
  </r>
  <r>
    <x v="61"/>
    <x v="61"/>
    <n v="55"/>
  </r>
  <r>
    <x v="104"/>
    <x v="58"/>
    <n v="72"/>
  </r>
  <r>
    <x v="77"/>
    <x v="107"/>
    <n v="60"/>
  </r>
  <r>
    <x v="91"/>
    <x v="73"/>
    <n v="72"/>
  </r>
  <r>
    <x v="93"/>
    <x v="59"/>
    <n v="0"/>
  </r>
  <r>
    <x v="114"/>
    <x v="104"/>
    <n v="100"/>
  </r>
  <r>
    <x v="16"/>
    <x v="40"/>
    <n v="77"/>
  </r>
  <r>
    <x v="16"/>
    <x v="40"/>
    <n v="89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120">
  <r>
    <x v="0"/>
    <n v="59"/>
  </r>
  <r>
    <x v="1"/>
    <n v="59"/>
  </r>
  <r>
    <x v="2"/>
    <n v="107"/>
  </r>
  <r>
    <x v="3"/>
    <n v="107"/>
  </r>
  <r>
    <x v="4"/>
    <n v="135"/>
  </r>
  <r>
    <x v="5"/>
    <n v="135"/>
  </r>
  <r>
    <x v="6"/>
    <n v="56"/>
  </r>
  <r>
    <x v="7"/>
    <n v="56"/>
  </r>
  <r>
    <x v="8"/>
    <n v="48"/>
  </r>
  <r>
    <x v="9"/>
    <n v="48"/>
  </r>
  <r>
    <x v="10"/>
    <n v="122"/>
  </r>
  <r>
    <x v="11"/>
    <n v="122"/>
  </r>
  <r>
    <x v="12"/>
    <n v="72"/>
  </r>
  <r>
    <x v="13"/>
    <n v="72"/>
  </r>
  <r>
    <x v="14"/>
    <n v="115"/>
  </r>
  <r>
    <x v="15"/>
    <n v="115"/>
  </r>
  <r>
    <x v="16"/>
    <n v="14"/>
  </r>
  <r>
    <x v="17"/>
    <n v="14"/>
  </r>
  <r>
    <x v="18"/>
    <n v="144"/>
  </r>
  <r>
    <x v="19"/>
    <n v="144"/>
  </r>
  <r>
    <x v="20"/>
    <n v="113"/>
  </r>
  <r>
    <x v="21"/>
    <n v="113"/>
  </r>
  <r>
    <x v="22"/>
    <n v="30"/>
  </r>
  <r>
    <x v="23"/>
    <n v="30"/>
  </r>
  <r>
    <x v="24"/>
    <n v="110"/>
  </r>
  <r>
    <x v="25"/>
    <n v="110"/>
  </r>
  <r>
    <x v="26"/>
    <n v="65"/>
  </r>
  <r>
    <x v="27"/>
    <n v="65"/>
  </r>
  <r>
    <x v="28"/>
    <n v="78"/>
  </r>
  <r>
    <x v="29"/>
    <n v="78"/>
  </r>
  <r>
    <x v="30"/>
    <n v="82"/>
  </r>
  <r>
    <x v="31"/>
    <n v="82"/>
  </r>
  <r>
    <x v="32"/>
    <n v="47"/>
  </r>
  <r>
    <x v="33"/>
    <n v="47"/>
  </r>
  <r>
    <x v="34"/>
    <n v="73"/>
  </r>
  <r>
    <x v="35"/>
    <n v="73"/>
  </r>
  <r>
    <x v="36"/>
    <n v="53"/>
  </r>
  <r>
    <x v="37"/>
    <n v="53"/>
  </r>
  <r>
    <x v="38"/>
    <n v="116"/>
  </r>
  <r>
    <x v="39"/>
    <n v="116"/>
  </r>
  <r>
    <x v="40"/>
    <n v="118"/>
  </r>
  <r>
    <x v="41"/>
    <n v="118"/>
  </r>
  <r>
    <x v="42"/>
    <n v="70"/>
  </r>
  <r>
    <x v="43"/>
    <n v="70"/>
  </r>
  <r>
    <x v="44"/>
    <n v="110"/>
  </r>
  <r>
    <x v="45"/>
    <n v="110"/>
  </r>
  <r>
    <x v="46"/>
    <n v="87"/>
  </r>
  <r>
    <x v="47"/>
    <n v="87"/>
  </r>
  <r>
    <x v="48"/>
    <n v="88"/>
  </r>
  <r>
    <x v="49"/>
    <n v="88"/>
  </r>
  <r>
    <x v="50"/>
    <n v="47"/>
  </r>
  <r>
    <x v="51"/>
    <n v="47"/>
  </r>
  <r>
    <x v="52"/>
    <n v="80"/>
  </r>
  <r>
    <x v="53"/>
    <n v="80"/>
  </r>
  <r>
    <x v="54"/>
    <n v="78"/>
  </r>
  <r>
    <x v="55"/>
    <n v="78"/>
  </r>
  <r>
    <x v="56"/>
    <n v="122"/>
  </r>
  <r>
    <x v="57"/>
    <n v="122"/>
  </r>
  <r>
    <x v="58"/>
    <n v="15"/>
  </r>
  <r>
    <x v="59"/>
    <n v="15"/>
  </r>
  <r>
    <x v="60"/>
    <n v="70"/>
  </r>
  <r>
    <x v="61"/>
    <n v="70"/>
  </r>
  <r>
    <x v="24"/>
    <n v="120"/>
  </r>
  <r>
    <x v="2"/>
    <n v="120"/>
  </r>
  <r>
    <x v="10"/>
    <n v="108"/>
  </r>
  <r>
    <x v="31"/>
    <n v="108"/>
  </r>
  <r>
    <x v="37"/>
    <n v="25"/>
  </r>
  <r>
    <x v="16"/>
    <n v="25"/>
  </r>
  <r>
    <x v="38"/>
    <n v="63"/>
  </r>
  <r>
    <x v="42"/>
    <n v="63"/>
  </r>
  <r>
    <x v="25"/>
    <n v="111"/>
  </r>
  <r>
    <x v="34"/>
    <n v="111"/>
  </r>
  <r>
    <x v="26"/>
    <n v="27"/>
  </r>
  <r>
    <x v="28"/>
    <n v="27"/>
  </r>
  <r>
    <x v="20"/>
    <n v="117"/>
  </r>
  <r>
    <x v="36"/>
    <n v="117"/>
  </r>
  <r>
    <x v="13"/>
    <n v="128"/>
  </r>
  <r>
    <x v="33"/>
    <n v="128"/>
  </r>
  <r>
    <x v="40"/>
    <n v="72"/>
  </r>
  <r>
    <x v="21"/>
    <n v="72"/>
  </r>
  <r>
    <x v="22"/>
    <n v="84"/>
  </r>
  <r>
    <x v="48"/>
    <n v="84"/>
  </r>
  <r>
    <x v="17"/>
    <n v="77"/>
  </r>
  <r>
    <x v="53"/>
    <n v="77"/>
  </r>
  <r>
    <x v="19"/>
    <n v="125"/>
  </r>
  <r>
    <x v="15"/>
    <n v="125"/>
  </r>
  <r>
    <x v="41"/>
    <n v="59"/>
  </r>
  <r>
    <x v="0"/>
    <n v="59"/>
  </r>
  <r>
    <x v="43"/>
    <n v="62"/>
  </r>
  <r>
    <x v="23"/>
    <n v="62"/>
  </r>
  <r>
    <x v="58"/>
    <n v="78"/>
  </r>
  <r>
    <x v="7"/>
    <n v="78"/>
  </r>
  <r>
    <x v="39"/>
    <n v="96"/>
  </r>
  <r>
    <x v="35"/>
    <n v="96"/>
  </r>
  <r>
    <x v="50"/>
    <n v="58"/>
  </r>
  <r>
    <x v="46"/>
    <n v="58"/>
  </r>
  <r>
    <x v="55"/>
    <n v="80"/>
  </r>
  <r>
    <x v="3"/>
    <n v="80"/>
  </r>
  <r>
    <x v="9"/>
    <n v="102"/>
  </r>
  <r>
    <x v="12"/>
    <n v="102"/>
  </r>
  <r>
    <x v="14"/>
    <n v="153"/>
  </r>
  <r>
    <x v="54"/>
    <n v="153"/>
  </r>
  <r>
    <x v="32"/>
    <n v="36"/>
  </r>
  <r>
    <x v="8"/>
    <n v="36"/>
  </r>
  <r>
    <x v="27"/>
    <n v="100"/>
  </r>
  <r>
    <x v="5"/>
    <n v="100"/>
  </r>
  <r>
    <x v="60"/>
    <n v="47"/>
  </r>
  <r>
    <x v="52"/>
    <n v="47"/>
  </r>
  <r>
    <x v="51"/>
    <n v="170"/>
  </r>
  <r>
    <x v="30"/>
    <n v="170"/>
  </r>
  <r>
    <x v="61"/>
    <n v="65"/>
  </r>
  <r>
    <x v="57"/>
    <n v="65"/>
  </r>
  <r>
    <x v="18"/>
    <n v="115"/>
  </r>
  <r>
    <x v="1"/>
    <n v="115"/>
  </r>
  <r>
    <x v="44"/>
    <n v="108"/>
  </r>
  <r>
    <x v="4"/>
    <n v="108"/>
  </r>
  <r>
    <x v="47"/>
    <n v="98"/>
  </r>
  <r>
    <x v="59"/>
    <n v="98"/>
  </r>
  <r>
    <x v="29"/>
    <n v="136"/>
  </r>
  <r>
    <x v="49"/>
    <n v="136"/>
  </r>
  <r>
    <x v="6"/>
    <n v="35"/>
  </r>
  <r>
    <x v="11"/>
    <n v="35"/>
  </r>
  <r>
    <x v="45"/>
    <n v="63"/>
  </r>
  <r>
    <x v="56"/>
    <n v="63"/>
  </r>
  <r>
    <x v="34"/>
    <n v="42"/>
  </r>
  <r>
    <x v="7"/>
    <n v="42"/>
  </r>
  <r>
    <x v="20"/>
    <n v="133"/>
  </r>
  <r>
    <x v="53"/>
    <n v="133"/>
  </r>
  <r>
    <x v="37"/>
    <n v="82"/>
  </r>
  <r>
    <x v="42"/>
    <n v="82"/>
  </r>
  <r>
    <x v="33"/>
    <n v="75"/>
  </r>
  <r>
    <x v="22"/>
    <n v="75"/>
  </r>
  <r>
    <x v="9"/>
    <n v="40"/>
  </r>
  <r>
    <x v="36"/>
    <n v="40"/>
  </r>
  <r>
    <x v="43"/>
    <n v="74"/>
  </r>
  <r>
    <x v="27"/>
    <n v="74"/>
  </r>
  <r>
    <x v="30"/>
    <n v="58"/>
  </r>
  <r>
    <x v="38"/>
    <n v="58"/>
  </r>
  <r>
    <x v="32"/>
    <n v="91"/>
  </r>
  <r>
    <x v="40"/>
    <n v="91"/>
  </r>
  <r>
    <x v="39"/>
    <n v="147"/>
  </r>
  <r>
    <x v="41"/>
    <n v="147"/>
  </r>
  <r>
    <x v="8"/>
    <n v="7"/>
  </r>
  <r>
    <x v="3"/>
    <n v="7"/>
  </r>
  <r>
    <x v="47"/>
    <n v="62"/>
  </r>
  <r>
    <x v="15"/>
    <n v="62"/>
  </r>
  <r>
    <x v="52"/>
    <n v="38"/>
  </r>
  <r>
    <x v="18"/>
    <n v="38"/>
  </r>
  <r>
    <x v="2"/>
    <n v="140"/>
  </r>
  <r>
    <x v="49"/>
    <n v="140"/>
  </r>
  <r>
    <x v="35"/>
    <n v="30"/>
  </r>
  <r>
    <x v="54"/>
    <n v="30"/>
  </r>
  <r>
    <x v="14"/>
    <n v="111"/>
  </r>
  <r>
    <x v="31"/>
    <n v="111"/>
  </r>
  <r>
    <x v="48"/>
    <n v="39"/>
  </r>
  <r>
    <x v="45"/>
    <n v="39"/>
  </r>
  <r>
    <x v="57"/>
    <n v="55"/>
  </r>
  <r>
    <x v="26"/>
    <n v="55"/>
  </r>
  <r>
    <x v="11"/>
    <n v="107"/>
  </r>
  <r>
    <x v="55"/>
    <n v="107"/>
  </r>
  <r>
    <x v="44"/>
    <n v="30"/>
  </r>
  <r>
    <x v="21"/>
    <n v="30"/>
  </r>
  <r>
    <x v="25"/>
    <n v="93"/>
  </r>
  <r>
    <x v="6"/>
    <n v="93"/>
  </r>
  <r>
    <x v="58"/>
    <n v="22"/>
  </r>
  <r>
    <x v="60"/>
    <n v="22"/>
  </r>
  <r>
    <x v="0"/>
    <n v="133"/>
  </r>
  <r>
    <x v="29"/>
    <n v="133"/>
  </r>
  <r>
    <x v="50"/>
    <n v="77"/>
  </r>
  <r>
    <x v="12"/>
    <n v="77"/>
  </r>
  <r>
    <x v="61"/>
    <n v="118"/>
  </r>
  <r>
    <x v="19"/>
    <n v="118"/>
  </r>
  <r>
    <x v="5"/>
    <n v="84"/>
  </r>
  <r>
    <x v="17"/>
    <n v="84"/>
  </r>
  <r>
    <x v="1"/>
    <n v="67"/>
  </r>
  <r>
    <x v="28"/>
    <n v="67"/>
  </r>
  <r>
    <x v="46"/>
    <n v="53"/>
  </r>
  <r>
    <x v="16"/>
    <n v="53"/>
  </r>
  <r>
    <x v="13"/>
    <n v="105"/>
  </r>
  <r>
    <x v="23"/>
    <n v="105"/>
  </r>
  <r>
    <x v="24"/>
    <n v="95"/>
  </r>
  <r>
    <x v="10"/>
    <n v="95"/>
  </r>
  <r>
    <x v="51"/>
    <n v="97"/>
  </r>
  <r>
    <x v="59"/>
    <n v="97"/>
  </r>
  <r>
    <x v="4"/>
    <n v="88"/>
  </r>
  <r>
    <x v="56"/>
    <n v="88"/>
  </r>
  <r>
    <x v="35"/>
    <n v="26"/>
  </r>
  <r>
    <x v="36"/>
    <n v="26"/>
  </r>
  <r>
    <x v="43"/>
    <n v="67"/>
  </r>
  <r>
    <x v="31"/>
    <n v="67"/>
  </r>
  <r>
    <x v="57"/>
    <n v="49"/>
  </r>
  <r>
    <x v="47"/>
    <n v="49"/>
  </r>
  <r>
    <x v="18"/>
    <n v="71"/>
  </r>
  <r>
    <x v="58"/>
    <n v="71"/>
  </r>
  <r>
    <x v="14"/>
    <n v="138"/>
  </r>
  <r>
    <x v="34"/>
    <n v="138"/>
  </r>
  <r>
    <x v="12"/>
    <n v="63"/>
  </r>
  <r>
    <x v="44"/>
    <n v="63"/>
  </r>
  <r>
    <x v="37"/>
    <n v="78"/>
  </r>
  <r>
    <x v="30"/>
    <n v="78"/>
  </r>
  <r>
    <x v="55"/>
    <n v="140"/>
  </r>
  <r>
    <x v="61"/>
    <n v="140"/>
  </r>
  <r>
    <x v="22"/>
    <n v="81"/>
  </r>
  <r>
    <x v="15"/>
    <n v="81"/>
  </r>
  <r>
    <x v="11"/>
    <n v="98"/>
  </r>
  <r>
    <x v="52"/>
    <n v="98"/>
  </r>
  <r>
    <x v="28"/>
    <n v="115"/>
  </r>
  <r>
    <x v="3"/>
    <n v="115"/>
  </r>
  <r>
    <x v="40"/>
    <n v="93"/>
  </r>
  <r>
    <x v="20"/>
    <n v="93"/>
  </r>
  <r>
    <x v="39"/>
    <n v="80"/>
  </r>
  <r>
    <x v="2"/>
    <n v="80"/>
  </r>
  <r>
    <x v="50"/>
    <n v="27"/>
  </r>
  <r>
    <x v="21"/>
    <n v="27"/>
  </r>
  <r>
    <x v="10"/>
    <n v="118"/>
  </r>
  <r>
    <x v="56"/>
    <n v="118"/>
  </r>
  <r>
    <x v="29"/>
    <n v="96"/>
  </r>
  <r>
    <x v="8"/>
    <n v="96"/>
  </r>
  <r>
    <x v="5"/>
    <n v="106"/>
  </r>
  <r>
    <x v="16"/>
    <n v="106"/>
  </r>
  <r>
    <x v="25"/>
    <n v="57"/>
  </r>
  <r>
    <x v="7"/>
    <n v="57"/>
  </r>
  <r>
    <x v="17"/>
    <n v="40"/>
  </r>
  <r>
    <x v="49"/>
    <n v="40"/>
  </r>
  <r>
    <x v="46"/>
    <n v="37"/>
  </r>
  <r>
    <x v="59"/>
    <n v="37"/>
  </r>
  <r>
    <x v="26"/>
    <n v="121"/>
  </r>
  <r>
    <x v="1"/>
    <n v="121"/>
  </r>
  <r>
    <x v="6"/>
    <n v="40"/>
  </r>
  <r>
    <x v="54"/>
    <n v="40"/>
  </r>
  <r>
    <x v="13"/>
    <n v="143"/>
  </r>
  <r>
    <x v="0"/>
    <n v="143"/>
  </r>
  <r>
    <x v="45"/>
    <n v="65"/>
  </r>
  <r>
    <x v="53"/>
    <n v="65"/>
  </r>
  <r>
    <x v="4"/>
    <n v="119"/>
  </r>
  <r>
    <x v="41"/>
    <n v="119"/>
  </r>
  <r>
    <x v="42"/>
    <n v="135"/>
  </r>
  <r>
    <x v="32"/>
    <n v="135"/>
  </r>
  <r>
    <x v="9"/>
    <n v="106"/>
  </r>
  <r>
    <x v="24"/>
    <n v="106"/>
  </r>
  <r>
    <x v="27"/>
    <n v="45"/>
  </r>
  <r>
    <x v="38"/>
    <n v="45"/>
  </r>
  <r>
    <x v="33"/>
    <n v="104"/>
  </r>
  <r>
    <x v="48"/>
    <n v="104"/>
  </r>
  <r>
    <x v="51"/>
    <n v="96"/>
  </r>
  <r>
    <x v="23"/>
    <n v="96"/>
  </r>
  <r>
    <x v="60"/>
    <n v="64"/>
  </r>
  <r>
    <x v="19"/>
    <n v="64"/>
  </r>
  <r>
    <x v="58"/>
    <n v="45"/>
  </r>
  <r>
    <x v="50"/>
    <n v="45"/>
  </r>
  <r>
    <x v="11"/>
    <n v="155"/>
  </r>
  <r>
    <x v="44"/>
    <n v="155"/>
  </r>
  <r>
    <x v="22"/>
    <n v="45"/>
  </r>
  <r>
    <x v="3"/>
    <n v="45"/>
  </r>
  <r>
    <x v="26"/>
    <n v="117"/>
  </r>
  <r>
    <x v="56"/>
    <n v="117"/>
  </r>
  <r>
    <x v="16"/>
    <n v="111"/>
  </r>
  <r>
    <x v="49"/>
    <n v="111"/>
  </r>
  <r>
    <x v="12"/>
    <n v="48"/>
  </r>
  <r>
    <x v="57"/>
    <n v="48"/>
  </r>
  <r>
    <x v="7"/>
    <n v="90"/>
  </r>
  <r>
    <x v="30"/>
    <n v="90"/>
  </r>
  <r>
    <x v="45"/>
    <n v="98"/>
  </r>
  <r>
    <x v="15"/>
    <n v="98"/>
  </r>
  <r>
    <x v="61"/>
    <n v="109"/>
  </r>
  <r>
    <x v="35"/>
    <n v="109"/>
  </r>
  <r>
    <x v="29"/>
    <n v="131"/>
  </r>
  <r>
    <x v="21"/>
    <n v="131"/>
  </r>
  <r>
    <x v="39"/>
    <n v="102"/>
  </r>
  <r>
    <x v="1"/>
    <n v="102"/>
  </r>
  <r>
    <x v="31"/>
    <n v="48"/>
  </r>
  <r>
    <x v="42"/>
    <n v="48"/>
  </r>
  <r>
    <x v="59"/>
    <n v="32"/>
  </r>
  <r>
    <x v="40"/>
    <n v="32"/>
  </r>
  <r>
    <x v="25"/>
    <n v="68"/>
  </r>
  <r>
    <x v="8"/>
    <n v="68"/>
  </r>
  <r>
    <x v="41"/>
    <n v="97"/>
  </r>
  <r>
    <x v="18"/>
    <n v="97"/>
  </r>
  <r>
    <x v="60"/>
    <n v="69"/>
  </r>
  <r>
    <x v="36"/>
    <n v="69"/>
  </r>
  <r>
    <x v="33"/>
    <n v="104"/>
  </r>
  <r>
    <x v="4"/>
    <n v="104"/>
  </r>
  <r>
    <x v="54"/>
    <n v="44"/>
  </r>
  <r>
    <x v="28"/>
    <n v="44"/>
  </r>
  <r>
    <x v="51"/>
    <n v="91"/>
  </r>
  <r>
    <x v="17"/>
    <n v="91"/>
  </r>
  <r>
    <x v="46"/>
    <n v="93"/>
  </r>
  <r>
    <x v="9"/>
    <n v="93"/>
  </r>
  <r>
    <x v="19"/>
    <n v="104"/>
  </r>
  <r>
    <x v="34"/>
    <n v="104"/>
  </r>
  <r>
    <x v="27"/>
    <n v="106"/>
  </r>
  <r>
    <x v="13"/>
    <n v="106"/>
  </r>
  <r>
    <x v="55"/>
    <n v="140"/>
  </r>
  <r>
    <x v="10"/>
    <n v="140"/>
  </r>
  <r>
    <x v="32"/>
    <n v="67"/>
  </r>
  <r>
    <x v="48"/>
    <n v="67"/>
  </r>
  <r>
    <x v="43"/>
    <n v="142"/>
  </r>
  <r>
    <x v="20"/>
    <n v="142"/>
  </r>
  <r>
    <x v="6"/>
    <n v="49"/>
  </r>
  <r>
    <x v="24"/>
    <n v="49"/>
  </r>
  <r>
    <x v="2"/>
    <n v="94"/>
  </r>
  <r>
    <x v="47"/>
    <n v="94"/>
  </r>
  <r>
    <x v="38"/>
    <n v="53"/>
  </r>
  <r>
    <x v="5"/>
    <n v="53"/>
  </r>
  <r>
    <x v="0"/>
    <n v="113"/>
  </r>
  <r>
    <x v="53"/>
    <n v="113"/>
  </r>
  <r>
    <x v="23"/>
    <n v="63"/>
  </r>
  <r>
    <x v="37"/>
    <n v="63"/>
  </r>
  <r>
    <x v="52"/>
    <n v="132"/>
  </r>
  <r>
    <x v="14"/>
    <n v="132"/>
  </r>
  <r>
    <x v="36"/>
    <n v="49"/>
  </r>
  <r>
    <x v="50"/>
    <n v="49"/>
  </r>
  <r>
    <x v="46"/>
    <n v="75"/>
  </r>
  <r>
    <x v="28"/>
    <n v="75"/>
  </r>
  <r>
    <x v="7"/>
    <n v="100"/>
  </r>
  <r>
    <x v="42"/>
    <n v="100"/>
  </r>
  <r>
    <x v="56"/>
    <n v="39"/>
  </r>
  <r>
    <x v="8"/>
    <n v="39"/>
  </r>
  <r>
    <x v="51"/>
    <n v="116"/>
  </r>
  <r>
    <x v="31"/>
    <n v="116"/>
  </r>
  <r>
    <x v="11"/>
    <n v="108"/>
  </r>
  <r>
    <x v="27"/>
    <n v="108"/>
  </r>
  <r>
    <x v="32"/>
    <n v="52"/>
  </r>
  <r>
    <x v="12"/>
    <n v="52"/>
  </r>
  <r>
    <x v="60"/>
    <n v="45"/>
  </r>
  <r>
    <x v="48"/>
    <n v="45"/>
  </r>
  <r>
    <x v="3"/>
    <n v="108"/>
  </r>
  <r>
    <x v="40"/>
    <n v="108"/>
  </r>
  <r>
    <x v="47"/>
    <n v="30"/>
  </r>
  <r>
    <x v="17"/>
    <n v="30"/>
  </r>
  <r>
    <x v="33"/>
    <n v="73"/>
  </r>
  <r>
    <x v="58"/>
    <n v="73"/>
  </r>
  <r>
    <x v="26"/>
    <n v="80"/>
  </r>
  <r>
    <x v="13"/>
    <n v="80"/>
  </r>
  <r>
    <x v="43"/>
    <n v="85"/>
  </r>
  <r>
    <x v="61"/>
    <n v="85"/>
  </r>
  <r>
    <x v="23"/>
    <n v="127"/>
  </r>
  <r>
    <x v="35"/>
    <n v="127"/>
  </r>
  <r>
    <x v="55"/>
    <n v="34"/>
  </r>
  <r>
    <x v="59"/>
    <n v="34"/>
  </r>
  <r>
    <x v="0"/>
    <n v="56"/>
  </r>
  <r>
    <x v="52"/>
    <n v="56"/>
  </r>
  <r>
    <x v="4"/>
    <n v="97"/>
  </r>
  <r>
    <x v="30"/>
    <n v="97"/>
  </r>
  <r>
    <x v="6"/>
    <n v="40"/>
  </r>
  <r>
    <x v="2"/>
    <n v="40"/>
  </r>
  <r>
    <x v="18"/>
    <n v="88"/>
  </r>
  <r>
    <x v="53"/>
    <n v="88"/>
  </r>
  <r>
    <x v="37"/>
    <n v="43"/>
  </r>
  <r>
    <x v="45"/>
    <n v="43"/>
  </r>
  <r>
    <x v="49"/>
    <n v="60"/>
  </r>
  <r>
    <x v="1"/>
    <n v="60"/>
  </r>
  <r>
    <x v="22"/>
    <n v="115"/>
  </r>
  <r>
    <x v="57"/>
    <n v="115"/>
  </r>
  <r>
    <x v="9"/>
    <n v="40"/>
  </r>
  <r>
    <x v="34"/>
    <n v="40"/>
  </r>
  <r>
    <x v="19"/>
    <n v="65"/>
  </r>
  <r>
    <x v="54"/>
    <n v="65"/>
  </r>
  <r>
    <x v="39"/>
    <n v="113"/>
  </r>
  <r>
    <x v="29"/>
    <n v="113"/>
  </r>
  <r>
    <x v="24"/>
    <n v="73"/>
  </r>
  <r>
    <x v="38"/>
    <n v="73"/>
  </r>
  <r>
    <x v="21"/>
    <n v="86"/>
  </r>
  <r>
    <x v="16"/>
    <n v="86"/>
  </r>
  <r>
    <x v="44"/>
    <n v="75"/>
  </r>
  <r>
    <x v="41"/>
    <n v="75"/>
  </r>
  <r>
    <x v="14"/>
    <n v="157"/>
  </r>
  <r>
    <x v="20"/>
    <n v="157"/>
  </r>
  <r>
    <x v="25"/>
    <n v="52"/>
  </r>
  <r>
    <x v="15"/>
    <n v="52"/>
  </r>
  <r>
    <x v="5"/>
    <n v="89"/>
  </r>
  <r>
    <x v="10"/>
    <n v="89"/>
  </r>
  <r>
    <x v="56"/>
    <n v="60"/>
  </r>
  <r>
    <x v="27"/>
    <n v="60"/>
  </r>
  <r>
    <x v="47"/>
    <n v="41"/>
  </r>
  <r>
    <x v="28"/>
    <n v="41"/>
  </r>
  <r>
    <x v="1"/>
    <n v="86"/>
  </r>
  <r>
    <x v="33"/>
    <n v="86"/>
  </r>
  <r>
    <x v="51"/>
    <n v="93"/>
  </r>
  <r>
    <x v="6"/>
    <n v="93"/>
  </r>
  <r>
    <x v="34"/>
    <n v="59"/>
  </r>
  <r>
    <x v="8"/>
    <n v="59"/>
  </r>
  <r>
    <x v="12"/>
    <n v="148"/>
  </r>
  <r>
    <x v="48"/>
    <n v="148"/>
  </r>
  <r>
    <x v="57"/>
    <n v="54"/>
  </r>
  <r>
    <x v="36"/>
    <n v="54"/>
  </r>
  <r>
    <x v="2"/>
    <n v="72"/>
  </r>
  <r>
    <x v="42"/>
    <n v="72"/>
  </r>
  <r>
    <x v="59"/>
    <n v="60"/>
  </r>
  <r>
    <x v="53"/>
    <n v="60"/>
  </r>
  <r>
    <x v="31"/>
    <n v="97"/>
  </r>
  <r>
    <x v="21"/>
    <n v="97"/>
  </r>
  <r>
    <x v="32"/>
    <n v="80"/>
  </r>
  <r>
    <x v="3"/>
    <n v="80"/>
  </r>
  <r>
    <x v="7"/>
    <n v="118"/>
  </r>
  <r>
    <x v="13"/>
    <n v="118"/>
  </r>
  <r>
    <x v="11"/>
    <n v="98"/>
  </r>
  <r>
    <x v="61"/>
    <n v="98"/>
  </r>
  <r>
    <x v="40"/>
    <n v="86"/>
  </r>
  <r>
    <x v="0"/>
    <n v="86"/>
  </r>
  <r>
    <x v="29"/>
    <n v="130"/>
  </r>
  <r>
    <x v="45"/>
    <n v="130"/>
  </r>
  <r>
    <x v="38"/>
    <n v="35"/>
  </r>
  <r>
    <x v="23"/>
    <n v="35"/>
  </r>
  <r>
    <x v="22"/>
    <n v="144"/>
  </r>
  <r>
    <x v="24"/>
    <n v="144"/>
  </r>
  <r>
    <x v="5"/>
    <n v="69"/>
  </r>
  <r>
    <x v="50"/>
    <n v="69"/>
  </r>
  <r>
    <x v="35"/>
    <n v="103"/>
  </r>
  <r>
    <x v="30"/>
    <n v="103"/>
  </r>
  <r>
    <x v="16"/>
    <n v="40"/>
  </r>
  <r>
    <x v="58"/>
    <n v="40"/>
  </r>
  <r>
    <x v="14"/>
    <n v="84"/>
  </r>
  <r>
    <x v="19"/>
    <n v="84"/>
  </r>
  <r>
    <x v="4"/>
    <n v="105"/>
  </r>
  <r>
    <x v="49"/>
    <n v="105"/>
  </r>
  <r>
    <x v="37"/>
    <n v="48"/>
  </r>
  <r>
    <x v="54"/>
    <n v="48"/>
  </r>
  <r>
    <x v="20"/>
    <n v="155"/>
  </r>
  <r>
    <x v="15"/>
    <n v="155"/>
  </r>
  <r>
    <x v="18"/>
    <n v="95"/>
  </r>
  <r>
    <x v="55"/>
    <n v="95"/>
  </r>
  <r>
    <x v="25"/>
    <n v="88"/>
  </r>
  <r>
    <x v="46"/>
    <n v="88"/>
  </r>
  <r>
    <x v="60"/>
    <n v="82"/>
  </r>
  <r>
    <x v="10"/>
    <n v="82"/>
  </r>
  <r>
    <x v="44"/>
    <n v="65"/>
  </r>
  <r>
    <x v="43"/>
    <n v="65"/>
  </r>
  <r>
    <x v="26"/>
    <n v="110"/>
  </r>
  <r>
    <x v="9"/>
    <n v="110"/>
  </r>
  <r>
    <x v="52"/>
    <n v="84"/>
  </r>
  <r>
    <x v="41"/>
    <n v="84"/>
  </r>
  <r>
    <x v="21"/>
    <n v="79"/>
  </r>
  <r>
    <x v="39"/>
    <n v="79"/>
  </r>
  <r>
    <x v="17"/>
    <n v="63"/>
  </r>
  <r>
    <x v="57"/>
    <n v="63"/>
  </r>
  <r>
    <x v="48"/>
    <n v="77"/>
  </r>
  <r>
    <x v="5"/>
    <n v="77"/>
  </r>
  <r>
    <x v="61"/>
    <n v="79"/>
  </r>
  <r>
    <x v="56"/>
    <n v="79"/>
  </r>
  <r>
    <x v="49"/>
    <n v="135"/>
  </r>
  <r>
    <x v="23"/>
    <n v="135"/>
  </r>
  <r>
    <x v="8"/>
    <n v="35"/>
  </r>
  <r>
    <x v="27"/>
    <n v="35"/>
  </r>
  <r>
    <x v="4"/>
    <n v="64"/>
  </r>
  <r>
    <x v="50"/>
    <n v="64"/>
  </r>
  <r>
    <x v="20"/>
    <n v="97"/>
  </r>
  <r>
    <x v="47"/>
    <n v="97"/>
  </r>
  <r>
    <x v="31"/>
    <n v="90"/>
  </r>
  <r>
    <x v="54"/>
    <n v="90"/>
  </r>
  <r>
    <x v="18"/>
    <n v="99"/>
  </r>
  <r>
    <x v="11"/>
    <n v="99"/>
  </r>
  <r>
    <x v="15"/>
    <n v="121"/>
  </r>
  <r>
    <x v="3"/>
    <n v="121"/>
  </r>
  <r>
    <x v="59"/>
    <n v="54"/>
  </r>
  <r>
    <x v="36"/>
    <n v="54"/>
  </r>
  <r>
    <x v="0"/>
    <n v="44"/>
  </r>
  <r>
    <x v="43"/>
    <n v="44"/>
  </r>
  <r>
    <x v="33"/>
    <n v="102"/>
  </r>
  <r>
    <x v="25"/>
    <n v="102"/>
  </r>
  <r>
    <x v="42"/>
    <n v="96"/>
  </r>
  <r>
    <x v="13"/>
    <n v="96"/>
  </r>
  <r>
    <x v="17"/>
    <n v="43"/>
  </r>
  <r>
    <x v="30"/>
    <n v="43"/>
  </r>
  <r>
    <x v="12"/>
    <n v="49"/>
  </r>
  <r>
    <x v="24"/>
    <n v="49"/>
  </r>
  <r>
    <x v="52"/>
    <n v="73"/>
  </r>
  <r>
    <x v="39"/>
    <n v="73"/>
  </r>
  <r>
    <x v="7"/>
    <n v="148"/>
  </r>
  <r>
    <x v="29"/>
    <n v="148"/>
  </r>
  <r>
    <x v="22"/>
    <n v="48"/>
  </r>
  <r>
    <x v="44"/>
    <n v="48"/>
  </r>
  <r>
    <x v="38"/>
    <n v="67"/>
  </r>
  <r>
    <x v="10"/>
    <n v="67"/>
  </r>
  <r>
    <x v="19"/>
    <n v="55"/>
  </r>
  <r>
    <x v="1"/>
    <n v="55"/>
  </r>
  <r>
    <x v="2"/>
    <n v="82"/>
  </r>
  <r>
    <x v="34"/>
    <n v="82"/>
  </r>
  <r>
    <x v="46"/>
    <n v="55"/>
  </r>
  <r>
    <x v="37"/>
    <n v="55"/>
  </r>
  <r>
    <x v="9"/>
    <n v="90"/>
  </r>
  <r>
    <x v="35"/>
    <n v="90"/>
  </r>
  <r>
    <x v="14"/>
    <n v="114"/>
  </r>
  <r>
    <x v="53"/>
    <n v="114"/>
  </r>
  <r>
    <x v="32"/>
    <n v="86"/>
  </r>
  <r>
    <x v="16"/>
    <n v="86"/>
  </r>
  <r>
    <x v="60"/>
    <n v="139"/>
  </r>
  <r>
    <x v="26"/>
    <n v="139"/>
  </r>
  <r>
    <x v="6"/>
    <n v="56"/>
  </r>
  <r>
    <x v="58"/>
    <n v="56"/>
  </r>
  <r>
    <x v="41"/>
    <n v="121"/>
  </r>
  <r>
    <x v="55"/>
    <n v="121"/>
  </r>
  <r>
    <x v="51"/>
    <n v="118"/>
  </r>
  <r>
    <x v="40"/>
    <n v="118"/>
  </r>
  <r>
    <x v="45"/>
    <n v="52"/>
  </r>
  <r>
    <x v="28"/>
    <n v="52"/>
  </r>
  <r>
    <x v="15"/>
    <n v="91"/>
  </r>
  <r>
    <x v="57"/>
    <n v="91"/>
  </r>
  <r>
    <x v="44"/>
    <n v="72"/>
  </r>
  <r>
    <x v="8"/>
    <n v="72"/>
  </r>
  <r>
    <x v="42"/>
    <n v="144"/>
  </r>
  <r>
    <x v="11"/>
    <n v="144"/>
  </r>
  <r>
    <x v="5"/>
    <n v="72"/>
  </r>
  <r>
    <x v="23"/>
    <n v="72"/>
  </r>
  <r>
    <x v="36"/>
    <n v="52"/>
  </r>
  <r>
    <x v="12"/>
    <n v="52"/>
  </r>
  <r>
    <x v="10"/>
    <n v="143"/>
  </r>
  <r>
    <x v="0"/>
    <n v="143"/>
  </r>
  <r>
    <x v="49"/>
    <n v="0"/>
  </r>
  <r>
    <x v="3"/>
    <n v="0"/>
  </r>
  <r>
    <x v="53"/>
    <n v="83"/>
  </r>
  <r>
    <x v="61"/>
    <n v="83"/>
  </r>
  <r>
    <x v="60"/>
    <n v="150"/>
  </r>
  <r>
    <x v="13"/>
    <n v="150"/>
  </r>
  <r>
    <x v="35"/>
    <n v="87"/>
  </r>
  <r>
    <x v="37"/>
    <n v="87"/>
  </r>
  <r>
    <x v="7"/>
    <n v="104"/>
  </r>
  <r>
    <x v="14"/>
    <n v="104"/>
  </r>
  <r>
    <x v="21"/>
    <n v="63"/>
  </r>
  <r>
    <x v="1"/>
    <n v="63"/>
  </r>
  <r>
    <x v="28"/>
    <n v="66"/>
  </r>
  <r>
    <x v="18"/>
    <n v="66"/>
  </r>
  <r>
    <x v="39"/>
    <n v="62"/>
  </r>
  <r>
    <x v="59"/>
    <n v="62"/>
  </r>
  <r>
    <x v="32"/>
    <n v="43"/>
  </r>
  <r>
    <x v="50"/>
    <n v="43"/>
  </r>
  <r>
    <x v="41"/>
    <n v="84"/>
  </r>
  <r>
    <x v="17"/>
    <n v="84"/>
  </r>
  <r>
    <x v="20"/>
    <n v="95"/>
  </r>
  <r>
    <x v="16"/>
    <n v="95"/>
  </r>
  <r>
    <x v="45"/>
    <n v="63"/>
  </r>
  <r>
    <x v="33"/>
    <n v="63"/>
  </r>
  <r>
    <x v="58"/>
    <n v="73"/>
  </r>
  <r>
    <x v="19"/>
    <n v="73"/>
  </r>
  <r>
    <x v="31"/>
    <n v="111"/>
  </r>
  <r>
    <x v="24"/>
    <n v="111"/>
  </r>
  <r>
    <x v="2"/>
    <n v="68"/>
  </r>
  <r>
    <x v="27"/>
    <n v="68"/>
  </r>
  <r>
    <x v="22"/>
    <n v="72"/>
  </r>
  <r>
    <x v="51"/>
    <n v="72"/>
  </r>
  <r>
    <x v="55"/>
    <n v="113"/>
  </r>
  <r>
    <x v="4"/>
    <n v="113"/>
  </r>
  <r>
    <x v="43"/>
    <n v="27"/>
  </r>
  <r>
    <x v="38"/>
    <n v="27"/>
  </r>
  <r>
    <x v="46"/>
    <n v="70"/>
  </r>
  <r>
    <x v="52"/>
    <n v="70"/>
  </r>
  <r>
    <x v="40"/>
    <n v="161"/>
  </r>
  <r>
    <x v="29"/>
    <n v="161"/>
  </r>
  <r>
    <x v="25"/>
    <n v="69"/>
  </r>
  <r>
    <x v="9"/>
    <n v="69"/>
  </r>
  <r>
    <x v="54"/>
    <n v="48"/>
  </r>
  <r>
    <x v="56"/>
    <n v="48"/>
  </r>
  <r>
    <x v="6"/>
    <n v="37"/>
  </r>
  <r>
    <x v="47"/>
    <n v="37"/>
  </r>
  <r>
    <x v="26"/>
    <n v="72"/>
  </r>
  <r>
    <x v="34"/>
    <n v="72"/>
  </r>
  <r>
    <x v="30"/>
    <n v="70"/>
  </r>
  <r>
    <x v="48"/>
    <n v="70"/>
  </r>
  <r>
    <x v="20"/>
    <n v="125"/>
  </r>
  <r>
    <x v="1"/>
    <n v="125"/>
  </r>
  <r>
    <x v="62"/>
    <n v="17"/>
  </r>
  <r>
    <x v="63"/>
    <n v="17"/>
  </r>
  <r>
    <x v="64"/>
    <n v="73"/>
  </r>
  <r>
    <x v="65"/>
    <n v="73"/>
  </r>
  <r>
    <x v="66"/>
    <n v="109"/>
  </r>
  <r>
    <x v="67"/>
    <n v="109"/>
  </r>
  <r>
    <x v="68"/>
    <n v="129"/>
  </r>
  <r>
    <x v="69"/>
    <n v="129"/>
  </r>
  <r>
    <x v="70"/>
    <n v="60"/>
  </r>
  <r>
    <x v="71"/>
    <n v="60"/>
  </r>
  <r>
    <x v="72"/>
    <n v="89"/>
  </r>
  <r>
    <x v="73"/>
    <n v="89"/>
  </r>
  <r>
    <x v="74"/>
    <n v="57"/>
  </r>
  <r>
    <x v="75"/>
    <n v="57"/>
  </r>
  <r>
    <x v="76"/>
    <n v="118"/>
  </r>
  <r>
    <x v="77"/>
    <n v="118"/>
  </r>
  <r>
    <x v="78"/>
    <n v="89"/>
  </r>
  <r>
    <x v="79"/>
    <n v="89"/>
  </r>
  <r>
    <x v="80"/>
    <n v="113"/>
  </r>
  <r>
    <x v="81"/>
    <n v="113"/>
  </r>
  <r>
    <x v="82"/>
    <n v="112"/>
  </r>
  <r>
    <x v="83"/>
    <n v="112"/>
  </r>
  <r>
    <x v="84"/>
    <n v="65"/>
  </r>
  <r>
    <x v="85"/>
    <n v="65"/>
  </r>
  <r>
    <x v="86"/>
    <n v="99"/>
  </r>
  <r>
    <x v="87"/>
    <n v="99"/>
  </r>
  <r>
    <x v="88"/>
    <n v="97"/>
  </r>
  <r>
    <x v="89"/>
    <n v="97"/>
  </r>
  <r>
    <x v="90"/>
    <n v="59"/>
  </r>
  <r>
    <x v="91"/>
    <n v="59"/>
  </r>
  <r>
    <x v="92"/>
    <n v="42"/>
  </r>
  <r>
    <x v="93"/>
    <n v="42"/>
  </r>
  <r>
    <x v="94"/>
    <n v="132"/>
  </r>
  <r>
    <x v="95"/>
    <n v="132"/>
  </r>
  <r>
    <x v="96"/>
    <n v="118"/>
  </r>
  <r>
    <x v="97"/>
    <n v="118"/>
  </r>
  <r>
    <x v="98"/>
    <n v="48"/>
  </r>
  <r>
    <x v="99"/>
    <n v="48"/>
  </r>
  <r>
    <x v="100"/>
    <n v="125"/>
  </r>
  <r>
    <x v="101"/>
    <n v="125"/>
  </r>
  <r>
    <x v="102"/>
    <n v="186"/>
  </r>
  <r>
    <x v="103"/>
    <n v="186"/>
  </r>
  <r>
    <x v="104"/>
    <n v="55"/>
  </r>
  <r>
    <x v="105"/>
    <n v="55"/>
  </r>
  <r>
    <x v="106"/>
    <n v="113"/>
  </r>
  <r>
    <x v="107"/>
    <n v="113"/>
  </r>
  <r>
    <x v="108"/>
    <n v="90"/>
  </r>
  <r>
    <x v="109"/>
    <n v="90"/>
  </r>
  <r>
    <x v="110"/>
    <n v="149"/>
  </r>
  <r>
    <x v="111"/>
    <n v="149"/>
  </r>
  <r>
    <x v="112"/>
    <n v="62"/>
  </r>
  <r>
    <x v="113"/>
    <n v="62"/>
  </r>
  <r>
    <x v="114"/>
    <n v="54"/>
  </r>
  <r>
    <x v="115"/>
    <n v="54"/>
  </r>
  <r>
    <x v="116"/>
    <n v="200"/>
  </r>
  <r>
    <x v="117"/>
    <n v="200"/>
  </r>
  <r>
    <x v="118"/>
    <n v="73"/>
  </r>
  <r>
    <x v="119"/>
    <n v="73"/>
  </r>
  <r>
    <x v="120"/>
    <n v="89"/>
  </r>
  <r>
    <x v="121"/>
    <n v="89"/>
  </r>
  <r>
    <x v="122"/>
    <n v="62"/>
  </r>
  <r>
    <x v="123"/>
    <n v="62"/>
  </r>
  <r>
    <x v="77"/>
    <n v="47"/>
  </r>
  <r>
    <x v="94"/>
    <n v="47"/>
  </r>
  <r>
    <x v="73"/>
    <n v="37"/>
  </r>
  <r>
    <x v="62"/>
    <n v="37"/>
  </r>
  <r>
    <x v="98"/>
    <n v="41"/>
  </r>
  <r>
    <x v="79"/>
    <n v="41"/>
  </r>
  <r>
    <x v="88"/>
    <n v="107"/>
  </r>
  <r>
    <x v="64"/>
    <n v="107"/>
  </r>
  <r>
    <x v="83"/>
    <n v="105"/>
  </r>
  <r>
    <x v="68"/>
    <n v="105"/>
  </r>
  <r>
    <x v="109"/>
    <n v="128"/>
  </r>
  <r>
    <x v="104"/>
    <n v="128"/>
  </r>
  <r>
    <x v="86"/>
    <n v="134"/>
  </r>
  <r>
    <x v="91"/>
    <n v="134"/>
  </r>
  <r>
    <x v="89"/>
    <n v="130"/>
  </r>
  <r>
    <x v="96"/>
    <n v="130"/>
  </r>
  <r>
    <x v="67"/>
    <n v="70"/>
  </r>
  <r>
    <x v="75"/>
    <n v="70"/>
  </r>
  <r>
    <x v="103"/>
    <n v="98"/>
  </r>
  <r>
    <x v="76"/>
    <n v="98"/>
  </r>
  <r>
    <x v="111"/>
    <n v="27"/>
  </r>
  <r>
    <x v="99"/>
    <n v="27"/>
  </r>
  <r>
    <x v="120"/>
    <n v="168"/>
  </r>
  <r>
    <x v="95"/>
    <n v="168"/>
  </r>
  <r>
    <x v="115"/>
    <n v="85"/>
  </r>
  <r>
    <x v="87"/>
    <n v="85"/>
  </r>
  <r>
    <x v="101"/>
    <n v="75"/>
  </r>
  <r>
    <x v="121"/>
    <n v="75"/>
  </r>
  <r>
    <x v="71"/>
    <n v="92"/>
  </r>
  <r>
    <x v="123"/>
    <n v="92"/>
  </r>
  <r>
    <x v="112"/>
    <n v="92"/>
  </r>
  <r>
    <x v="97"/>
    <n v="92"/>
  </r>
  <r>
    <x v="92"/>
    <n v="105"/>
  </r>
  <r>
    <x v="102"/>
    <n v="105"/>
  </r>
  <r>
    <x v="100"/>
    <n v="70"/>
  </r>
  <r>
    <x v="105"/>
    <n v="70"/>
  </r>
  <r>
    <x v="70"/>
    <n v="110"/>
  </r>
  <r>
    <x v="66"/>
    <n v="110"/>
  </r>
  <r>
    <x v="117"/>
    <n v="53"/>
  </r>
  <r>
    <x v="119"/>
    <n v="53"/>
  </r>
  <r>
    <x v="90"/>
    <n v="115"/>
  </r>
  <r>
    <x v="82"/>
    <n v="115"/>
  </r>
  <r>
    <x v="65"/>
    <n v="93"/>
  </r>
  <r>
    <x v="116"/>
    <n v="93"/>
  </r>
  <r>
    <x v="80"/>
    <n v="115"/>
  </r>
  <r>
    <x v="110"/>
    <n v="115"/>
  </r>
  <r>
    <x v="84"/>
    <n v="65"/>
  </r>
  <r>
    <x v="93"/>
    <n v="65"/>
  </r>
  <r>
    <x v="122"/>
    <n v="57"/>
  </r>
  <r>
    <x v="107"/>
    <n v="57"/>
  </r>
  <r>
    <x v="85"/>
    <n v="54"/>
  </r>
  <r>
    <x v="113"/>
    <n v="54"/>
  </r>
  <r>
    <x v="74"/>
    <n v="62"/>
  </r>
  <r>
    <x v="114"/>
    <n v="62"/>
  </r>
  <r>
    <x v="69"/>
    <n v="42"/>
  </r>
  <r>
    <x v="81"/>
    <n v="42"/>
  </r>
  <r>
    <x v="63"/>
    <n v="65"/>
  </r>
  <r>
    <x v="106"/>
    <n v="65"/>
  </r>
  <r>
    <x v="72"/>
    <n v="77"/>
  </r>
  <r>
    <x v="108"/>
    <n v="77"/>
  </r>
  <r>
    <x v="118"/>
    <n v="60"/>
  </r>
  <r>
    <x v="78"/>
    <n v="60"/>
  </r>
  <r>
    <x v="105"/>
    <n v="24"/>
  </r>
  <r>
    <x v="79"/>
    <n v="24"/>
  </r>
  <r>
    <x v="123"/>
    <n v="80"/>
  </r>
  <r>
    <x v="115"/>
    <n v="80"/>
  </r>
  <r>
    <x v="98"/>
    <n v="30"/>
  </r>
  <r>
    <x v="71"/>
    <n v="30"/>
  </r>
  <r>
    <x v="95"/>
    <n v="174"/>
  </r>
  <r>
    <x v="86"/>
    <n v="174"/>
  </r>
  <r>
    <x v="77"/>
    <n v="77"/>
  </r>
  <r>
    <x v="97"/>
    <n v="77"/>
  </r>
  <r>
    <x v="119"/>
    <n v="68"/>
  </r>
  <r>
    <x v="62"/>
    <n v="68"/>
  </r>
  <r>
    <x v="80"/>
    <n v="85"/>
  </r>
  <r>
    <x v="89"/>
    <n v="85"/>
  </r>
  <r>
    <x v="94"/>
    <n v="75"/>
  </r>
  <r>
    <x v="111"/>
    <n v="75"/>
  </r>
  <r>
    <x v="66"/>
    <n v="29"/>
  </r>
  <r>
    <x v="93"/>
    <n v="29"/>
  </r>
  <r>
    <x v="102"/>
    <n v="129"/>
  </r>
  <r>
    <x v="96"/>
    <n v="129"/>
  </r>
  <r>
    <x v="74"/>
    <n v="111"/>
  </r>
  <r>
    <x v="63"/>
    <n v="111"/>
  </r>
  <r>
    <x v="84"/>
    <n v="120"/>
  </r>
  <r>
    <x v="120"/>
    <n v="120"/>
  </r>
  <r>
    <x v="90"/>
    <n v="136"/>
  </r>
  <r>
    <x v="73"/>
    <n v="136"/>
  </r>
  <r>
    <x v="112"/>
    <n v="137"/>
  </r>
  <r>
    <x v="99"/>
    <n v="137"/>
  </r>
  <r>
    <x v="108"/>
    <n v="98"/>
  </r>
  <r>
    <x v="122"/>
    <n v="98"/>
  </r>
  <r>
    <x v="82"/>
    <n v="22"/>
  </r>
  <r>
    <x v="101"/>
    <n v="22"/>
  </r>
  <r>
    <x v="92"/>
    <n v="79"/>
  </r>
  <r>
    <x v="110"/>
    <n v="79"/>
  </r>
  <r>
    <x v="118"/>
    <n v="65"/>
  </r>
  <r>
    <x v="70"/>
    <n v="65"/>
  </r>
  <r>
    <x v="100"/>
    <n v="116"/>
  </r>
  <r>
    <x v="81"/>
    <n v="116"/>
  </r>
  <r>
    <x v="114"/>
    <n v="62"/>
  </r>
  <r>
    <x v="87"/>
    <n v="62"/>
  </r>
  <r>
    <x v="88"/>
    <n v="57"/>
  </r>
  <r>
    <x v="78"/>
    <n v="57"/>
  </r>
  <r>
    <x v="67"/>
    <n v="95"/>
  </r>
  <r>
    <x v="85"/>
    <n v="95"/>
  </r>
  <r>
    <x v="72"/>
    <n v="86"/>
  </r>
  <r>
    <x v="91"/>
    <n v="86"/>
  </r>
  <r>
    <x v="103"/>
    <n v="89"/>
  </r>
  <r>
    <x v="75"/>
    <n v="89"/>
  </r>
  <r>
    <x v="109"/>
    <n v="67"/>
  </r>
  <r>
    <x v="121"/>
    <n v="67"/>
  </r>
  <r>
    <x v="69"/>
    <n v="119"/>
  </r>
  <r>
    <x v="64"/>
    <n v="119"/>
  </r>
  <r>
    <x v="65"/>
    <n v="116"/>
  </r>
  <r>
    <x v="76"/>
    <n v="116"/>
  </r>
  <r>
    <x v="113"/>
    <n v="64"/>
  </r>
  <r>
    <x v="107"/>
    <n v="64"/>
  </r>
  <r>
    <x v="83"/>
    <n v="103"/>
  </r>
  <r>
    <x v="106"/>
    <n v="103"/>
  </r>
  <r>
    <x v="104"/>
    <n v="75"/>
  </r>
  <r>
    <x v="116"/>
    <n v="75"/>
  </r>
  <r>
    <x v="117"/>
    <n v="87"/>
  </r>
  <r>
    <x v="68"/>
    <n v="87"/>
  </r>
  <r>
    <x v="108"/>
    <n v="97"/>
  </r>
  <r>
    <x v="123"/>
    <n v="97"/>
  </r>
  <r>
    <x v="120"/>
    <n v="78"/>
  </r>
  <r>
    <x v="112"/>
    <n v="78"/>
  </r>
  <r>
    <x v="122"/>
    <n v="102"/>
  </r>
  <r>
    <x v="70"/>
    <n v="102"/>
  </r>
  <r>
    <x v="102"/>
    <n v="123"/>
  </r>
  <r>
    <x v="84"/>
    <n v="123"/>
  </r>
  <r>
    <x v="88"/>
    <n v="87"/>
  </r>
  <r>
    <x v="100"/>
    <n v="87"/>
  </r>
  <r>
    <x v="67"/>
    <n v="27"/>
  </r>
  <r>
    <x v="114"/>
    <n v="27"/>
  </r>
  <r>
    <x v="103"/>
    <n v="130"/>
  </r>
  <r>
    <x v="110"/>
    <n v="130"/>
  </r>
  <r>
    <x v="69"/>
    <n v="112"/>
  </r>
  <r>
    <x v="87"/>
    <n v="112"/>
  </r>
  <r>
    <x v="74"/>
    <n v="125"/>
  </r>
  <r>
    <x v="91"/>
    <n v="125"/>
  </r>
  <r>
    <x v="66"/>
    <n v="47"/>
  </r>
  <r>
    <x v="115"/>
    <n v="47"/>
  </r>
  <r>
    <x v="72"/>
    <n v="53"/>
  </r>
  <r>
    <x v="65"/>
    <n v="53"/>
  </r>
  <r>
    <x v="80"/>
    <n v="100"/>
  </r>
  <r>
    <x v="83"/>
    <n v="100"/>
  </r>
  <r>
    <x v="97"/>
    <n v="71"/>
  </r>
  <r>
    <x v="71"/>
    <n v="71"/>
  </r>
  <r>
    <x v="116"/>
    <n v="109"/>
  </r>
  <r>
    <x v="89"/>
    <n v="109"/>
  </r>
  <r>
    <x v="95"/>
    <n v="109"/>
  </r>
  <r>
    <x v="109"/>
    <n v="109"/>
  </r>
  <r>
    <x v="96"/>
    <n v="100"/>
  </r>
  <r>
    <x v="78"/>
    <n v="100"/>
  </r>
  <r>
    <x v="98"/>
    <n v="70"/>
  </r>
  <r>
    <x v="106"/>
    <n v="70"/>
  </r>
  <r>
    <x v="107"/>
    <n v="80"/>
  </r>
  <r>
    <x v="86"/>
    <n v="80"/>
  </r>
  <r>
    <x v="79"/>
    <n v="60"/>
  </r>
  <r>
    <x v="77"/>
    <n v="60"/>
  </r>
  <r>
    <x v="113"/>
    <n v="51"/>
  </r>
  <r>
    <x v="75"/>
    <n v="51"/>
  </r>
  <r>
    <x v="90"/>
    <n v="168"/>
  </r>
  <r>
    <x v="94"/>
    <n v="168"/>
  </r>
  <r>
    <x v="68"/>
    <n v="64"/>
  </r>
  <r>
    <x v="92"/>
    <n v="64"/>
  </r>
  <r>
    <x v="76"/>
    <n v="60"/>
  </r>
  <r>
    <x v="121"/>
    <n v="60"/>
  </r>
  <r>
    <x v="99"/>
    <n v="63"/>
  </r>
  <r>
    <x v="118"/>
    <n v="63"/>
  </r>
  <r>
    <x v="93"/>
    <n v="106"/>
  </r>
  <r>
    <x v="62"/>
    <n v="106"/>
  </r>
  <r>
    <x v="105"/>
    <n v="56"/>
  </r>
  <r>
    <x v="101"/>
    <n v="56"/>
  </r>
  <r>
    <x v="119"/>
    <n v="56"/>
  </r>
  <r>
    <x v="63"/>
    <n v="56"/>
  </r>
  <r>
    <x v="104"/>
    <n v="77"/>
  </r>
  <r>
    <x v="82"/>
    <n v="77"/>
  </r>
  <r>
    <x v="81"/>
    <n v="63"/>
  </r>
  <r>
    <x v="111"/>
    <n v="63"/>
  </r>
  <r>
    <x v="64"/>
    <n v="98"/>
  </r>
  <r>
    <x v="85"/>
    <n v="98"/>
  </r>
  <r>
    <x v="73"/>
    <n v="37"/>
  </r>
  <r>
    <x v="117"/>
    <n v="37"/>
  </r>
  <r>
    <x v="109"/>
    <n v="57"/>
  </r>
  <r>
    <x v="87"/>
    <n v="57"/>
  </r>
  <r>
    <x v="103"/>
    <n v="99"/>
  </r>
  <r>
    <x v="66"/>
    <n v="99"/>
  </r>
  <r>
    <x v="96"/>
    <n v="123"/>
  </r>
  <r>
    <x v="88"/>
    <n v="123"/>
  </r>
  <r>
    <x v="80"/>
    <n v="80"/>
  </r>
  <r>
    <x v="91"/>
    <n v="80"/>
  </r>
  <r>
    <x v="76"/>
    <n v="135"/>
  </r>
  <r>
    <x v="90"/>
    <n v="135"/>
  </r>
  <r>
    <x v="89"/>
    <n v="42"/>
  </r>
  <r>
    <x v="98"/>
    <n v="42"/>
  </r>
  <r>
    <x v="107"/>
    <n v="72"/>
  </r>
  <r>
    <x v="100"/>
    <n v="72"/>
  </r>
  <r>
    <x v="110"/>
    <n v="132"/>
  </r>
  <r>
    <x v="74"/>
    <n v="132"/>
  </r>
  <r>
    <x v="94"/>
    <n v="135"/>
  </r>
  <r>
    <x v="86"/>
    <n v="135"/>
  </r>
  <r>
    <x v="78"/>
    <n v="22"/>
  </r>
  <r>
    <x v="83"/>
    <n v="22"/>
  </r>
  <r>
    <x v="114"/>
    <n v="49"/>
  </r>
  <r>
    <x v="101"/>
    <n v="49"/>
  </r>
  <r>
    <x v="120"/>
    <n v="114"/>
  </r>
  <r>
    <x v="79"/>
    <n v="114"/>
  </r>
  <r>
    <x v="71"/>
    <n v="82"/>
  </r>
  <r>
    <x v="112"/>
    <n v="82"/>
  </r>
  <r>
    <x v="81"/>
    <n v="62"/>
  </r>
  <r>
    <x v="119"/>
    <n v="62"/>
  </r>
  <r>
    <x v="123"/>
    <n v="97"/>
  </r>
  <r>
    <x v="116"/>
    <n v="97"/>
  </r>
  <r>
    <x v="64"/>
    <n v="65"/>
  </r>
  <r>
    <x v="93"/>
    <n v="65"/>
  </r>
  <r>
    <x v="82"/>
    <n v="82"/>
  </r>
  <r>
    <x v="115"/>
    <n v="82"/>
  </r>
  <r>
    <x v="118"/>
    <n v="115"/>
  </r>
  <r>
    <x v="68"/>
    <n v="115"/>
  </r>
  <r>
    <x v="70"/>
    <n v="67"/>
  </r>
  <r>
    <x v="99"/>
    <n v="67"/>
  </r>
  <r>
    <x v="95"/>
    <n v="88"/>
  </r>
  <r>
    <x v="75"/>
    <n v="88"/>
  </r>
  <r>
    <x v="77"/>
    <n v="97"/>
  </r>
  <r>
    <x v="113"/>
    <n v="97"/>
  </r>
  <r>
    <x v="104"/>
    <n v="119"/>
  </r>
  <r>
    <x v="84"/>
    <n v="119"/>
  </r>
  <r>
    <x v="69"/>
    <n v="90"/>
  </r>
  <r>
    <x v="102"/>
    <n v="90"/>
  </r>
  <r>
    <x v="62"/>
    <n v="46"/>
  </r>
  <r>
    <x v="108"/>
    <n v="46"/>
  </r>
  <r>
    <x v="65"/>
    <n v="107"/>
  </r>
  <r>
    <x v="85"/>
    <n v="107"/>
  </r>
  <r>
    <x v="106"/>
    <n v="72"/>
  </r>
  <r>
    <x v="121"/>
    <n v="72"/>
  </r>
  <r>
    <x v="67"/>
    <n v="114"/>
  </r>
  <r>
    <x v="73"/>
    <n v="114"/>
  </r>
  <r>
    <x v="92"/>
    <n v="106"/>
  </r>
  <r>
    <x v="105"/>
    <n v="106"/>
  </r>
  <r>
    <x v="122"/>
    <n v="81"/>
  </r>
  <r>
    <x v="111"/>
    <n v="81"/>
  </r>
  <r>
    <x v="72"/>
    <n v="74"/>
  </r>
  <r>
    <x v="63"/>
    <n v="74"/>
  </r>
  <r>
    <x v="97"/>
    <n v="150"/>
  </r>
  <r>
    <x v="117"/>
    <n v="150"/>
  </r>
  <r>
    <x v="74"/>
    <n v="71"/>
  </r>
  <r>
    <x v="88"/>
    <n v="71"/>
  </r>
  <r>
    <x v="123"/>
    <n v="54"/>
  </r>
  <r>
    <x v="114"/>
    <n v="54"/>
  </r>
  <r>
    <x v="96"/>
    <n v="95"/>
  </r>
  <r>
    <x v="82"/>
    <n v="95"/>
  </r>
  <r>
    <x v="84"/>
    <n v="39"/>
  </r>
  <r>
    <x v="119"/>
    <n v="39"/>
  </r>
  <r>
    <x v="78"/>
    <n v="223"/>
  </r>
  <r>
    <x v="110"/>
    <n v="223"/>
  </r>
  <r>
    <x v="64"/>
    <n v="120"/>
  </r>
  <r>
    <x v="104"/>
    <n v="120"/>
  </r>
  <r>
    <x v="98"/>
    <n v="37"/>
  </r>
  <r>
    <x v="115"/>
    <n v="37"/>
  </r>
  <r>
    <x v="62"/>
    <n v="84"/>
  </r>
  <r>
    <x v="75"/>
    <n v="84"/>
  </r>
  <r>
    <x v="120"/>
    <n v="93"/>
  </r>
  <r>
    <x v="80"/>
    <n v="93"/>
  </r>
  <r>
    <x v="81"/>
    <n v="74"/>
  </r>
  <r>
    <x v="70"/>
    <n v="74"/>
  </r>
  <r>
    <x v="109"/>
    <n v="104"/>
  </r>
  <r>
    <x v="102"/>
    <n v="104"/>
  </r>
  <r>
    <x v="92"/>
    <n v="80"/>
  </r>
  <r>
    <x v="94"/>
    <n v="80"/>
  </r>
  <r>
    <x v="107"/>
    <n v="109"/>
  </r>
  <r>
    <x v="103"/>
    <n v="109"/>
  </r>
  <r>
    <x v="113"/>
    <n v="111"/>
  </r>
  <r>
    <x v="93"/>
    <n v="111"/>
  </r>
  <r>
    <x v="105"/>
    <n v="39"/>
  </r>
  <r>
    <x v="87"/>
    <n v="39"/>
  </r>
  <r>
    <x v="77"/>
    <n v="74"/>
  </r>
  <r>
    <x v="63"/>
    <n v="74"/>
  </r>
  <r>
    <x v="73"/>
    <n v="123"/>
  </r>
  <r>
    <x v="116"/>
    <n v="123"/>
  </r>
  <r>
    <x v="68"/>
    <n v="106"/>
  </r>
  <r>
    <x v="91"/>
    <n v="106"/>
  </r>
  <r>
    <x v="65"/>
    <n v="41"/>
  </r>
  <r>
    <x v="101"/>
    <n v="41"/>
  </r>
  <r>
    <x v="95"/>
    <n v="87"/>
  </r>
  <r>
    <x v="108"/>
    <n v="87"/>
  </r>
  <r>
    <x v="112"/>
    <n v="104"/>
  </r>
  <r>
    <x v="66"/>
    <n v="104"/>
  </r>
  <r>
    <x v="83"/>
    <n v="58"/>
  </r>
  <r>
    <x v="99"/>
    <n v="58"/>
  </r>
  <r>
    <x v="89"/>
    <n v="120"/>
  </r>
  <r>
    <x v="117"/>
    <n v="120"/>
  </r>
  <r>
    <x v="111"/>
    <n v="83"/>
  </r>
  <r>
    <x v="121"/>
    <n v="83"/>
  </r>
  <r>
    <x v="90"/>
    <n v="138"/>
  </r>
  <r>
    <x v="100"/>
    <n v="138"/>
  </r>
  <r>
    <x v="79"/>
    <n v="103"/>
  </r>
  <r>
    <x v="85"/>
    <n v="103"/>
  </r>
  <r>
    <x v="69"/>
    <n v="80"/>
  </r>
  <r>
    <x v="97"/>
    <n v="80"/>
  </r>
  <r>
    <x v="67"/>
    <n v="83"/>
  </r>
  <r>
    <x v="72"/>
    <n v="83"/>
  </r>
  <r>
    <x v="86"/>
    <n v="52"/>
  </r>
  <r>
    <x v="76"/>
    <n v="52"/>
  </r>
  <r>
    <x v="106"/>
    <n v="85"/>
  </r>
  <r>
    <x v="118"/>
    <n v="85"/>
  </r>
  <r>
    <x v="122"/>
    <n v="40"/>
  </r>
  <r>
    <x v="71"/>
    <n v="40"/>
  </r>
  <r>
    <x v="64"/>
    <n v="95"/>
  </r>
  <r>
    <x v="107"/>
    <n v="95"/>
  </r>
  <r>
    <x v="87"/>
    <n v="60"/>
  </r>
  <r>
    <x v="78"/>
    <n v="60"/>
  </r>
  <r>
    <x v="110"/>
    <n v="103"/>
  </r>
  <r>
    <x v="105"/>
    <n v="103"/>
  </r>
  <r>
    <x v="82"/>
    <n v="37"/>
  </r>
  <r>
    <x v="88"/>
    <n v="37"/>
  </r>
  <r>
    <x v="74"/>
    <n v="118"/>
  </r>
  <r>
    <x v="73"/>
    <n v="118"/>
  </r>
  <r>
    <x v="104"/>
    <n v="64"/>
  </r>
  <r>
    <x v="66"/>
    <n v="64"/>
  </r>
  <r>
    <x v="63"/>
    <n v="92"/>
  </r>
  <r>
    <x v="94"/>
    <n v="92"/>
  </r>
  <r>
    <x v="117"/>
    <n v="54"/>
  </r>
  <r>
    <x v="93"/>
    <n v="54"/>
  </r>
  <r>
    <x v="92"/>
    <n v="85"/>
  </r>
  <r>
    <x v="108"/>
    <n v="85"/>
  </r>
  <r>
    <x v="75"/>
    <n v="40"/>
  </r>
  <r>
    <x v="115"/>
    <n v="40"/>
  </r>
  <r>
    <x v="123"/>
    <n v="130"/>
  </r>
  <r>
    <x v="95"/>
    <n v="130"/>
  </r>
  <r>
    <x v="119"/>
    <n v="25"/>
  </r>
  <r>
    <x v="113"/>
    <n v="25"/>
  </r>
  <r>
    <x v="69"/>
    <n v="87"/>
  </r>
  <r>
    <x v="90"/>
    <n v="87"/>
  </r>
  <r>
    <x v="96"/>
    <n v="53"/>
  </r>
  <r>
    <x v="65"/>
    <n v="53"/>
  </r>
  <r>
    <x v="80"/>
    <n v="100"/>
  </r>
  <r>
    <x v="101"/>
    <n v="100"/>
  </r>
  <r>
    <x v="67"/>
    <n v="87"/>
  </r>
  <r>
    <x v="77"/>
    <n v="87"/>
  </r>
  <r>
    <x v="81"/>
    <n v="97"/>
  </r>
  <r>
    <x v="103"/>
    <n v="97"/>
  </r>
  <r>
    <x v="121"/>
    <n v="79"/>
  </r>
  <r>
    <x v="62"/>
    <n v="79"/>
  </r>
  <r>
    <x v="70"/>
    <n v="84"/>
  </r>
  <r>
    <x v="84"/>
    <n v="84"/>
  </r>
  <r>
    <x v="97"/>
    <n v="86"/>
  </r>
  <r>
    <x v="89"/>
    <n v="86"/>
  </r>
  <r>
    <x v="98"/>
    <n v="102"/>
  </r>
  <r>
    <x v="120"/>
    <n v="102"/>
  </r>
  <r>
    <x v="72"/>
    <n v="105"/>
  </r>
  <r>
    <x v="68"/>
    <n v="105"/>
  </r>
  <r>
    <x v="102"/>
    <n v="148"/>
  </r>
  <r>
    <x v="122"/>
    <n v="148"/>
  </r>
  <r>
    <x v="83"/>
    <n v="86"/>
  </r>
  <r>
    <x v="114"/>
    <n v="86"/>
  </r>
  <r>
    <x v="116"/>
    <n v="89"/>
  </r>
  <r>
    <x v="86"/>
    <n v="89"/>
  </r>
  <r>
    <x v="111"/>
    <n v="77"/>
  </r>
  <r>
    <x v="85"/>
    <n v="77"/>
  </r>
  <r>
    <x v="112"/>
    <n v="42"/>
  </r>
  <r>
    <x v="91"/>
    <n v="42"/>
  </r>
  <r>
    <x v="76"/>
    <n v="75"/>
  </r>
  <r>
    <x v="106"/>
    <n v="75"/>
  </r>
  <r>
    <x v="109"/>
    <n v="85"/>
  </r>
  <r>
    <x v="71"/>
    <n v="85"/>
  </r>
  <r>
    <x v="99"/>
    <n v="92"/>
  </r>
  <r>
    <x v="79"/>
    <n v="92"/>
  </r>
  <r>
    <x v="100"/>
    <n v="98"/>
  </r>
  <r>
    <x v="118"/>
    <n v="98"/>
  </r>
  <r>
    <x v="80"/>
    <n v="92"/>
  </r>
  <r>
    <x v="95"/>
    <n v="92"/>
  </r>
  <r>
    <x v="81"/>
    <n v="65"/>
  </r>
  <r>
    <x v="65"/>
    <n v="65"/>
  </r>
  <r>
    <x v="108"/>
    <n v="106"/>
  </r>
  <r>
    <x v="73"/>
    <n v="106"/>
  </r>
  <r>
    <x v="110"/>
    <n v="143"/>
  </r>
  <r>
    <x v="87"/>
    <n v="143"/>
  </r>
  <r>
    <x v="68"/>
    <n v="60"/>
  </r>
  <r>
    <x v="63"/>
    <n v="60"/>
  </r>
  <r>
    <x v="119"/>
    <n v="69"/>
  </r>
  <r>
    <x v="88"/>
    <n v="69"/>
  </r>
  <r>
    <x v="122"/>
    <n v="131"/>
  </r>
  <r>
    <x v="103"/>
    <n v="131"/>
  </r>
  <r>
    <x v="104"/>
    <n v="90"/>
  </r>
  <r>
    <x v="85"/>
    <n v="90"/>
  </r>
  <r>
    <x v="101"/>
    <n v="112"/>
  </r>
  <r>
    <x v="90"/>
    <n v="112"/>
  </r>
  <r>
    <x v="91"/>
    <n v="80"/>
  </r>
  <r>
    <x v="107"/>
    <n v="80"/>
  </r>
  <r>
    <x v="116"/>
    <n v="80"/>
  </r>
  <r>
    <x v="70"/>
    <n v="80"/>
  </r>
  <r>
    <x v="93"/>
    <n v="103"/>
  </r>
  <r>
    <x v="111"/>
    <n v="103"/>
  </r>
  <r>
    <x v="71"/>
    <n v="45"/>
  </r>
  <r>
    <x v="69"/>
    <n v="45"/>
  </r>
  <r>
    <x v="97"/>
    <n v="83"/>
  </r>
  <r>
    <x v="115"/>
    <n v="83"/>
  </r>
  <r>
    <x v="78"/>
    <n v="70"/>
  </r>
  <r>
    <x v="76"/>
    <n v="70"/>
  </r>
  <r>
    <x v="96"/>
    <n v="93"/>
  </r>
  <r>
    <x v="77"/>
    <n v="93"/>
  </r>
  <r>
    <x v="83"/>
    <n v="55"/>
  </r>
  <r>
    <x v="100"/>
    <n v="55"/>
  </r>
  <r>
    <x v="106"/>
    <n v="37"/>
  </r>
  <r>
    <x v="89"/>
    <n v="37"/>
  </r>
  <r>
    <x v="123"/>
    <n v="92"/>
  </r>
  <r>
    <x v="62"/>
    <n v="92"/>
  </r>
  <r>
    <x v="64"/>
    <n v="95"/>
  </r>
  <r>
    <x v="120"/>
    <n v="95"/>
  </r>
  <r>
    <x v="113"/>
    <n v="112"/>
  </r>
  <r>
    <x v="86"/>
    <n v="112"/>
  </r>
  <r>
    <x v="72"/>
    <n v="168"/>
  </r>
  <r>
    <x v="109"/>
    <n v="168"/>
  </r>
  <r>
    <x v="92"/>
    <n v="48"/>
  </r>
  <r>
    <x v="114"/>
    <n v="48"/>
  </r>
  <r>
    <x v="66"/>
    <n v="52"/>
  </r>
  <r>
    <x v="99"/>
    <n v="52"/>
  </r>
  <r>
    <x v="84"/>
    <n v="62"/>
  </r>
  <r>
    <x v="94"/>
    <n v="62"/>
  </r>
  <r>
    <x v="121"/>
    <n v="79"/>
  </r>
  <r>
    <x v="82"/>
    <n v="79"/>
  </r>
  <r>
    <x v="67"/>
    <n v="111"/>
  </r>
  <r>
    <x v="102"/>
    <n v="111"/>
  </r>
  <r>
    <x v="98"/>
    <n v="62"/>
  </r>
  <r>
    <x v="117"/>
    <n v="62"/>
  </r>
  <r>
    <x v="105"/>
    <n v="22"/>
  </r>
  <r>
    <x v="75"/>
    <n v="22"/>
  </r>
  <r>
    <x v="79"/>
    <n v="94"/>
  </r>
  <r>
    <x v="74"/>
    <n v="94"/>
  </r>
  <r>
    <x v="112"/>
    <n v="70"/>
  </r>
  <r>
    <x v="118"/>
    <n v="70"/>
  </r>
  <r>
    <x v="108"/>
    <n v="80"/>
  </r>
  <r>
    <x v="83"/>
    <n v="80"/>
  </r>
  <r>
    <x v="110"/>
    <n v="123"/>
  </r>
  <r>
    <x v="91"/>
    <n v="123"/>
  </r>
  <r>
    <x v="93"/>
    <n v="70"/>
  </r>
  <r>
    <x v="97"/>
    <n v="70"/>
  </r>
  <r>
    <x v="104"/>
    <n v="47"/>
  </r>
  <r>
    <x v="65"/>
    <n v="47"/>
  </r>
  <r>
    <x v="115"/>
    <n v="62"/>
  </r>
  <r>
    <x v="86"/>
    <n v="62"/>
  </r>
  <r>
    <x v="81"/>
    <n v="105"/>
  </r>
  <r>
    <x v="122"/>
    <n v="105"/>
  </r>
  <r>
    <x v="71"/>
    <n v="109"/>
  </r>
  <r>
    <x v="90"/>
    <n v="109"/>
  </r>
  <r>
    <x v="66"/>
    <n v="87"/>
  </r>
  <r>
    <x v="114"/>
    <n v="87"/>
  </r>
  <r>
    <x v="89"/>
    <n v="60"/>
  </r>
  <r>
    <x v="72"/>
    <n v="60"/>
  </r>
  <r>
    <x v="107"/>
    <n v="80"/>
  </r>
  <r>
    <x v="119"/>
    <n v="80"/>
  </r>
  <r>
    <x v="106"/>
    <n v="98"/>
  </r>
  <r>
    <x v="95"/>
    <n v="98"/>
  </r>
  <r>
    <x v="64"/>
    <n v="90"/>
  </r>
  <r>
    <x v="67"/>
    <n v="90"/>
  </r>
  <r>
    <x v="112"/>
    <n v="83"/>
  </r>
  <r>
    <x v="63"/>
    <n v="83"/>
  </r>
  <r>
    <x v="85"/>
    <n v="87"/>
  </r>
  <r>
    <x v="123"/>
    <n v="87"/>
  </r>
  <r>
    <x v="88"/>
    <n v="31"/>
  </r>
  <r>
    <x v="113"/>
    <n v="31"/>
  </r>
  <r>
    <x v="101"/>
    <n v="90"/>
  </r>
  <r>
    <x v="109"/>
    <n v="90"/>
  </r>
  <r>
    <x v="78"/>
    <n v="43"/>
  </r>
  <r>
    <x v="92"/>
    <n v="43"/>
  </r>
  <r>
    <x v="100"/>
    <n v="105"/>
  </r>
  <r>
    <x v="120"/>
    <n v="105"/>
  </r>
  <r>
    <x v="79"/>
    <n v="63"/>
  </r>
  <r>
    <x v="117"/>
    <n v="63"/>
  </r>
  <r>
    <x v="87"/>
    <n v="20"/>
  </r>
  <r>
    <x v="111"/>
    <n v="20"/>
  </r>
  <r>
    <x v="75"/>
    <n v="130"/>
  </r>
  <r>
    <x v="116"/>
    <n v="130"/>
  </r>
  <r>
    <x v="102"/>
    <n v="83"/>
  </r>
  <r>
    <x v="118"/>
    <n v="83"/>
  </r>
  <r>
    <x v="80"/>
    <n v="92"/>
  </r>
  <r>
    <x v="76"/>
    <n v="92"/>
  </r>
  <r>
    <x v="73"/>
    <n v="59"/>
  </r>
  <r>
    <x v="84"/>
    <n v="59"/>
  </r>
  <r>
    <x v="121"/>
    <n v="129"/>
  </r>
  <r>
    <x v="96"/>
    <n v="129"/>
  </r>
  <r>
    <x v="105"/>
    <n v="59"/>
  </r>
  <r>
    <x v="99"/>
    <n v="59"/>
  </r>
  <r>
    <x v="77"/>
    <n v="71"/>
  </r>
  <r>
    <x v="70"/>
    <n v="71"/>
  </r>
  <r>
    <x v="69"/>
    <n v="63"/>
  </r>
  <r>
    <x v="98"/>
    <n v="63"/>
  </r>
  <r>
    <x v="62"/>
    <n v="84"/>
  </r>
  <r>
    <x v="82"/>
    <n v="84"/>
  </r>
  <r>
    <x v="74"/>
    <n v="127"/>
  </r>
  <r>
    <x v="94"/>
    <n v="127"/>
  </r>
  <r>
    <x v="68"/>
    <n v="80"/>
  </r>
  <r>
    <x v="103"/>
    <n v="80"/>
  </r>
  <r>
    <x v="71"/>
    <n v="96"/>
  </r>
  <r>
    <x v="100"/>
    <n v="96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60">
  <r>
    <x v="0"/>
    <x v="0"/>
    <n v="59"/>
  </r>
  <r>
    <x v="1"/>
    <x v="1"/>
    <n v="135"/>
  </r>
  <r>
    <x v="2"/>
    <x v="2"/>
    <n v="48"/>
  </r>
  <r>
    <x v="3"/>
    <x v="3"/>
    <n v="72"/>
  </r>
  <r>
    <x v="4"/>
    <x v="4"/>
    <n v="14"/>
  </r>
  <r>
    <x v="5"/>
    <x v="5"/>
    <n v="113"/>
  </r>
  <r>
    <x v="6"/>
    <x v="6"/>
    <n v="110"/>
  </r>
  <r>
    <x v="7"/>
    <x v="7"/>
    <n v="78"/>
  </r>
  <r>
    <x v="8"/>
    <x v="8"/>
    <n v="47"/>
  </r>
  <r>
    <x v="9"/>
    <x v="9"/>
    <n v="53"/>
  </r>
  <r>
    <x v="10"/>
    <x v="10"/>
    <n v="118"/>
  </r>
  <r>
    <x v="11"/>
    <x v="11"/>
    <n v="110"/>
  </r>
  <r>
    <x v="12"/>
    <x v="12"/>
    <n v="88"/>
  </r>
  <r>
    <x v="13"/>
    <x v="13"/>
    <n v="80"/>
  </r>
  <r>
    <x v="14"/>
    <x v="14"/>
    <n v="122"/>
  </r>
  <r>
    <x v="15"/>
    <x v="15"/>
    <n v="70"/>
  </r>
  <r>
    <x v="16"/>
    <x v="16"/>
    <n v="108"/>
  </r>
  <r>
    <x v="17"/>
    <x v="17"/>
    <n v="63"/>
  </r>
  <r>
    <x v="18"/>
    <x v="18"/>
    <n v="27"/>
  </r>
  <r>
    <x v="19"/>
    <x v="8"/>
    <n v="128"/>
  </r>
  <r>
    <x v="20"/>
    <x v="19"/>
    <n v="84"/>
  </r>
  <r>
    <x v="21"/>
    <x v="20"/>
    <n v="125"/>
  </r>
  <r>
    <x v="22"/>
    <x v="21"/>
    <n v="62"/>
  </r>
  <r>
    <x v="23"/>
    <x v="22"/>
    <n v="96"/>
  </r>
  <r>
    <x v="24"/>
    <x v="23"/>
    <n v="80"/>
  </r>
  <r>
    <x v="25"/>
    <x v="24"/>
    <n v="153"/>
  </r>
  <r>
    <x v="26"/>
    <x v="1"/>
    <n v="100"/>
  </r>
  <r>
    <x v="27"/>
    <x v="25"/>
    <n v="170"/>
  </r>
  <r>
    <x v="28"/>
    <x v="0"/>
    <n v="115"/>
  </r>
  <r>
    <x v="29"/>
    <x v="26"/>
    <n v="98"/>
  </r>
  <r>
    <x v="30"/>
    <x v="27"/>
    <n v="35"/>
  </r>
  <r>
    <x v="31"/>
    <x v="28"/>
    <n v="42"/>
  </r>
  <r>
    <x v="32"/>
    <x v="17"/>
    <n v="82"/>
  </r>
  <r>
    <x v="33"/>
    <x v="29"/>
    <n v="40"/>
  </r>
  <r>
    <x v="34"/>
    <x v="30"/>
    <n v="58"/>
  </r>
  <r>
    <x v="23"/>
    <x v="10"/>
    <n v="147"/>
  </r>
  <r>
    <x v="29"/>
    <x v="20"/>
    <n v="62"/>
  </r>
  <r>
    <x v="35"/>
    <x v="12"/>
    <n v="140"/>
  </r>
  <r>
    <x v="25"/>
    <x v="16"/>
    <n v="111"/>
  </r>
  <r>
    <x v="36"/>
    <x v="31"/>
    <n v="55"/>
  </r>
  <r>
    <x v="11"/>
    <x v="5"/>
    <n v="30"/>
  </r>
  <r>
    <x v="37"/>
    <x v="32"/>
    <n v="22"/>
  </r>
  <r>
    <x v="38"/>
    <x v="33"/>
    <n v="77"/>
  </r>
  <r>
    <x v="39"/>
    <x v="4"/>
    <n v="84"/>
  </r>
  <r>
    <x v="40"/>
    <x v="34"/>
    <n v="53"/>
  </r>
  <r>
    <x v="6"/>
    <x v="35"/>
    <n v="95"/>
  </r>
  <r>
    <x v="1"/>
    <x v="36"/>
    <n v="88"/>
  </r>
  <r>
    <x v="22"/>
    <x v="16"/>
    <n v="67"/>
  </r>
  <r>
    <x v="28"/>
    <x v="37"/>
    <n v="71"/>
  </r>
  <r>
    <x v="3"/>
    <x v="38"/>
    <n v="63"/>
  </r>
  <r>
    <x v="24"/>
    <x v="15"/>
    <n v="140"/>
  </r>
  <r>
    <x v="41"/>
    <x v="39"/>
    <n v="98"/>
  </r>
  <r>
    <x v="10"/>
    <x v="40"/>
    <n v="93"/>
  </r>
  <r>
    <x v="38"/>
    <x v="5"/>
    <n v="27"/>
  </r>
  <r>
    <x v="42"/>
    <x v="41"/>
    <n v="96"/>
  </r>
  <r>
    <x v="43"/>
    <x v="28"/>
    <n v="57"/>
  </r>
  <r>
    <x v="40"/>
    <x v="26"/>
    <n v="37"/>
  </r>
  <r>
    <x v="30"/>
    <x v="24"/>
    <n v="40"/>
  </r>
  <r>
    <x v="44"/>
    <x v="13"/>
    <n v="65"/>
  </r>
  <r>
    <x v="45"/>
    <x v="42"/>
    <n v="135"/>
  </r>
  <r>
    <x v="26"/>
    <x v="30"/>
    <n v="45"/>
  </r>
  <r>
    <x v="27"/>
    <x v="21"/>
    <n v="96"/>
  </r>
  <r>
    <x v="37"/>
    <x v="43"/>
    <n v="45"/>
  </r>
  <r>
    <x v="20"/>
    <x v="23"/>
    <n v="45"/>
  </r>
  <r>
    <x v="4"/>
    <x v="12"/>
    <n v="111"/>
  </r>
  <r>
    <x v="46"/>
    <x v="25"/>
    <n v="90"/>
  </r>
  <r>
    <x v="47"/>
    <x v="22"/>
    <n v="109"/>
  </r>
  <r>
    <x v="23"/>
    <x v="0"/>
    <n v="102"/>
  </r>
  <r>
    <x v="48"/>
    <x v="44"/>
    <n v="32"/>
  </r>
  <r>
    <x v="49"/>
    <x v="45"/>
    <n v="97"/>
  </r>
  <r>
    <x v="50"/>
    <x v="46"/>
    <n v="104"/>
  </r>
  <r>
    <x v="27"/>
    <x v="4"/>
    <n v="91"/>
  </r>
  <r>
    <x v="21"/>
    <x v="47"/>
    <n v="104"/>
  </r>
  <r>
    <x v="24"/>
    <x v="35"/>
    <n v="140"/>
  </r>
  <r>
    <x v="22"/>
    <x v="40"/>
    <n v="142"/>
  </r>
  <r>
    <x v="35"/>
    <x v="48"/>
    <n v="94"/>
  </r>
  <r>
    <x v="0"/>
    <x v="13"/>
    <n v="113"/>
  </r>
  <r>
    <x v="13"/>
    <x v="49"/>
    <n v="132"/>
  </r>
  <r>
    <x v="40"/>
    <x v="18"/>
    <n v="75"/>
  </r>
  <r>
    <x v="14"/>
    <x v="41"/>
    <n v="39"/>
  </r>
  <r>
    <x v="41"/>
    <x v="50"/>
    <n v="108"/>
  </r>
  <r>
    <x v="15"/>
    <x v="19"/>
    <n v="45"/>
  </r>
  <r>
    <x v="29"/>
    <x v="4"/>
    <n v="30"/>
  </r>
  <r>
    <x v="18"/>
    <x v="3"/>
    <n v="80"/>
  </r>
  <r>
    <x v="51"/>
    <x v="22"/>
    <n v="127"/>
  </r>
  <r>
    <x v="0"/>
    <x v="39"/>
    <n v="56"/>
  </r>
  <r>
    <x v="30"/>
    <x v="51"/>
    <n v="40"/>
  </r>
  <r>
    <x v="32"/>
    <x v="11"/>
    <n v="43"/>
  </r>
  <r>
    <x v="20"/>
    <x v="14"/>
    <n v="115"/>
  </r>
  <r>
    <x v="21"/>
    <x v="24"/>
    <n v="65"/>
  </r>
  <r>
    <x v="6"/>
    <x v="30"/>
    <n v="73"/>
  </r>
  <r>
    <x v="11"/>
    <x v="10"/>
    <n v="75"/>
  </r>
  <r>
    <x v="43"/>
    <x v="20"/>
    <n v="52"/>
  </r>
  <r>
    <x v="14"/>
    <x v="50"/>
    <n v="60"/>
  </r>
  <r>
    <x v="52"/>
    <x v="8"/>
    <n v="86"/>
  </r>
  <r>
    <x v="31"/>
    <x v="41"/>
    <n v="59"/>
  </r>
  <r>
    <x v="36"/>
    <x v="29"/>
    <n v="54"/>
  </r>
  <r>
    <x v="48"/>
    <x v="13"/>
    <n v="60"/>
  </r>
  <r>
    <x v="8"/>
    <x v="23"/>
    <n v="80"/>
  </r>
  <r>
    <x v="41"/>
    <x v="15"/>
    <n v="98"/>
  </r>
  <r>
    <x v="42"/>
    <x v="11"/>
    <n v="130"/>
  </r>
  <r>
    <x v="20"/>
    <x v="52"/>
    <n v="144"/>
  </r>
  <r>
    <x v="53"/>
    <x v="25"/>
    <n v="103"/>
  </r>
  <r>
    <x v="25"/>
    <x v="53"/>
    <n v="84"/>
  </r>
  <r>
    <x v="32"/>
    <x v="24"/>
    <n v="48"/>
  </r>
  <r>
    <x v="28"/>
    <x v="54"/>
    <n v="95"/>
  </r>
  <r>
    <x v="15"/>
    <x v="35"/>
    <n v="82"/>
  </r>
  <r>
    <x v="18"/>
    <x v="2"/>
    <n v="110"/>
  </r>
  <r>
    <x v="54"/>
    <x v="55"/>
    <n v="79"/>
  </r>
  <r>
    <x v="12"/>
    <x v="1"/>
    <n v="77"/>
  </r>
  <r>
    <x v="55"/>
    <x v="21"/>
    <n v="135"/>
  </r>
  <r>
    <x v="1"/>
    <x v="43"/>
    <n v="64"/>
  </r>
  <r>
    <x v="56"/>
    <x v="24"/>
    <n v="90"/>
  </r>
  <r>
    <x v="57"/>
    <x v="23"/>
    <n v="121"/>
  </r>
  <r>
    <x v="0"/>
    <x v="56"/>
    <n v="44"/>
  </r>
  <r>
    <x v="45"/>
    <x v="3"/>
    <n v="96"/>
  </r>
  <r>
    <x v="3"/>
    <x v="52"/>
    <n v="49"/>
  </r>
  <r>
    <x v="46"/>
    <x v="7"/>
    <n v="148"/>
  </r>
  <r>
    <x v="17"/>
    <x v="35"/>
    <n v="67"/>
  </r>
  <r>
    <x v="35"/>
    <x v="47"/>
    <n v="82"/>
  </r>
  <r>
    <x v="33"/>
    <x v="22"/>
    <n v="90"/>
  </r>
  <r>
    <x v="8"/>
    <x v="34"/>
    <n v="86"/>
  </r>
  <r>
    <x v="30"/>
    <x v="37"/>
    <n v="56"/>
  </r>
  <r>
    <x v="27"/>
    <x v="44"/>
    <n v="118"/>
  </r>
  <r>
    <x v="57"/>
    <x v="14"/>
    <n v="91"/>
  </r>
  <r>
    <x v="45"/>
    <x v="27"/>
    <n v="144"/>
  </r>
  <r>
    <x v="9"/>
    <x v="33"/>
    <n v="52"/>
  </r>
  <r>
    <x v="55"/>
    <x v="23"/>
    <n v="0"/>
  </r>
  <r>
    <x v="15"/>
    <x v="3"/>
    <n v="150"/>
  </r>
  <r>
    <x v="46"/>
    <x v="49"/>
    <n v="104"/>
  </r>
  <r>
    <x v="7"/>
    <x v="45"/>
    <n v="66"/>
  </r>
  <r>
    <x v="8"/>
    <x v="43"/>
    <n v="43"/>
  </r>
  <r>
    <x v="5"/>
    <x v="34"/>
    <n v="95"/>
  </r>
  <r>
    <x v="37"/>
    <x v="53"/>
    <n v="73"/>
  </r>
  <r>
    <x v="35"/>
    <x v="50"/>
    <n v="68"/>
  </r>
  <r>
    <x v="24"/>
    <x v="46"/>
    <n v="113"/>
  </r>
  <r>
    <x v="40"/>
    <x v="39"/>
    <n v="70"/>
  </r>
  <r>
    <x v="43"/>
    <x v="2"/>
    <n v="69"/>
  </r>
  <r>
    <x v="30"/>
    <x v="48"/>
    <n v="37"/>
  </r>
  <r>
    <x v="34"/>
    <x v="19"/>
    <n v="70"/>
  </r>
  <r>
    <x v="58"/>
    <x v="57"/>
    <n v="17"/>
  </r>
  <r>
    <x v="59"/>
    <x v="58"/>
    <n v="109"/>
  </r>
  <r>
    <x v="60"/>
    <x v="59"/>
    <n v="60"/>
  </r>
  <r>
    <x v="61"/>
    <x v="60"/>
    <n v="57"/>
  </r>
  <r>
    <x v="62"/>
    <x v="61"/>
    <n v="89"/>
  </r>
  <r>
    <x v="63"/>
    <x v="62"/>
    <n v="112"/>
  </r>
  <r>
    <x v="64"/>
    <x v="63"/>
    <n v="99"/>
  </r>
  <r>
    <x v="65"/>
    <x v="64"/>
    <n v="59"/>
  </r>
  <r>
    <x v="66"/>
    <x v="65"/>
    <n v="132"/>
  </r>
  <r>
    <x v="67"/>
    <x v="66"/>
    <n v="48"/>
  </r>
  <r>
    <x v="68"/>
    <x v="67"/>
    <n v="186"/>
  </r>
  <r>
    <x v="69"/>
    <x v="68"/>
    <n v="113"/>
  </r>
  <r>
    <x v="70"/>
    <x v="69"/>
    <n v="149"/>
  </r>
  <r>
    <x v="71"/>
    <x v="70"/>
    <n v="54"/>
  </r>
  <r>
    <x v="72"/>
    <x v="71"/>
    <n v="73"/>
  </r>
  <r>
    <x v="73"/>
    <x v="72"/>
    <n v="62"/>
  </r>
  <r>
    <x v="74"/>
    <x v="73"/>
    <n v="37"/>
  </r>
  <r>
    <x v="75"/>
    <x v="74"/>
    <n v="107"/>
  </r>
  <r>
    <x v="76"/>
    <x v="75"/>
    <n v="128"/>
  </r>
  <r>
    <x v="77"/>
    <x v="76"/>
    <n v="130"/>
  </r>
  <r>
    <x v="78"/>
    <x v="77"/>
    <n v="98"/>
  </r>
  <r>
    <x v="79"/>
    <x v="65"/>
    <n v="168"/>
  </r>
  <r>
    <x v="80"/>
    <x v="78"/>
    <n v="75"/>
  </r>
  <r>
    <x v="81"/>
    <x v="79"/>
    <n v="92"/>
  </r>
  <r>
    <x v="82"/>
    <x v="80"/>
    <n v="70"/>
  </r>
  <r>
    <x v="83"/>
    <x v="71"/>
    <n v="53"/>
  </r>
  <r>
    <x v="84"/>
    <x v="81"/>
    <n v="93"/>
  </r>
  <r>
    <x v="85"/>
    <x v="82"/>
    <n v="65"/>
  </r>
  <r>
    <x v="86"/>
    <x v="83"/>
    <n v="54"/>
  </r>
  <r>
    <x v="87"/>
    <x v="84"/>
    <n v="42"/>
  </r>
  <r>
    <x v="88"/>
    <x v="85"/>
    <n v="77"/>
  </r>
  <r>
    <x v="89"/>
    <x v="61"/>
    <n v="24"/>
  </r>
  <r>
    <x v="67"/>
    <x v="59"/>
    <n v="30"/>
  </r>
  <r>
    <x v="90"/>
    <x v="79"/>
    <n v="77"/>
  </r>
  <r>
    <x v="91"/>
    <x v="86"/>
    <n v="85"/>
  </r>
  <r>
    <x v="59"/>
    <x v="82"/>
    <n v="29"/>
  </r>
  <r>
    <x v="61"/>
    <x v="57"/>
    <n v="111"/>
  </r>
  <r>
    <x v="65"/>
    <x v="87"/>
    <n v="136"/>
  </r>
  <r>
    <x v="92"/>
    <x v="88"/>
    <n v="98"/>
  </r>
  <r>
    <x v="93"/>
    <x v="89"/>
    <n v="79"/>
  </r>
  <r>
    <x v="82"/>
    <x v="84"/>
    <n v="116"/>
  </r>
  <r>
    <x v="75"/>
    <x v="90"/>
    <n v="57"/>
  </r>
  <r>
    <x v="88"/>
    <x v="64"/>
    <n v="86"/>
  </r>
  <r>
    <x v="76"/>
    <x v="78"/>
    <n v="67"/>
  </r>
  <r>
    <x v="84"/>
    <x v="77"/>
    <n v="116"/>
  </r>
  <r>
    <x v="94"/>
    <x v="91"/>
    <n v="103"/>
  </r>
  <r>
    <x v="83"/>
    <x v="92"/>
    <n v="87"/>
  </r>
  <r>
    <x v="79"/>
    <x v="93"/>
    <n v="78"/>
  </r>
  <r>
    <x v="68"/>
    <x v="94"/>
    <n v="123"/>
  </r>
  <r>
    <x v="95"/>
    <x v="95"/>
    <n v="27"/>
  </r>
  <r>
    <x v="87"/>
    <x v="63"/>
    <n v="112"/>
  </r>
  <r>
    <x v="59"/>
    <x v="70"/>
    <n v="47"/>
  </r>
  <r>
    <x v="91"/>
    <x v="62"/>
    <n v="100"/>
  </r>
  <r>
    <x v="96"/>
    <x v="86"/>
    <n v="109"/>
  </r>
  <r>
    <x v="97"/>
    <x v="90"/>
    <n v="100"/>
  </r>
  <r>
    <x v="98"/>
    <x v="96"/>
    <n v="80"/>
  </r>
  <r>
    <x v="99"/>
    <x v="60"/>
    <n v="51"/>
  </r>
  <r>
    <x v="100"/>
    <x v="97"/>
    <n v="64"/>
  </r>
  <r>
    <x v="101"/>
    <x v="98"/>
    <n v="63"/>
  </r>
  <r>
    <x v="89"/>
    <x v="99"/>
    <n v="56"/>
  </r>
  <r>
    <x v="102"/>
    <x v="100"/>
    <n v="77"/>
  </r>
  <r>
    <x v="103"/>
    <x v="101"/>
    <n v="98"/>
  </r>
  <r>
    <x v="76"/>
    <x v="63"/>
    <n v="57"/>
  </r>
  <r>
    <x v="97"/>
    <x v="102"/>
    <n v="123"/>
  </r>
  <r>
    <x v="104"/>
    <x v="103"/>
    <n v="135"/>
  </r>
  <r>
    <x v="98"/>
    <x v="104"/>
    <n v="72"/>
  </r>
  <r>
    <x v="66"/>
    <x v="96"/>
    <n v="135"/>
  </r>
  <r>
    <x v="71"/>
    <x v="99"/>
    <n v="49"/>
  </r>
  <r>
    <x v="105"/>
    <x v="93"/>
    <n v="82"/>
  </r>
  <r>
    <x v="106"/>
    <x v="81"/>
    <n v="97"/>
  </r>
  <r>
    <x v="63"/>
    <x v="70"/>
    <n v="82"/>
  </r>
  <r>
    <x v="60"/>
    <x v="66"/>
    <n v="67"/>
  </r>
  <r>
    <x v="90"/>
    <x v="83"/>
    <n v="97"/>
  </r>
  <r>
    <x v="87"/>
    <x v="105"/>
    <n v="90"/>
  </r>
  <r>
    <x v="84"/>
    <x v="101"/>
    <n v="107"/>
  </r>
  <r>
    <x v="95"/>
    <x v="87"/>
    <n v="114"/>
  </r>
  <r>
    <x v="73"/>
    <x v="69"/>
    <n v="81"/>
  </r>
  <r>
    <x v="107"/>
    <x v="106"/>
    <n v="150"/>
  </r>
  <r>
    <x v="106"/>
    <x v="95"/>
    <n v="54"/>
  </r>
  <r>
    <x v="85"/>
    <x v="71"/>
    <n v="39"/>
  </r>
  <r>
    <x v="103"/>
    <x v="75"/>
    <n v="120"/>
  </r>
  <r>
    <x v="58"/>
    <x v="60"/>
    <n v="84"/>
  </r>
  <r>
    <x v="108"/>
    <x v="107"/>
    <n v="74"/>
  </r>
  <r>
    <x v="93"/>
    <x v="108"/>
    <n v="80"/>
  </r>
  <r>
    <x v="99"/>
    <x v="82"/>
    <n v="111"/>
  </r>
  <r>
    <x v="90"/>
    <x v="57"/>
    <n v="74"/>
  </r>
  <r>
    <x v="100"/>
    <x v="64"/>
    <n v="106"/>
  </r>
  <r>
    <x v="109"/>
    <x v="85"/>
    <n v="87"/>
  </r>
  <r>
    <x v="94"/>
    <x v="66"/>
    <n v="58"/>
  </r>
  <r>
    <x v="110"/>
    <x v="78"/>
    <n v="83"/>
  </r>
  <r>
    <x v="111"/>
    <x v="101"/>
    <n v="103"/>
  </r>
  <r>
    <x v="95"/>
    <x v="109"/>
    <n v="83"/>
  </r>
  <r>
    <x v="69"/>
    <x v="98"/>
    <n v="85"/>
  </r>
  <r>
    <x v="103"/>
    <x v="68"/>
    <n v="95"/>
  </r>
  <r>
    <x v="70"/>
    <x v="80"/>
    <n v="103"/>
  </r>
  <r>
    <x v="61"/>
    <x v="87"/>
    <n v="118"/>
  </r>
  <r>
    <x v="112"/>
    <x v="108"/>
    <n v="92"/>
  </r>
  <r>
    <x v="93"/>
    <x v="85"/>
    <n v="85"/>
  </r>
  <r>
    <x v="106"/>
    <x v="65"/>
    <n v="130"/>
  </r>
  <r>
    <x v="87"/>
    <x v="103"/>
    <n v="87"/>
  </r>
  <r>
    <x v="91"/>
    <x v="99"/>
    <n v="100"/>
  </r>
  <r>
    <x v="108"/>
    <x v="67"/>
    <n v="97"/>
  </r>
  <r>
    <x v="60"/>
    <x v="94"/>
    <n v="84"/>
  </r>
  <r>
    <x v="67"/>
    <x v="110"/>
    <n v="102"/>
  </r>
  <r>
    <x v="68"/>
    <x v="88"/>
    <n v="148"/>
  </r>
  <r>
    <x v="96"/>
    <x v="96"/>
    <n v="89"/>
  </r>
  <r>
    <x v="81"/>
    <x v="64"/>
    <n v="42"/>
  </r>
  <r>
    <x v="76"/>
    <x v="59"/>
    <n v="85"/>
  </r>
  <r>
    <x v="82"/>
    <x v="98"/>
    <n v="98"/>
  </r>
  <r>
    <x v="108"/>
    <x v="111"/>
    <n v="65"/>
  </r>
  <r>
    <x v="70"/>
    <x v="63"/>
    <n v="143"/>
  </r>
  <r>
    <x v="113"/>
    <x v="102"/>
    <n v="69"/>
  </r>
  <r>
    <x v="102"/>
    <x v="101"/>
    <n v="90"/>
  </r>
  <r>
    <x v="114"/>
    <x v="68"/>
    <n v="80"/>
  </r>
  <r>
    <x v="115"/>
    <x v="69"/>
    <n v="103"/>
  </r>
  <r>
    <x v="107"/>
    <x v="70"/>
    <n v="83"/>
  </r>
  <r>
    <x v="97"/>
    <x v="112"/>
    <n v="93"/>
  </r>
  <r>
    <x v="69"/>
    <x v="86"/>
    <n v="37"/>
  </r>
  <r>
    <x v="103"/>
    <x v="110"/>
    <n v="95"/>
  </r>
  <r>
    <x v="88"/>
    <x v="113"/>
    <n v="168"/>
  </r>
  <r>
    <x v="59"/>
    <x v="66"/>
    <n v="52"/>
  </r>
  <r>
    <x v="116"/>
    <x v="100"/>
    <n v="79"/>
  </r>
  <r>
    <x v="67"/>
    <x v="106"/>
    <n v="62"/>
  </r>
  <r>
    <x v="111"/>
    <x v="114"/>
    <n v="94"/>
  </r>
  <r>
    <x v="92"/>
    <x v="62"/>
    <n v="80"/>
  </r>
  <r>
    <x v="115"/>
    <x v="79"/>
    <n v="70"/>
  </r>
  <r>
    <x v="117"/>
    <x v="96"/>
    <n v="62"/>
  </r>
  <r>
    <x v="105"/>
    <x v="103"/>
    <n v="109"/>
  </r>
  <r>
    <x v="77"/>
    <x v="109"/>
    <n v="60"/>
  </r>
  <r>
    <x v="69"/>
    <x v="65"/>
    <n v="98"/>
  </r>
  <r>
    <x v="81"/>
    <x v="57"/>
    <n v="83"/>
  </r>
  <r>
    <x v="75"/>
    <x v="83"/>
    <n v="31"/>
  </r>
  <r>
    <x v="62"/>
    <x v="97"/>
    <n v="43"/>
  </r>
  <r>
    <x v="111"/>
    <x v="106"/>
    <n v="63"/>
  </r>
  <r>
    <x v="118"/>
    <x v="81"/>
    <n v="130"/>
  </r>
  <r>
    <x v="91"/>
    <x v="77"/>
    <n v="92"/>
  </r>
  <r>
    <x v="116"/>
    <x v="76"/>
    <n v="129"/>
  </r>
  <r>
    <x v="90"/>
    <x v="107"/>
    <n v="71"/>
  </r>
  <r>
    <x v="58"/>
    <x v="100"/>
    <n v="84"/>
  </r>
  <r>
    <x v="100"/>
    <x v="67"/>
    <n v="80"/>
  </r>
  <r>
    <x v="35"/>
    <x v="23"/>
    <n v="107"/>
  </r>
  <r>
    <x v="30"/>
    <x v="28"/>
    <n v="56"/>
  </r>
  <r>
    <x v="16"/>
    <x v="27"/>
    <n v="122"/>
  </r>
  <r>
    <x v="25"/>
    <x v="20"/>
    <n v="115"/>
  </r>
  <r>
    <x v="28"/>
    <x v="53"/>
    <n v="144"/>
  </r>
  <r>
    <x v="20"/>
    <x v="21"/>
    <n v="30"/>
  </r>
  <r>
    <x v="18"/>
    <x v="50"/>
    <n v="65"/>
  </r>
  <r>
    <x v="34"/>
    <x v="16"/>
    <n v="82"/>
  </r>
  <r>
    <x v="31"/>
    <x v="22"/>
    <n v="73"/>
  </r>
  <r>
    <x v="17"/>
    <x v="55"/>
    <n v="116"/>
  </r>
  <r>
    <x v="45"/>
    <x v="56"/>
    <n v="70"/>
  </r>
  <r>
    <x v="40"/>
    <x v="48"/>
    <n v="87"/>
  </r>
  <r>
    <x v="38"/>
    <x v="115"/>
    <n v="47"/>
  </r>
  <r>
    <x v="119"/>
    <x v="54"/>
    <n v="78"/>
  </r>
  <r>
    <x v="37"/>
    <x v="26"/>
    <n v="15"/>
  </r>
  <r>
    <x v="6"/>
    <x v="51"/>
    <n v="120"/>
  </r>
  <r>
    <x v="32"/>
    <x v="34"/>
    <n v="25"/>
  </r>
  <r>
    <x v="43"/>
    <x v="47"/>
    <n v="111"/>
  </r>
  <r>
    <x v="5"/>
    <x v="29"/>
    <n v="117"/>
  </r>
  <r>
    <x v="10"/>
    <x v="5"/>
    <n v="72"/>
  </r>
  <r>
    <x v="120"/>
    <x v="13"/>
    <n v="77"/>
  </r>
  <r>
    <x v="49"/>
    <x v="116"/>
    <n v="59"/>
  </r>
  <r>
    <x v="37"/>
    <x v="28"/>
    <n v="78"/>
  </r>
  <r>
    <x v="38"/>
    <x v="117"/>
    <n v="58"/>
  </r>
  <r>
    <x v="33"/>
    <x v="33"/>
    <n v="102"/>
  </r>
  <r>
    <x v="8"/>
    <x v="41"/>
    <n v="36"/>
  </r>
  <r>
    <x v="15"/>
    <x v="39"/>
    <n v="47"/>
  </r>
  <r>
    <x v="47"/>
    <x v="14"/>
    <n v="65"/>
  </r>
  <r>
    <x v="11"/>
    <x v="46"/>
    <n v="108"/>
  </r>
  <r>
    <x v="42"/>
    <x v="12"/>
    <n v="136"/>
  </r>
  <r>
    <x v="44"/>
    <x v="36"/>
    <n v="63"/>
  </r>
  <r>
    <x v="5"/>
    <x v="13"/>
    <n v="133"/>
  </r>
  <r>
    <x v="50"/>
    <x v="118"/>
    <n v="75"/>
  </r>
  <r>
    <x v="22"/>
    <x v="50"/>
    <n v="74"/>
  </r>
  <r>
    <x v="8"/>
    <x v="44"/>
    <n v="91"/>
  </r>
  <r>
    <x v="2"/>
    <x v="23"/>
    <n v="7"/>
  </r>
  <r>
    <x v="13"/>
    <x v="45"/>
    <n v="38"/>
  </r>
  <r>
    <x v="53"/>
    <x v="24"/>
    <n v="30"/>
  </r>
  <r>
    <x v="12"/>
    <x v="11"/>
    <n v="39"/>
  </r>
  <r>
    <x v="41"/>
    <x v="54"/>
    <n v="107"/>
  </r>
  <r>
    <x v="43"/>
    <x v="119"/>
    <n v="93"/>
  </r>
  <r>
    <x v="0"/>
    <x v="7"/>
    <n v="133"/>
  </r>
  <r>
    <x v="47"/>
    <x v="53"/>
    <n v="118"/>
  </r>
  <r>
    <x v="52"/>
    <x v="18"/>
    <n v="67"/>
  </r>
  <r>
    <x v="19"/>
    <x v="21"/>
    <n v="105"/>
  </r>
  <r>
    <x v="27"/>
    <x v="26"/>
    <n v="97"/>
  </r>
  <r>
    <x v="53"/>
    <x v="29"/>
    <n v="26"/>
  </r>
  <r>
    <x v="36"/>
    <x v="48"/>
    <n v="49"/>
  </r>
  <r>
    <x v="25"/>
    <x v="47"/>
    <n v="138"/>
  </r>
  <r>
    <x v="32"/>
    <x v="25"/>
    <n v="78"/>
  </r>
  <r>
    <x v="20"/>
    <x v="20"/>
    <n v="81"/>
  </r>
  <r>
    <x v="7"/>
    <x v="23"/>
    <n v="115"/>
  </r>
  <r>
    <x v="23"/>
    <x v="51"/>
    <n v="80"/>
  </r>
  <r>
    <x v="16"/>
    <x v="36"/>
    <n v="118"/>
  </r>
  <r>
    <x v="39"/>
    <x v="34"/>
    <n v="106"/>
  </r>
  <r>
    <x v="120"/>
    <x v="12"/>
    <n v="40"/>
  </r>
  <r>
    <x v="18"/>
    <x v="0"/>
    <n v="121"/>
  </r>
  <r>
    <x v="19"/>
    <x v="116"/>
    <n v="143"/>
  </r>
  <r>
    <x v="1"/>
    <x v="10"/>
    <n v="119"/>
  </r>
  <r>
    <x v="33"/>
    <x v="52"/>
    <n v="106"/>
  </r>
  <r>
    <x v="50"/>
    <x v="19"/>
    <n v="104"/>
  </r>
  <r>
    <x v="15"/>
    <x v="53"/>
    <n v="64"/>
  </r>
  <r>
    <x v="41"/>
    <x v="38"/>
    <n v="155"/>
  </r>
  <r>
    <x v="18"/>
    <x v="36"/>
    <n v="117"/>
  </r>
  <r>
    <x v="3"/>
    <x v="14"/>
    <n v="48"/>
  </r>
  <r>
    <x v="44"/>
    <x v="20"/>
    <n v="98"/>
  </r>
  <r>
    <x v="42"/>
    <x v="5"/>
    <n v="131"/>
  </r>
  <r>
    <x v="56"/>
    <x v="17"/>
    <n v="48"/>
  </r>
  <r>
    <x v="43"/>
    <x v="41"/>
    <n v="68"/>
  </r>
  <r>
    <x v="15"/>
    <x v="29"/>
    <n v="69"/>
  </r>
  <r>
    <x v="119"/>
    <x v="18"/>
    <n v="44"/>
  </r>
  <r>
    <x v="40"/>
    <x v="2"/>
    <n v="93"/>
  </r>
  <r>
    <x v="26"/>
    <x v="3"/>
    <n v="106"/>
  </r>
  <r>
    <x v="8"/>
    <x v="19"/>
    <n v="67"/>
  </r>
  <r>
    <x v="30"/>
    <x v="52"/>
    <n v="49"/>
  </r>
  <r>
    <x v="17"/>
    <x v="1"/>
    <n v="53"/>
  </r>
  <r>
    <x v="51"/>
    <x v="9"/>
    <n v="63"/>
  </r>
  <r>
    <x v="9"/>
    <x v="43"/>
    <n v="49"/>
  </r>
  <r>
    <x v="46"/>
    <x v="17"/>
    <n v="100"/>
  </r>
  <r>
    <x v="27"/>
    <x v="16"/>
    <n v="116"/>
  </r>
  <r>
    <x v="8"/>
    <x v="33"/>
    <n v="52"/>
  </r>
  <r>
    <x v="121"/>
    <x v="44"/>
    <n v="108"/>
  </r>
  <r>
    <x v="50"/>
    <x v="37"/>
    <n v="73"/>
  </r>
  <r>
    <x v="22"/>
    <x v="15"/>
    <n v="85"/>
  </r>
  <r>
    <x v="24"/>
    <x v="26"/>
    <n v="34"/>
  </r>
  <r>
    <x v="1"/>
    <x v="25"/>
    <n v="97"/>
  </r>
  <r>
    <x v="28"/>
    <x v="13"/>
    <n v="88"/>
  </r>
  <r>
    <x v="55"/>
    <x v="0"/>
    <n v="60"/>
  </r>
  <r>
    <x v="33"/>
    <x v="47"/>
    <n v="40"/>
  </r>
  <r>
    <x v="23"/>
    <x v="7"/>
    <n v="113"/>
  </r>
  <r>
    <x v="54"/>
    <x v="34"/>
    <n v="86"/>
  </r>
  <r>
    <x v="25"/>
    <x v="40"/>
    <n v="157"/>
  </r>
  <r>
    <x v="39"/>
    <x v="35"/>
    <n v="89"/>
  </r>
  <r>
    <x v="29"/>
    <x v="18"/>
    <n v="41"/>
  </r>
  <r>
    <x v="27"/>
    <x v="119"/>
    <n v="93"/>
  </r>
  <r>
    <x v="3"/>
    <x v="19"/>
    <n v="148"/>
  </r>
  <r>
    <x v="35"/>
    <x v="17"/>
    <n v="72"/>
  </r>
  <r>
    <x v="56"/>
    <x v="5"/>
    <n v="97"/>
  </r>
  <r>
    <x v="46"/>
    <x v="3"/>
    <n v="118"/>
  </r>
  <r>
    <x v="10"/>
    <x v="116"/>
    <n v="86"/>
  </r>
  <r>
    <x v="17"/>
    <x v="21"/>
    <n v="35"/>
  </r>
  <r>
    <x v="39"/>
    <x v="43"/>
    <n v="69"/>
  </r>
  <r>
    <x v="4"/>
    <x v="37"/>
    <n v="40"/>
  </r>
  <r>
    <x v="1"/>
    <x v="12"/>
    <n v="105"/>
  </r>
  <r>
    <x v="5"/>
    <x v="20"/>
    <n v="155"/>
  </r>
  <r>
    <x v="43"/>
    <x v="117"/>
    <n v="88"/>
  </r>
  <r>
    <x v="11"/>
    <x v="56"/>
    <n v="65"/>
  </r>
  <r>
    <x v="13"/>
    <x v="10"/>
    <n v="84"/>
  </r>
  <r>
    <x v="120"/>
    <x v="14"/>
    <n v="63"/>
  </r>
  <r>
    <x v="47"/>
    <x v="36"/>
    <n v="79"/>
  </r>
  <r>
    <x v="2"/>
    <x v="50"/>
    <n v="35"/>
  </r>
  <r>
    <x v="5"/>
    <x v="48"/>
    <n v="97"/>
  </r>
  <r>
    <x v="28"/>
    <x v="27"/>
    <n v="99"/>
  </r>
  <r>
    <x v="48"/>
    <x v="29"/>
    <n v="54"/>
  </r>
  <r>
    <x v="50"/>
    <x v="6"/>
    <n v="102"/>
  </r>
  <r>
    <x v="120"/>
    <x v="25"/>
    <n v="43"/>
  </r>
  <r>
    <x v="13"/>
    <x v="55"/>
    <n v="73"/>
  </r>
  <r>
    <x v="20"/>
    <x v="38"/>
    <n v="48"/>
  </r>
  <r>
    <x v="21"/>
    <x v="0"/>
    <n v="55"/>
  </r>
  <r>
    <x v="40"/>
    <x v="9"/>
    <n v="55"/>
  </r>
  <r>
    <x v="25"/>
    <x v="13"/>
    <n v="114"/>
  </r>
  <r>
    <x v="15"/>
    <x v="31"/>
    <n v="139"/>
  </r>
  <r>
    <x v="49"/>
    <x v="54"/>
    <n v="121"/>
  </r>
  <r>
    <x v="44"/>
    <x v="18"/>
    <n v="52"/>
  </r>
  <r>
    <x v="11"/>
    <x v="41"/>
    <n v="72"/>
  </r>
  <r>
    <x v="39"/>
    <x v="21"/>
    <n v="72"/>
  </r>
  <r>
    <x v="16"/>
    <x v="116"/>
    <n v="143"/>
  </r>
  <r>
    <x v="122"/>
    <x v="15"/>
    <n v="83"/>
  </r>
  <r>
    <x v="53"/>
    <x v="9"/>
    <n v="87"/>
  </r>
  <r>
    <x v="54"/>
    <x v="0"/>
    <n v="63"/>
  </r>
  <r>
    <x v="23"/>
    <x v="26"/>
    <n v="62"/>
  </r>
  <r>
    <x v="49"/>
    <x v="4"/>
    <n v="84"/>
  </r>
  <r>
    <x v="44"/>
    <x v="8"/>
    <n v="63"/>
  </r>
  <r>
    <x v="56"/>
    <x v="52"/>
    <n v="111"/>
  </r>
  <r>
    <x v="20"/>
    <x v="115"/>
    <n v="72"/>
  </r>
  <r>
    <x v="22"/>
    <x v="30"/>
    <n v="27"/>
  </r>
  <r>
    <x v="10"/>
    <x v="7"/>
    <n v="161"/>
  </r>
  <r>
    <x v="119"/>
    <x v="36"/>
    <n v="48"/>
  </r>
  <r>
    <x v="18"/>
    <x v="47"/>
    <n v="72"/>
  </r>
  <r>
    <x v="5"/>
    <x v="0"/>
    <n v="125"/>
  </r>
  <r>
    <x v="103"/>
    <x v="111"/>
    <n v="73"/>
  </r>
  <r>
    <x v="100"/>
    <x v="120"/>
    <n v="129"/>
  </r>
  <r>
    <x v="88"/>
    <x v="87"/>
    <n v="89"/>
  </r>
  <r>
    <x v="104"/>
    <x v="112"/>
    <n v="118"/>
  </r>
  <r>
    <x v="91"/>
    <x v="84"/>
    <n v="113"/>
  </r>
  <r>
    <x v="85"/>
    <x v="101"/>
    <n v="65"/>
  </r>
  <r>
    <x v="75"/>
    <x v="86"/>
    <n v="97"/>
  </r>
  <r>
    <x v="93"/>
    <x v="82"/>
    <n v="42"/>
  </r>
  <r>
    <x v="97"/>
    <x v="79"/>
    <n v="118"/>
  </r>
  <r>
    <x v="82"/>
    <x v="99"/>
    <n v="125"/>
  </r>
  <r>
    <x v="102"/>
    <x v="80"/>
    <n v="55"/>
  </r>
  <r>
    <x v="92"/>
    <x v="113"/>
    <n v="90"/>
  </r>
  <r>
    <x v="81"/>
    <x v="83"/>
    <n v="62"/>
  </r>
  <r>
    <x v="96"/>
    <x v="106"/>
    <n v="200"/>
  </r>
  <r>
    <x v="79"/>
    <x v="78"/>
    <n v="89"/>
  </r>
  <r>
    <x v="90"/>
    <x v="108"/>
    <n v="47"/>
  </r>
  <r>
    <x v="67"/>
    <x v="61"/>
    <n v="41"/>
  </r>
  <r>
    <x v="94"/>
    <x v="92"/>
    <n v="105"/>
  </r>
  <r>
    <x v="64"/>
    <x v="64"/>
    <n v="134"/>
  </r>
  <r>
    <x v="95"/>
    <x v="60"/>
    <n v="70"/>
  </r>
  <r>
    <x v="110"/>
    <x v="66"/>
    <n v="27"/>
  </r>
  <r>
    <x v="117"/>
    <x v="63"/>
    <n v="85"/>
  </r>
  <r>
    <x v="105"/>
    <x v="72"/>
    <n v="92"/>
  </r>
  <r>
    <x v="93"/>
    <x v="105"/>
    <n v="105"/>
  </r>
  <r>
    <x v="60"/>
    <x v="121"/>
    <n v="110"/>
  </r>
  <r>
    <x v="65"/>
    <x v="100"/>
    <n v="115"/>
  </r>
  <r>
    <x v="91"/>
    <x v="89"/>
    <n v="115"/>
  </r>
  <r>
    <x v="73"/>
    <x v="68"/>
    <n v="57"/>
  </r>
  <r>
    <x v="61"/>
    <x v="95"/>
    <n v="62"/>
  </r>
  <r>
    <x v="112"/>
    <x v="91"/>
    <n v="65"/>
  </r>
  <r>
    <x v="72"/>
    <x v="90"/>
    <n v="60"/>
  </r>
  <r>
    <x v="106"/>
    <x v="70"/>
    <n v="80"/>
  </r>
  <r>
    <x v="109"/>
    <x v="96"/>
    <n v="174"/>
  </r>
  <r>
    <x v="113"/>
    <x v="73"/>
    <n v="68"/>
  </r>
  <r>
    <x v="66"/>
    <x v="69"/>
    <n v="75"/>
  </r>
  <r>
    <x v="68"/>
    <x v="76"/>
    <n v="129"/>
  </r>
  <r>
    <x v="85"/>
    <x v="110"/>
    <n v="120"/>
  </r>
  <r>
    <x v="81"/>
    <x v="66"/>
    <n v="137"/>
  </r>
  <r>
    <x v="63"/>
    <x v="99"/>
    <n v="22"/>
  </r>
  <r>
    <x v="72"/>
    <x v="107"/>
    <n v="65"/>
  </r>
  <r>
    <x v="71"/>
    <x v="63"/>
    <n v="62"/>
  </r>
  <r>
    <x v="95"/>
    <x v="101"/>
    <n v="95"/>
  </r>
  <r>
    <x v="78"/>
    <x v="60"/>
    <n v="89"/>
  </r>
  <r>
    <x v="87"/>
    <x v="74"/>
    <n v="119"/>
  </r>
  <r>
    <x v="99"/>
    <x v="68"/>
    <n v="64"/>
  </r>
  <r>
    <x v="102"/>
    <x v="81"/>
    <n v="75"/>
  </r>
  <r>
    <x v="92"/>
    <x v="72"/>
    <n v="97"/>
  </r>
  <r>
    <x v="73"/>
    <x v="107"/>
    <n v="102"/>
  </r>
  <r>
    <x v="75"/>
    <x v="104"/>
    <n v="87"/>
  </r>
  <r>
    <x v="78"/>
    <x v="89"/>
    <n v="130"/>
  </r>
  <r>
    <x v="61"/>
    <x v="64"/>
    <n v="125"/>
  </r>
  <r>
    <x v="88"/>
    <x v="111"/>
    <n v="53"/>
  </r>
  <r>
    <x v="107"/>
    <x v="59"/>
    <n v="71"/>
  </r>
  <r>
    <x v="109"/>
    <x v="113"/>
    <n v="109"/>
  </r>
  <r>
    <x v="67"/>
    <x v="91"/>
    <n v="70"/>
  </r>
  <r>
    <x v="111"/>
    <x v="112"/>
    <n v="60"/>
  </r>
  <r>
    <x v="65"/>
    <x v="108"/>
    <n v="168"/>
  </r>
  <r>
    <x v="104"/>
    <x v="78"/>
    <n v="60"/>
  </r>
  <r>
    <x v="115"/>
    <x v="73"/>
    <n v="106"/>
  </r>
  <r>
    <x v="113"/>
    <x v="57"/>
    <n v="56"/>
  </r>
  <r>
    <x v="108"/>
    <x v="69"/>
    <n v="63"/>
  </r>
  <r>
    <x v="74"/>
    <x v="106"/>
    <n v="37"/>
  </r>
  <r>
    <x v="78"/>
    <x v="121"/>
    <n v="99"/>
  </r>
  <r>
    <x v="91"/>
    <x v="64"/>
    <n v="80"/>
  </r>
  <r>
    <x v="77"/>
    <x v="122"/>
    <n v="42"/>
  </r>
  <r>
    <x v="70"/>
    <x v="114"/>
    <n v="132"/>
  </r>
  <r>
    <x v="62"/>
    <x v="62"/>
    <n v="22"/>
  </r>
  <r>
    <x v="79"/>
    <x v="61"/>
    <n v="114"/>
  </r>
  <r>
    <x v="108"/>
    <x v="71"/>
    <n v="62"/>
  </r>
  <r>
    <x v="103"/>
    <x v="82"/>
    <n v="65"/>
  </r>
  <r>
    <x v="72"/>
    <x v="92"/>
    <n v="115"/>
  </r>
  <r>
    <x v="109"/>
    <x v="60"/>
    <n v="88"/>
  </r>
  <r>
    <x v="102"/>
    <x v="94"/>
    <n v="119"/>
  </r>
  <r>
    <x v="58"/>
    <x v="85"/>
    <n v="46"/>
  </r>
  <r>
    <x v="69"/>
    <x v="78"/>
    <n v="72"/>
  </r>
  <r>
    <x v="93"/>
    <x v="80"/>
    <n v="106"/>
  </r>
  <r>
    <x v="88"/>
    <x v="57"/>
    <n v="74"/>
  </r>
  <r>
    <x v="61"/>
    <x v="102"/>
    <n v="71"/>
  </r>
  <r>
    <x v="97"/>
    <x v="100"/>
    <n v="95"/>
  </r>
  <r>
    <x v="62"/>
    <x v="89"/>
    <n v="223"/>
  </r>
  <r>
    <x v="67"/>
    <x v="70"/>
    <n v="37"/>
  </r>
  <r>
    <x v="79"/>
    <x v="123"/>
    <n v="93"/>
  </r>
  <r>
    <x v="76"/>
    <x v="105"/>
    <n v="104"/>
  </r>
  <r>
    <x v="98"/>
    <x v="67"/>
    <n v="109"/>
  </r>
  <r>
    <x v="89"/>
    <x v="63"/>
    <n v="39"/>
  </r>
  <r>
    <x v="74"/>
    <x v="81"/>
    <n v="123"/>
  </r>
  <r>
    <x v="84"/>
    <x v="99"/>
    <n v="41"/>
  </r>
  <r>
    <x v="81"/>
    <x v="121"/>
    <n v="104"/>
  </r>
  <r>
    <x v="77"/>
    <x v="106"/>
    <n v="120"/>
  </r>
  <r>
    <x v="65"/>
    <x v="104"/>
    <n v="138"/>
  </r>
  <r>
    <x v="87"/>
    <x v="79"/>
    <n v="80"/>
  </r>
  <r>
    <x v="64"/>
    <x v="77"/>
    <n v="52"/>
  </r>
  <r>
    <x v="73"/>
    <x v="59"/>
    <n v="40"/>
  </r>
  <r>
    <x v="123"/>
    <x v="90"/>
    <n v="60"/>
  </r>
  <r>
    <x v="63"/>
    <x v="102"/>
    <n v="37"/>
  </r>
  <r>
    <x v="102"/>
    <x v="121"/>
    <n v="64"/>
  </r>
  <r>
    <x v="83"/>
    <x v="82"/>
    <n v="54"/>
  </r>
  <r>
    <x v="118"/>
    <x v="70"/>
    <n v="40"/>
  </r>
  <r>
    <x v="113"/>
    <x v="83"/>
    <n v="25"/>
  </r>
  <r>
    <x v="97"/>
    <x v="111"/>
    <n v="53"/>
  </r>
  <r>
    <x v="95"/>
    <x v="112"/>
    <n v="87"/>
  </r>
  <r>
    <x v="116"/>
    <x v="73"/>
    <n v="79"/>
  </r>
  <r>
    <x v="107"/>
    <x v="86"/>
    <n v="86"/>
  </r>
  <r>
    <x v="88"/>
    <x v="92"/>
    <n v="105"/>
  </r>
  <r>
    <x v="94"/>
    <x v="95"/>
    <n v="86"/>
  </r>
  <r>
    <x v="110"/>
    <x v="101"/>
    <n v="77"/>
  </r>
  <r>
    <x v="104"/>
    <x v="91"/>
    <n v="75"/>
  </r>
  <r>
    <x v="101"/>
    <x v="61"/>
    <n v="92"/>
  </r>
  <r>
    <x v="91"/>
    <x v="65"/>
    <n v="92"/>
  </r>
  <r>
    <x v="92"/>
    <x v="87"/>
    <n v="106"/>
  </r>
  <r>
    <x v="100"/>
    <x v="57"/>
    <n v="60"/>
  </r>
  <r>
    <x v="73"/>
    <x v="67"/>
    <n v="131"/>
  </r>
  <r>
    <x v="80"/>
    <x v="103"/>
    <n v="112"/>
  </r>
  <r>
    <x v="96"/>
    <x v="107"/>
    <n v="80"/>
  </r>
  <r>
    <x v="105"/>
    <x v="120"/>
    <n v="45"/>
  </r>
  <r>
    <x v="62"/>
    <x v="77"/>
    <n v="70"/>
  </r>
  <r>
    <x v="94"/>
    <x v="104"/>
    <n v="55"/>
  </r>
  <r>
    <x v="106"/>
    <x v="73"/>
    <n v="92"/>
  </r>
  <r>
    <x v="99"/>
    <x v="96"/>
    <n v="112"/>
  </r>
  <r>
    <x v="93"/>
    <x v="95"/>
    <n v="48"/>
  </r>
  <r>
    <x v="85"/>
    <x v="108"/>
    <n v="62"/>
  </r>
  <r>
    <x v="95"/>
    <x v="105"/>
    <n v="111"/>
  </r>
  <r>
    <x v="89"/>
    <x v="60"/>
    <n v="22"/>
  </r>
  <r>
    <x v="81"/>
    <x v="98"/>
    <n v="70"/>
  </r>
  <r>
    <x v="70"/>
    <x v="64"/>
    <n v="123"/>
  </r>
  <r>
    <x v="102"/>
    <x v="111"/>
    <n v="47"/>
  </r>
  <r>
    <x v="108"/>
    <x v="88"/>
    <n v="105"/>
  </r>
  <r>
    <x v="59"/>
    <x v="95"/>
    <n v="87"/>
  </r>
  <r>
    <x v="98"/>
    <x v="71"/>
    <n v="80"/>
  </r>
  <r>
    <x v="103"/>
    <x v="58"/>
    <n v="90"/>
  </r>
  <r>
    <x v="86"/>
    <x v="72"/>
    <n v="87"/>
  </r>
  <r>
    <x v="80"/>
    <x v="113"/>
    <n v="90"/>
  </r>
  <r>
    <x v="82"/>
    <x v="110"/>
    <n v="105"/>
  </r>
  <r>
    <x v="123"/>
    <x v="69"/>
    <n v="20"/>
  </r>
  <r>
    <x v="68"/>
    <x v="98"/>
    <n v="83"/>
  </r>
  <r>
    <x v="74"/>
    <x v="94"/>
    <n v="59"/>
  </r>
  <r>
    <x v="89"/>
    <x v="66"/>
    <n v="59"/>
  </r>
  <r>
    <x v="87"/>
    <x v="122"/>
    <n v="63"/>
  </r>
  <r>
    <x v="61"/>
    <x v="108"/>
    <n v="127"/>
  </r>
  <r>
    <x v="105"/>
    <x v="104"/>
    <n v="9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D1CA40C-2642-43A5-8C33-A7EA8D088AEB}" name="PivotTable1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F128" firstHeaderRow="0" firstDataRow="1" firstDataCol="1"/>
  <pivotFields count="2">
    <pivotField axis="axisRow" showAll="0" sortType="descending">
      <items count="125">
        <item x="4"/>
        <item x="106"/>
        <item x="90"/>
        <item x="10"/>
        <item x="120"/>
        <item x="40"/>
        <item x="118"/>
        <item x="2"/>
        <item x="64"/>
        <item x="36"/>
        <item x="79"/>
        <item x="54"/>
        <item x="82"/>
        <item x="55"/>
        <item x="68"/>
        <item x="53"/>
        <item x="47"/>
        <item x="97"/>
        <item x="30"/>
        <item x="100"/>
        <item x="1"/>
        <item x="20"/>
        <item x="102"/>
        <item x="52"/>
        <item x="6"/>
        <item x="123"/>
        <item x="41"/>
        <item x="103"/>
        <item x="57"/>
        <item x="81"/>
        <item x="60"/>
        <item x="99"/>
        <item x="86"/>
        <item x="94"/>
        <item x="110"/>
        <item x="12"/>
        <item x="78"/>
        <item x="48"/>
        <item x="43"/>
        <item x="119"/>
        <item x="38"/>
        <item x="115"/>
        <item x="51"/>
        <item x="56"/>
        <item x="77"/>
        <item x="42"/>
        <item x="73"/>
        <item x="32"/>
        <item x="104"/>
        <item x="18"/>
        <item x="93"/>
        <item x="29"/>
        <item x="116"/>
        <item x="62"/>
        <item x="11"/>
        <item x="70"/>
        <item x="3"/>
        <item x="107"/>
        <item x="13"/>
        <item x="89"/>
        <item x="45"/>
        <item x="108"/>
        <item x="50"/>
        <item x="31"/>
        <item x="83"/>
        <item x="44"/>
        <item x="80"/>
        <item x="96"/>
        <item x="122"/>
        <item x="23"/>
        <item x="117"/>
        <item x="22"/>
        <item x="65"/>
        <item x="16"/>
        <item x="74"/>
        <item x="49"/>
        <item x="75"/>
        <item x="7"/>
        <item x="112"/>
        <item x="66"/>
        <item x="61"/>
        <item x="109"/>
        <item x="33"/>
        <item x="85"/>
        <item x="14"/>
        <item x="15"/>
        <item x="63"/>
        <item x="27"/>
        <item x="121"/>
        <item x="26"/>
        <item x="35"/>
        <item x="95"/>
        <item x="39"/>
        <item x="76"/>
        <item x="25"/>
        <item x="71"/>
        <item x="37"/>
        <item x="84"/>
        <item x="58"/>
        <item x="67"/>
        <item x="0"/>
        <item x="88"/>
        <item x="17"/>
        <item x="105"/>
        <item x="28"/>
        <item x="114"/>
        <item x="8"/>
        <item x="98"/>
        <item x="34"/>
        <item x="92"/>
        <item x="59"/>
        <item x="72"/>
        <item x="19"/>
        <item x="91"/>
        <item x="101"/>
        <item x="5"/>
        <item x="111"/>
        <item x="9"/>
        <item x="113"/>
        <item x="46"/>
        <item x="87"/>
        <item x="24"/>
        <item x="69"/>
        <item x="21"/>
        <item t="default"/>
      </items>
      <autoSortScope>
        <pivotArea dataOnly="0" outline="0" fieldPosition="0">
          <references count="1">
            <reference field="4294967294" count="1" selected="0">
              <x v="1"/>
            </reference>
          </references>
        </pivotArea>
      </autoSortScope>
    </pivotField>
    <pivotField dataField="1" showAll="0"/>
  </pivotFields>
  <rowFields count="1">
    <field x="0"/>
  </rowFields>
  <rowItems count="125">
    <i>
      <x v="34"/>
    </i>
    <i>
      <x v="51"/>
    </i>
    <i>
      <x v="84"/>
    </i>
    <i>
      <x v="21"/>
    </i>
    <i>
      <x v="22"/>
    </i>
    <i>
      <x v="91"/>
    </i>
    <i>
      <x v="2"/>
    </i>
    <i>
      <x v="27"/>
    </i>
    <i>
      <x v="58"/>
    </i>
    <i>
      <x v="52"/>
    </i>
    <i>
      <x v="67"/>
    </i>
    <i>
      <x v="54"/>
    </i>
    <i>
      <x v="4"/>
    </i>
    <i>
      <x v="3"/>
    </i>
    <i>
      <x v="32"/>
    </i>
    <i>
      <x/>
    </i>
    <i>
      <x v="33"/>
    </i>
    <i>
      <x v="13"/>
    </i>
    <i>
      <x v="26"/>
    </i>
    <i>
      <x v="85"/>
    </i>
    <i>
      <x v="42"/>
    </i>
    <i>
      <x v="81"/>
    </i>
    <i>
      <x v="74"/>
    </i>
    <i>
      <x v="5"/>
    </i>
    <i>
      <x v="66"/>
    </i>
    <i>
      <x v="92"/>
    </i>
    <i>
      <x v="19"/>
    </i>
    <i>
      <x v="8"/>
    </i>
    <i>
      <x v="121"/>
    </i>
    <i>
      <x v="14"/>
    </i>
    <i>
      <x v="80"/>
    </i>
    <i>
      <x v="100"/>
    </i>
    <i>
      <x v="113"/>
    </i>
    <i>
      <x v="112"/>
    </i>
    <i>
      <x v="63"/>
    </i>
    <i>
      <x v="17"/>
    </i>
    <i>
      <x v="70"/>
    </i>
    <i>
      <x v="68"/>
    </i>
    <i>
      <x v="46"/>
    </i>
    <i>
      <x v="93"/>
    </i>
    <i>
      <x v="75"/>
    </i>
    <i>
      <x v="15"/>
    </i>
    <i>
      <x v="49"/>
    </i>
    <i>
      <x v="45"/>
    </i>
    <i>
      <x v="7"/>
    </i>
    <i>
      <x v="111"/>
    </i>
    <i>
      <x v="77"/>
    </i>
    <i>
      <x v="25"/>
    </i>
    <i>
      <x v="18"/>
    </i>
    <i>
      <x v="89"/>
    </i>
    <i>
      <x v="99"/>
    </i>
    <i>
      <x v="115"/>
    </i>
    <i>
      <x v="82"/>
    </i>
    <i>
      <x v="83"/>
    </i>
    <i>
      <x v="48"/>
    </i>
    <i>
      <x v="20"/>
    </i>
    <i>
      <x v="122"/>
    </i>
    <i>
      <x v="59"/>
    </i>
    <i>
      <x v="61"/>
    </i>
    <i>
      <x v="94"/>
    </i>
    <i>
      <x v="57"/>
    </i>
    <i>
      <x v="78"/>
    </i>
    <i>
      <x v="90"/>
    </i>
    <i>
      <x v="29"/>
    </i>
    <i>
      <x v="97"/>
    </i>
    <i>
      <x v="43"/>
    </i>
    <i>
      <x v="88"/>
    </i>
    <i>
      <x v="65"/>
    </i>
    <i>
      <x v="69"/>
    </i>
    <i>
      <x v="36"/>
    </i>
    <i>
      <x v="44"/>
    </i>
    <i>
      <x v="37"/>
    </i>
    <i>
      <x v="108"/>
    </i>
    <i>
      <x v="64"/>
    </i>
    <i>
      <x v="1"/>
    </i>
    <i>
      <x v="55"/>
    </i>
    <i>
      <x v="6"/>
    </i>
    <i>
      <x v="12"/>
    </i>
    <i>
      <x v="79"/>
    </i>
    <i>
      <x v="123"/>
    </i>
    <i>
      <x v="117"/>
    </i>
    <i>
      <x v="71"/>
    </i>
    <i>
      <x v="30"/>
    </i>
    <i>
      <x v="10"/>
    </i>
    <i>
      <x v="101"/>
    </i>
    <i>
      <x v="116"/>
    </i>
    <i>
      <x v="23"/>
    </i>
    <i>
      <x v="120"/>
    </i>
    <i>
      <x v="114"/>
    </i>
    <i>
      <x v="60"/>
    </i>
    <i>
      <x v="56"/>
    </i>
    <i>
      <x v="35"/>
    </i>
    <i>
      <x v="28"/>
    </i>
    <i>
      <x v="87"/>
    </i>
    <i>
      <x v="109"/>
    </i>
    <i>
      <x v="72"/>
    </i>
    <i>
      <x v="50"/>
    </i>
    <i>
      <x v="95"/>
    </i>
    <i>
      <x v="47"/>
    </i>
    <i>
      <x v="38"/>
    </i>
    <i>
      <x v="86"/>
    </i>
    <i>
      <x v="76"/>
    </i>
    <i>
      <x v="119"/>
    </i>
    <i>
      <x v="73"/>
    </i>
    <i>
      <x v="53"/>
    </i>
    <i>
      <x v="118"/>
    </i>
    <i>
      <x v="31"/>
    </i>
    <i>
      <x v="11"/>
    </i>
    <i>
      <x v="16"/>
    </i>
    <i>
      <x v="41"/>
    </i>
    <i>
      <x v="104"/>
    </i>
    <i>
      <x v="40"/>
    </i>
    <i>
      <x v="96"/>
    </i>
    <i>
      <x v="103"/>
    </i>
    <i>
      <x v="105"/>
    </i>
    <i>
      <x v="102"/>
    </i>
    <i>
      <x v="39"/>
    </i>
    <i>
      <x v="9"/>
    </i>
    <i>
      <x v="24"/>
    </i>
    <i>
      <x v="107"/>
    </i>
    <i>
      <x v="110"/>
    </i>
    <i>
      <x v="62"/>
    </i>
    <i>
      <x v="98"/>
    </i>
    <i>
      <x v="106"/>
    </i>
    <i t="grand">
      <x/>
    </i>
  </rowItems>
  <colFields count="1">
    <field x="-2"/>
  </colFields>
  <colItems count="5">
    <i>
      <x/>
    </i>
    <i i="1">
      <x v="1"/>
    </i>
    <i i="2">
      <x v="2"/>
    </i>
    <i i="3">
      <x v="3"/>
    </i>
    <i i="4">
      <x v="4"/>
    </i>
  </colItems>
  <dataFields count="5">
    <dataField name="Sum of score" fld="1" baseField="0" baseItem="0"/>
    <dataField name="Average of score" fld="1" subtotal="average" baseField="0" baseItem="0"/>
    <dataField name="StdDev of score" fld="1" subtotal="stdDev" baseField="0" baseItem="0"/>
    <dataField name="Min of score" fld="1" subtotal="min" baseField="0" baseItem="51"/>
    <dataField name="Max of score" fld="1" subtotal="max" baseField="0" baseItem="51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1910B6F-75CF-4C2A-86B1-339C9C80A21E}" name="PivotTable2" cacheId="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DV129" firstHeaderRow="1" firstDataRow="2" firstDataCol="1"/>
  <pivotFields count="3">
    <pivotField axis="axisRow" showAll="0">
      <items count="125">
        <item x="1"/>
        <item x="69"/>
        <item x="65"/>
        <item x="16"/>
        <item x="79"/>
        <item x="10"/>
        <item x="72"/>
        <item x="35"/>
        <item x="103"/>
        <item x="9"/>
        <item x="111"/>
        <item x="119"/>
        <item x="63"/>
        <item x="24"/>
        <item x="100"/>
        <item x="122"/>
        <item x="29"/>
        <item x="107"/>
        <item x="34"/>
        <item x="82"/>
        <item x="52"/>
        <item x="5"/>
        <item x="68"/>
        <item x="13"/>
        <item x="30"/>
        <item x="106"/>
        <item x="49"/>
        <item x="78"/>
        <item x="36"/>
        <item x="108"/>
        <item x="15"/>
        <item x="101"/>
        <item x="64"/>
        <item x="66"/>
        <item x="70"/>
        <item x="3"/>
        <item x="62"/>
        <item x="12"/>
        <item x="22"/>
        <item x="113"/>
        <item x="17"/>
        <item x="117"/>
        <item x="27"/>
        <item x="14"/>
        <item x="90"/>
        <item x="45"/>
        <item x="74"/>
        <item x="8"/>
        <item x="102"/>
        <item x="28"/>
        <item x="115"/>
        <item x="42"/>
        <item x="96"/>
        <item x="58"/>
        <item x="41"/>
        <item x="60"/>
        <item x="121"/>
        <item x="98"/>
        <item x="19"/>
        <item x="77"/>
        <item x="44"/>
        <item x="92"/>
        <item x="38"/>
        <item x="56"/>
        <item x="94"/>
        <item x="11"/>
        <item x="91"/>
        <item x="97"/>
        <item x="73"/>
        <item x="51"/>
        <item x="83"/>
        <item x="20"/>
        <item x="84"/>
        <item x="4"/>
        <item x="61"/>
        <item x="55"/>
        <item x="118"/>
        <item x="46"/>
        <item x="81"/>
        <item x="59"/>
        <item x="47"/>
        <item x="76"/>
        <item x="50"/>
        <item x="86"/>
        <item x="25"/>
        <item x="57"/>
        <item x="112"/>
        <item x="26"/>
        <item x="116"/>
        <item x="18"/>
        <item x="53"/>
        <item x="109"/>
        <item x="23"/>
        <item x="104"/>
        <item x="43"/>
        <item x="105"/>
        <item x="32"/>
        <item x="85"/>
        <item x="37"/>
        <item x="95"/>
        <item x="0"/>
        <item x="75"/>
        <item x="120"/>
        <item x="89"/>
        <item x="7"/>
        <item x="71"/>
        <item x="2"/>
        <item x="67"/>
        <item x="31"/>
        <item x="93"/>
        <item x="48"/>
        <item x="88"/>
        <item x="21"/>
        <item x="114"/>
        <item x="80"/>
        <item x="39"/>
        <item x="110"/>
        <item x="33"/>
        <item x="99"/>
        <item x="40"/>
        <item x="123"/>
        <item x="6"/>
        <item x="87"/>
        <item x="54"/>
        <item t="default"/>
      </items>
    </pivotField>
    <pivotField axis="axisCol" showAll="0">
      <items count="125">
        <item x="46"/>
        <item x="91"/>
        <item x="103"/>
        <item x="35"/>
        <item x="110"/>
        <item x="44"/>
        <item x="98"/>
        <item x="51"/>
        <item x="74"/>
        <item x="29"/>
        <item x="61"/>
        <item x="24"/>
        <item x="100"/>
        <item x="54"/>
        <item x="92"/>
        <item x="13"/>
        <item x="48"/>
        <item x="79"/>
        <item x="25"/>
        <item x="104"/>
        <item x="0"/>
        <item x="40"/>
        <item x="105"/>
        <item x="39"/>
        <item x="119"/>
        <item x="72"/>
        <item x="10"/>
        <item x="67"/>
        <item x="14"/>
        <item x="84"/>
        <item x="32"/>
        <item x="66"/>
        <item x="96"/>
        <item x="108"/>
        <item x="89"/>
        <item x="33"/>
        <item x="90"/>
        <item x="19"/>
        <item x="56"/>
        <item x="71"/>
        <item x="30"/>
        <item x="70"/>
        <item x="115"/>
        <item x="36"/>
        <item x="112"/>
        <item x="17"/>
        <item x="87"/>
        <item x="42"/>
        <item x="75"/>
        <item x="45"/>
        <item x="82"/>
        <item x="7"/>
        <item x="81"/>
        <item x="73"/>
        <item x="27"/>
        <item x="107"/>
        <item x="23"/>
        <item x="68"/>
        <item x="3"/>
        <item x="86"/>
        <item x="11"/>
        <item x="85"/>
        <item x="43"/>
        <item x="16"/>
        <item x="62"/>
        <item x="38"/>
        <item x="123"/>
        <item x="76"/>
        <item x="88"/>
        <item x="21"/>
        <item x="106"/>
        <item x="118"/>
        <item x="111"/>
        <item x="34"/>
        <item x="114"/>
        <item x="12"/>
        <item x="60"/>
        <item x="28"/>
        <item x="93"/>
        <item x="121"/>
        <item x="15"/>
        <item x="113"/>
        <item x="8"/>
        <item x="101"/>
        <item x="49"/>
        <item x="20"/>
        <item x="57"/>
        <item x="50"/>
        <item x="78"/>
        <item x="31"/>
        <item x="22"/>
        <item x="65"/>
        <item x="55"/>
        <item x="77"/>
        <item x="6"/>
        <item x="59"/>
        <item x="9"/>
        <item x="94"/>
        <item x="37"/>
        <item x="58"/>
        <item x="116"/>
        <item x="102"/>
        <item x="4"/>
        <item x="80"/>
        <item x="18"/>
        <item x="95"/>
        <item x="41"/>
        <item x="122"/>
        <item x="47"/>
        <item x="97"/>
        <item x="26"/>
        <item x="109"/>
        <item x="53"/>
        <item x="64"/>
        <item x="99"/>
        <item x="1"/>
        <item x="69"/>
        <item x="2"/>
        <item x="83"/>
        <item x="117"/>
        <item x="63"/>
        <item x="52"/>
        <item x="120"/>
        <item x="5"/>
        <item t="default"/>
      </items>
    </pivotField>
    <pivotField dataField="1" showAll="0"/>
  </pivotFields>
  <rowFields count="1">
    <field x="0"/>
  </rowFields>
  <rowItems count="1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 t="grand">
      <x/>
    </i>
  </rowItems>
  <colFields count="1">
    <field x="1"/>
  </colFields>
  <colItems count="1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 t="grand">
      <x/>
    </i>
  </colItems>
  <dataFields count="1">
    <dataField name="Sum of score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EE57BAA-39CA-46B7-993B-23034C11E5D8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F128" firstHeaderRow="0" firstDataRow="1" firstDataCol="1"/>
  <pivotFields count="2">
    <pivotField axis="axisRow" showAll="0" sortType="descending">
      <items count="125">
        <item x="4"/>
        <item x="106"/>
        <item x="90"/>
        <item x="10"/>
        <item x="120"/>
        <item x="40"/>
        <item x="118"/>
        <item x="2"/>
        <item x="64"/>
        <item x="36"/>
        <item x="79"/>
        <item x="54"/>
        <item x="82"/>
        <item x="55"/>
        <item x="68"/>
        <item x="53"/>
        <item x="47"/>
        <item x="97"/>
        <item x="30"/>
        <item x="100"/>
        <item x="1"/>
        <item x="20"/>
        <item x="102"/>
        <item x="52"/>
        <item x="6"/>
        <item x="123"/>
        <item x="41"/>
        <item x="103"/>
        <item x="57"/>
        <item x="81"/>
        <item x="60"/>
        <item x="99"/>
        <item x="86"/>
        <item x="94"/>
        <item x="110"/>
        <item x="12"/>
        <item x="78"/>
        <item x="48"/>
        <item x="43"/>
        <item x="119"/>
        <item x="38"/>
        <item x="115"/>
        <item x="51"/>
        <item x="56"/>
        <item x="77"/>
        <item x="42"/>
        <item x="73"/>
        <item x="32"/>
        <item x="104"/>
        <item x="18"/>
        <item x="93"/>
        <item x="29"/>
        <item x="116"/>
        <item x="62"/>
        <item x="11"/>
        <item x="70"/>
        <item x="3"/>
        <item x="107"/>
        <item x="13"/>
        <item x="89"/>
        <item x="45"/>
        <item x="108"/>
        <item x="50"/>
        <item x="31"/>
        <item x="83"/>
        <item x="44"/>
        <item x="80"/>
        <item x="96"/>
        <item x="122"/>
        <item x="23"/>
        <item x="117"/>
        <item x="22"/>
        <item x="65"/>
        <item x="16"/>
        <item x="74"/>
        <item x="49"/>
        <item x="75"/>
        <item x="7"/>
        <item x="112"/>
        <item x="66"/>
        <item x="61"/>
        <item x="109"/>
        <item x="33"/>
        <item x="85"/>
        <item x="14"/>
        <item x="15"/>
        <item x="63"/>
        <item x="27"/>
        <item x="121"/>
        <item x="26"/>
        <item x="35"/>
        <item x="95"/>
        <item x="39"/>
        <item x="76"/>
        <item x="25"/>
        <item x="71"/>
        <item x="37"/>
        <item x="84"/>
        <item x="58"/>
        <item x="67"/>
        <item x="0"/>
        <item x="88"/>
        <item x="17"/>
        <item x="105"/>
        <item x="28"/>
        <item x="114"/>
        <item x="8"/>
        <item x="98"/>
        <item x="34"/>
        <item x="92"/>
        <item x="59"/>
        <item x="72"/>
        <item x="19"/>
        <item x="91"/>
        <item x="101"/>
        <item x="5"/>
        <item x="111"/>
        <item x="9"/>
        <item x="113"/>
        <item x="46"/>
        <item x="87"/>
        <item x="24"/>
        <item x="69"/>
        <item x="21"/>
        <item t="default"/>
      </items>
      <autoSortScope>
        <pivotArea dataOnly="0" outline="0" fieldPosition="0">
          <references count="1">
            <reference field="4294967294" count="1" selected="0">
              <x v="1"/>
            </reference>
          </references>
        </pivotArea>
      </autoSortScope>
    </pivotField>
    <pivotField dataField="1" showAll="0"/>
  </pivotFields>
  <rowFields count="1">
    <field x="0"/>
  </rowFields>
  <rowItems count="125">
    <i>
      <x v="34"/>
    </i>
    <i>
      <x v="84"/>
    </i>
    <i>
      <x v="21"/>
    </i>
    <i>
      <x v="51"/>
    </i>
    <i>
      <x v="91"/>
    </i>
    <i>
      <x v="2"/>
    </i>
    <i>
      <x v="8"/>
    </i>
    <i>
      <x v="3"/>
    </i>
    <i>
      <x v="22"/>
    </i>
    <i>
      <x v="27"/>
    </i>
    <i>
      <x v="58"/>
    </i>
    <i>
      <x v="67"/>
    </i>
    <i>
      <x v="54"/>
    </i>
    <i>
      <x v="75"/>
    </i>
    <i>
      <x v="7"/>
    </i>
    <i>
      <x v="26"/>
    </i>
    <i>
      <x v="33"/>
    </i>
    <i>
      <x v="32"/>
    </i>
    <i>
      <x/>
    </i>
    <i>
      <x v="85"/>
    </i>
    <i>
      <x v="13"/>
    </i>
    <i>
      <x v="92"/>
    </i>
    <i>
      <x v="81"/>
    </i>
    <i>
      <x v="52"/>
    </i>
    <i>
      <x v="42"/>
    </i>
    <i>
      <x v="5"/>
    </i>
    <i>
      <x v="63"/>
    </i>
    <i>
      <x v="19"/>
    </i>
    <i>
      <x v="4"/>
    </i>
    <i>
      <x v="89"/>
    </i>
    <i>
      <x v="74"/>
    </i>
    <i>
      <x v="121"/>
    </i>
    <i>
      <x v="66"/>
    </i>
    <i>
      <x v="113"/>
    </i>
    <i>
      <x v="100"/>
    </i>
    <i>
      <x v="111"/>
    </i>
    <i>
      <x v="112"/>
    </i>
    <i>
      <x v="70"/>
    </i>
    <i>
      <x v="17"/>
    </i>
    <i>
      <x v="15"/>
    </i>
    <i>
      <x v="68"/>
    </i>
    <i>
      <x v="46"/>
    </i>
    <i>
      <x v="14"/>
    </i>
    <i>
      <x v="25"/>
    </i>
    <i>
      <x v="45"/>
    </i>
    <i>
      <x v="94"/>
    </i>
    <i>
      <x v="49"/>
    </i>
    <i>
      <x v="93"/>
    </i>
    <i>
      <x v="18"/>
    </i>
    <i>
      <x v="77"/>
    </i>
    <i>
      <x v="43"/>
    </i>
    <i>
      <x v="1"/>
    </i>
    <i>
      <x v="82"/>
    </i>
    <i>
      <x v="48"/>
    </i>
    <i>
      <x v="99"/>
    </i>
    <i>
      <x v="115"/>
    </i>
    <i>
      <x v="20"/>
    </i>
    <i>
      <x v="61"/>
    </i>
    <i>
      <x v="80"/>
    </i>
    <i>
      <x v="57"/>
    </i>
    <i>
      <x v="78"/>
    </i>
    <i>
      <x v="59"/>
    </i>
    <i>
      <x v="122"/>
    </i>
    <i>
      <x v="29"/>
    </i>
    <i>
      <x v="97"/>
    </i>
    <i>
      <x v="88"/>
    </i>
    <i>
      <x v="90"/>
    </i>
    <i>
      <x v="65"/>
    </i>
    <i>
      <x v="69"/>
    </i>
    <i>
      <x v="36"/>
    </i>
    <i>
      <x v="44"/>
    </i>
    <i>
      <x v="37"/>
    </i>
    <i>
      <x v="64"/>
    </i>
    <i>
      <x v="6"/>
    </i>
    <i>
      <x v="108"/>
    </i>
    <i>
      <x v="123"/>
    </i>
    <i>
      <x v="12"/>
    </i>
    <i>
      <x v="83"/>
    </i>
    <i>
      <x v="117"/>
    </i>
    <i>
      <x v="55"/>
    </i>
    <i>
      <x v="71"/>
    </i>
    <i>
      <x v="60"/>
    </i>
    <i>
      <x v="30"/>
    </i>
    <i>
      <x v="101"/>
    </i>
    <i>
      <x v="116"/>
    </i>
    <i>
      <x v="23"/>
    </i>
    <i>
      <x v="120"/>
    </i>
    <i>
      <x v="114"/>
    </i>
    <i>
      <x v="35"/>
    </i>
    <i>
      <x v="28"/>
    </i>
    <i>
      <x v="10"/>
    </i>
    <i>
      <x v="87"/>
    </i>
    <i>
      <x v="72"/>
    </i>
    <i>
      <x v="50"/>
    </i>
    <i>
      <x v="47"/>
    </i>
    <i>
      <x v="38"/>
    </i>
    <i>
      <x v="86"/>
    </i>
    <i>
      <x v="53"/>
    </i>
    <i>
      <x v="76"/>
    </i>
    <i>
      <x v="79"/>
    </i>
    <i>
      <x v="119"/>
    </i>
    <i>
      <x v="73"/>
    </i>
    <i>
      <x v="118"/>
    </i>
    <i>
      <x v="31"/>
    </i>
    <i>
      <x v="56"/>
    </i>
    <i>
      <x v="11"/>
    </i>
    <i>
      <x v="16"/>
    </i>
    <i>
      <x v="109"/>
    </i>
    <i>
      <x v="95"/>
    </i>
    <i>
      <x v="41"/>
    </i>
    <i>
      <x v="104"/>
    </i>
    <i>
      <x v="40"/>
    </i>
    <i>
      <x v="103"/>
    </i>
    <i>
      <x v="96"/>
    </i>
    <i>
      <x v="105"/>
    </i>
    <i>
      <x v="102"/>
    </i>
    <i>
      <x v="39"/>
    </i>
    <i>
      <x v="9"/>
    </i>
    <i>
      <x v="24"/>
    </i>
    <i>
      <x v="107"/>
    </i>
    <i>
      <x v="110"/>
    </i>
    <i>
      <x v="62"/>
    </i>
    <i>
      <x v="98"/>
    </i>
    <i>
      <x v="106"/>
    </i>
    <i t="grand">
      <x/>
    </i>
  </rowItems>
  <colFields count="1">
    <field x="-2"/>
  </colFields>
  <colItems count="5">
    <i>
      <x/>
    </i>
    <i i="1">
      <x v="1"/>
    </i>
    <i i="2">
      <x v="2"/>
    </i>
    <i i="3">
      <x v="3"/>
    </i>
    <i i="4">
      <x v="4"/>
    </i>
  </colItems>
  <dataFields count="5">
    <dataField name="Sum of score" fld="1" baseField="0" baseItem="0"/>
    <dataField name="Average of score" fld="1" subtotal="average" baseField="0" baseItem="4"/>
    <dataField name="StdDev of score" fld="1" subtotal="stdDev" baseField="0" baseItem="4"/>
    <dataField name="Min of score" fld="1" subtotal="min" baseField="0" baseItem="4"/>
    <dataField name="Max of score" fld="1" subtotal="max" baseField="0" baseItem="4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3C3D820-9A90-4717-8A22-9C41A553DE6E}" name="PivotTable1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DV129" firstHeaderRow="1" firstDataRow="2" firstDataCol="1"/>
  <pivotFields count="3">
    <pivotField axis="axisRow" showAll="0">
      <items count="125">
        <item x="1"/>
        <item x="69"/>
        <item x="65"/>
        <item x="16"/>
        <item x="79"/>
        <item x="10"/>
        <item x="72"/>
        <item x="35"/>
        <item x="103"/>
        <item x="9"/>
        <item x="111"/>
        <item x="119"/>
        <item x="63"/>
        <item x="24"/>
        <item x="100"/>
        <item x="122"/>
        <item x="29"/>
        <item x="107"/>
        <item x="34"/>
        <item x="82"/>
        <item x="52"/>
        <item x="5"/>
        <item x="68"/>
        <item x="13"/>
        <item x="30"/>
        <item x="106"/>
        <item x="49"/>
        <item x="78"/>
        <item x="36"/>
        <item x="108"/>
        <item x="15"/>
        <item x="101"/>
        <item x="64"/>
        <item x="66"/>
        <item x="70"/>
        <item x="3"/>
        <item x="62"/>
        <item x="12"/>
        <item x="22"/>
        <item x="113"/>
        <item x="17"/>
        <item x="117"/>
        <item x="27"/>
        <item x="14"/>
        <item x="90"/>
        <item x="45"/>
        <item x="74"/>
        <item x="8"/>
        <item x="102"/>
        <item x="28"/>
        <item x="115"/>
        <item x="42"/>
        <item x="96"/>
        <item x="58"/>
        <item x="41"/>
        <item x="60"/>
        <item x="121"/>
        <item x="98"/>
        <item x="19"/>
        <item x="77"/>
        <item x="44"/>
        <item x="92"/>
        <item x="38"/>
        <item x="56"/>
        <item x="94"/>
        <item x="11"/>
        <item x="91"/>
        <item x="97"/>
        <item x="73"/>
        <item x="51"/>
        <item x="83"/>
        <item x="20"/>
        <item x="84"/>
        <item x="4"/>
        <item x="61"/>
        <item x="55"/>
        <item x="118"/>
        <item x="46"/>
        <item x="81"/>
        <item x="59"/>
        <item x="47"/>
        <item x="76"/>
        <item x="50"/>
        <item x="86"/>
        <item x="25"/>
        <item x="57"/>
        <item x="112"/>
        <item x="26"/>
        <item x="116"/>
        <item x="18"/>
        <item x="53"/>
        <item x="109"/>
        <item x="23"/>
        <item x="104"/>
        <item x="43"/>
        <item x="105"/>
        <item x="32"/>
        <item x="85"/>
        <item x="37"/>
        <item x="95"/>
        <item x="0"/>
        <item x="75"/>
        <item x="120"/>
        <item x="89"/>
        <item x="7"/>
        <item x="71"/>
        <item x="2"/>
        <item x="67"/>
        <item x="31"/>
        <item x="93"/>
        <item x="48"/>
        <item x="88"/>
        <item x="21"/>
        <item x="114"/>
        <item x="80"/>
        <item x="39"/>
        <item x="110"/>
        <item x="33"/>
        <item x="99"/>
        <item x="40"/>
        <item x="123"/>
        <item x="6"/>
        <item x="87"/>
        <item x="54"/>
        <item t="default"/>
      </items>
    </pivotField>
    <pivotField axis="axisCol" showAll="0">
      <items count="125">
        <item x="46"/>
        <item x="91"/>
        <item x="103"/>
        <item x="35"/>
        <item x="110"/>
        <item x="44"/>
        <item x="98"/>
        <item x="51"/>
        <item x="74"/>
        <item x="29"/>
        <item x="61"/>
        <item x="24"/>
        <item x="100"/>
        <item x="54"/>
        <item x="92"/>
        <item x="13"/>
        <item x="48"/>
        <item x="79"/>
        <item x="25"/>
        <item x="104"/>
        <item x="0"/>
        <item x="40"/>
        <item x="105"/>
        <item x="39"/>
        <item x="120"/>
        <item x="72"/>
        <item x="10"/>
        <item x="67"/>
        <item x="14"/>
        <item x="84"/>
        <item x="32"/>
        <item x="66"/>
        <item x="96"/>
        <item x="108"/>
        <item x="89"/>
        <item x="33"/>
        <item x="90"/>
        <item x="19"/>
        <item x="56"/>
        <item x="71"/>
        <item x="30"/>
        <item x="70"/>
        <item x="116"/>
        <item x="36"/>
        <item x="112"/>
        <item x="17"/>
        <item x="87"/>
        <item x="42"/>
        <item x="75"/>
        <item x="45"/>
        <item x="82"/>
        <item x="7"/>
        <item x="81"/>
        <item x="73"/>
        <item x="27"/>
        <item x="107"/>
        <item x="23"/>
        <item x="68"/>
        <item x="3"/>
        <item x="86"/>
        <item x="11"/>
        <item x="85"/>
        <item x="43"/>
        <item x="16"/>
        <item x="62"/>
        <item x="38"/>
        <item x="123"/>
        <item x="76"/>
        <item x="88"/>
        <item x="21"/>
        <item x="106"/>
        <item x="119"/>
        <item x="111"/>
        <item x="34"/>
        <item x="114"/>
        <item x="12"/>
        <item x="60"/>
        <item x="28"/>
        <item x="93"/>
        <item x="115"/>
        <item x="15"/>
        <item x="113"/>
        <item x="8"/>
        <item x="101"/>
        <item x="49"/>
        <item x="20"/>
        <item x="57"/>
        <item x="50"/>
        <item x="78"/>
        <item x="31"/>
        <item x="22"/>
        <item x="65"/>
        <item x="55"/>
        <item x="77"/>
        <item x="6"/>
        <item x="59"/>
        <item x="9"/>
        <item x="94"/>
        <item x="37"/>
        <item x="58"/>
        <item x="117"/>
        <item x="102"/>
        <item x="4"/>
        <item x="80"/>
        <item x="18"/>
        <item x="95"/>
        <item x="41"/>
        <item x="122"/>
        <item x="47"/>
        <item x="97"/>
        <item x="26"/>
        <item x="109"/>
        <item x="53"/>
        <item x="64"/>
        <item x="99"/>
        <item x="1"/>
        <item x="69"/>
        <item x="2"/>
        <item x="83"/>
        <item x="118"/>
        <item x="63"/>
        <item x="52"/>
        <item x="121"/>
        <item x="5"/>
        <item t="default"/>
      </items>
    </pivotField>
    <pivotField dataField="1" showAll="0"/>
  </pivotFields>
  <rowFields count="1">
    <field x="0"/>
  </rowFields>
  <rowItems count="1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 t="grand">
      <x/>
    </i>
  </rowItems>
  <colFields count="1">
    <field x="1"/>
  </colFields>
  <colItems count="1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 t="grand">
      <x/>
    </i>
  </colItems>
  <dataFields count="1">
    <dataField name="Sum of score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2E4C5B-74AE-4032-8628-A0695E24BACE}">
  <dimension ref="A1:L316"/>
  <sheetViews>
    <sheetView topLeftCell="A290" workbookViewId="0">
      <selection activeCell="E301" sqref="E301"/>
    </sheetView>
  </sheetViews>
  <sheetFormatPr defaultRowHeight="14.4" x14ac:dyDescent="0.3"/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12" x14ac:dyDescent="0.3">
      <c r="A2" s="2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>
        <v>59</v>
      </c>
      <c r="H2" s="2">
        <v>107</v>
      </c>
      <c r="I2" s="2" t="s">
        <v>15</v>
      </c>
      <c r="K2" s="4"/>
      <c r="L2" t="s">
        <v>578</v>
      </c>
    </row>
    <row r="3" spans="1:12" x14ac:dyDescent="0.3">
      <c r="A3" s="2" t="s">
        <v>16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>
        <v>135</v>
      </c>
      <c r="H3" s="2">
        <v>56</v>
      </c>
      <c r="I3" s="2" t="s">
        <v>22</v>
      </c>
      <c r="K3" s="5"/>
      <c r="L3" t="s">
        <v>579</v>
      </c>
    </row>
    <row r="4" spans="1:12" x14ac:dyDescent="0.3">
      <c r="A4" s="2" t="s">
        <v>23</v>
      </c>
      <c r="B4" s="2" t="s">
        <v>24</v>
      </c>
      <c r="C4" s="2" t="s">
        <v>25</v>
      </c>
      <c r="D4" s="2" t="s">
        <v>26</v>
      </c>
      <c r="E4" s="2" t="s">
        <v>27</v>
      </c>
      <c r="F4" s="2" t="s">
        <v>28</v>
      </c>
      <c r="G4" s="2">
        <v>48</v>
      </c>
      <c r="H4" s="2">
        <v>122</v>
      </c>
      <c r="I4" s="2" t="s">
        <v>15</v>
      </c>
      <c r="K4" s="7"/>
      <c r="L4" t="s">
        <v>582</v>
      </c>
    </row>
    <row r="5" spans="1:12" x14ac:dyDescent="0.3">
      <c r="A5" s="2" t="s">
        <v>29</v>
      </c>
      <c r="B5" s="2" t="s">
        <v>30</v>
      </c>
      <c r="C5" s="2" t="s">
        <v>31</v>
      </c>
      <c r="D5" s="2" t="s">
        <v>32</v>
      </c>
      <c r="E5" s="2" t="s">
        <v>33</v>
      </c>
      <c r="F5" s="2" t="s">
        <v>34</v>
      </c>
      <c r="G5" s="2">
        <v>72</v>
      </c>
      <c r="H5" s="2">
        <v>115</v>
      </c>
      <c r="I5" s="2" t="s">
        <v>15</v>
      </c>
    </row>
    <row r="6" spans="1:12" x14ac:dyDescent="0.3">
      <c r="A6" s="2" t="s">
        <v>35</v>
      </c>
      <c r="B6" s="2" t="s">
        <v>36</v>
      </c>
      <c r="C6" s="2" t="s">
        <v>37</v>
      </c>
      <c r="D6" s="2" t="s">
        <v>38</v>
      </c>
      <c r="E6" s="2" t="s">
        <v>39</v>
      </c>
      <c r="F6" s="2" t="s">
        <v>40</v>
      </c>
      <c r="G6" s="2">
        <v>14</v>
      </c>
      <c r="H6" s="2">
        <v>144</v>
      </c>
      <c r="I6" s="2" t="s">
        <v>15</v>
      </c>
    </row>
    <row r="7" spans="1:12" x14ac:dyDescent="0.3">
      <c r="A7" s="2" t="s">
        <v>41</v>
      </c>
      <c r="B7" s="2" t="s">
        <v>42</v>
      </c>
      <c r="C7" s="2" t="s">
        <v>43</v>
      </c>
      <c r="D7" s="2" t="s">
        <v>44</v>
      </c>
      <c r="E7" s="2" t="s">
        <v>45</v>
      </c>
      <c r="F7" s="2" t="s">
        <v>46</v>
      </c>
      <c r="G7" s="2">
        <v>113</v>
      </c>
      <c r="H7" s="2">
        <v>30</v>
      </c>
      <c r="I7" s="2" t="s">
        <v>22</v>
      </c>
    </row>
    <row r="8" spans="1:12" x14ac:dyDescent="0.3">
      <c r="A8" s="2" t="s">
        <v>47</v>
      </c>
      <c r="B8" s="2" t="s">
        <v>48</v>
      </c>
      <c r="C8" s="2" t="s">
        <v>49</v>
      </c>
      <c r="D8" s="2" t="s">
        <v>50</v>
      </c>
      <c r="E8" s="2" t="s">
        <v>51</v>
      </c>
      <c r="F8" s="2" t="s">
        <v>52</v>
      </c>
      <c r="G8" s="2">
        <v>110</v>
      </c>
      <c r="H8" s="2">
        <v>65</v>
      </c>
      <c r="I8" s="2" t="s">
        <v>22</v>
      </c>
    </row>
    <row r="9" spans="1:12" x14ac:dyDescent="0.3">
      <c r="A9" s="2" t="s">
        <v>53</v>
      </c>
      <c r="B9" s="2" t="s">
        <v>54</v>
      </c>
      <c r="C9" s="2" t="s">
        <v>55</v>
      </c>
      <c r="D9" s="2" t="s">
        <v>56</v>
      </c>
      <c r="E9" s="2" t="s">
        <v>57</v>
      </c>
      <c r="F9" s="2" t="s">
        <v>58</v>
      </c>
      <c r="G9" s="2">
        <v>78</v>
      </c>
      <c r="H9" s="2">
        <v>82</v>
      </c>
      <c r="I9" s="2" t="s">
        <v>15</v>
      </c>
    </row>
    <row r="10" spans="1:12" x14ac:dyDescent="0.3">
      <c r="A10" s="2" t="s">
        <v>59</v>
      </c>
      <c r="B10" s="2" t="s">
        <v>60</v>
      </c>
      <c r="C10" s="2" t="s">
        <v>61</v>
      </c>
      <c r="D10" s="2" t="s">
        <v>62</v>
      </c>
      <c r="E10" s="2" t="s">
        <v>63</v>
      </c>
      <c r="F10" s="2" t="s">
        <v>64</v>
      </c>
      <c r="G10" s="2">
        <v>47</v>
      </c>
      <c r="H10" s="2">
        <v>73</v>
      </c>
      <c r="I10" s="2" t="s">
        <v>15</v>
      </c>
    </row>
    <row r="11" spans="1:12" x14ac:dyDescent="0.3">
      <c r="A11" s="2" t="s">
        <v>65</v>
      </c>
      <c r="B11" s="2" t="s">
        <v>66</v>
      </c>
      <c r="C11" s="2" t="s">
        <v>67</v>
      </c>
      <c r="D11" s="2" t="s">
        <v>68</v>
      </c>
      <c r="E11" s="2" t="s">
        <v>69</v>
      </c>
      <c r="F11" s="2" t="s">
        <v>70</v>
      </c>
      <c r="G11" s="2">
        <v>53</v>
      </c>
      <c r="H11" s="2">
        <v>116</v>
      </c>
      <c r="I11" s="2" t="s">
        <v>15</v>
      </c>
    </row>
    <row r="12" spans="1:12" x14ac:dyDescent="0.3">
      <c r="A12" s="2" t="s">
        <v>71</v>
      </c>
      <c r="B12" s="2" t="s">
        <v>72</v>
      </c>
      <c r="C12" s="2" t="s">
        <v>73</v>
      </c>
      <c r="D12" s="2" t="s">
        <v>74</v>
      </c>
      <c r="E12" s="2" t="s">
        <v>75</v>
      </c>
      <c r="F12" s="2" t="s">
        <v>76</v>
      </c>
      <c r="G12" s="2">
        <v>118</v>
      </c>
      <c r="H12" s="2">
        <v>70</v>
      </c>
      <c r="I12" s="2" t="s">
        <v>22</v>
      </c>
    </row>
    <row r="13" spans="1:12" x14ac:dyDescent="0.3">
      <c r="A13" s="2" t="s">
        <v>77</v>
      </c>
      <c r="B13" s="2" t="s">
        <v>78</v>
      </c>
      <c r="C13" s="2" t="s">
        <v>79</v>
      </c>
      <c r="D13" s="2" t="s">
        <v>80</v>
      </c>
      <c r="E13" s="2" t="s">
        <v>81</v>
      </c>
      <c r="F13" s="2" t="s">
        <v>82</v>
      </c>
      <c r="G13" s="2">
        <v>110</v>
      </c>
      <c r="H13" s="2">
        <v>87</v>
      </c>
      <c r="I13" s="2" t="s">
        <v>22</v>
      </c>
    </row>
    <row r="14" spans="1:12" x14ac:dyDescent="0.3">
      <c r="A14" s="2" t="s">
        <v>83</v>
      </c>
      <c r="B14" s="2" t="s">
        <v>84</v>
      </c>
      <c r="C14" s="2" t="s">
        <v>85</v>
      </c>
      <c r="D14" s="2" t="s">
        <v>86</v>
      </c>
      <c r="E14" s="2" t="s">
        <v>87</v>
      </c>
      <c r="F14" s="2" t="s">
        <v>88</v>
      </c>
      <c r="G14" s="2">
        <v>88</v>
      </c>
      <c r="H14" s="2">
        <v>47</v>
      </c>
      <c r="I14" s="2" t="s">
        <v>22</v>
      </c>
    </row>
    <row r="15" spans="1:12" x14ac:dyDescent="0.3">
      <c r="A15" s="2" t="s">
        <v>89</v>
      </c>
      <c r="B15" s="2" t="s">
        <v>90</v>
      </c>
      <c r="C15" s="2" t="s">
        <v>91</v>
      </c>
      <c r="D15" s="2" t="s">
        <v>92</v>
      </c>
      <c r="E15" s="2" t="s">
        <v>93</v>
      </c>
      <c r="F15" s="2" t="s">
        <v>94</v>
      </c>
      <c r="G15" s="2">
        <v>80</v>
      </c>
      <c r="H15" s="2">
        <v>78</v>
      </c>
      <c r="I15" s="2" t="s">
        <v>22</v>
      </c>
    </row>
    <row r="16" spans="1:12" x14ac:dyDescent="0.3">
      <c r="A16" s="2" t="s">
        <v>95</v>
      </c>
      <c r="B16" s="2" t="s">
        <v>96</v>
      </c>
      <c r="C16" s="2" t="s">
        <v>97</v>
      </c>
      <c r="D16" s="2" t="s">
        <v>98</v>
      </c>
      <c r="E16" s="2" t="s">
        <v>99</v>
      </c>
      <c r="F16" s="2" t="s">
        <v>100</v>
      </c>
      <c r="G16" s="2">
        <v>122</v>
      </c>
      <c r="H16" s="2">
        <v>15</v>
      </c>
      <c r="I16" s="2" t="s">
        <v>22</v>
      </c>
    </row>
    <row r="17" spans="1:9" x14ac:dyDescent="0.3">
      <c r="A17" s="2" t="s">
        <v>101</v>
      </c>
      <c r="B17" s="2" t="s">
        <v>102</v>
      </c>
      <c r="C17" s="2" t="s">
        <v>103</v>
      </c>
      <c r="D17" s="2" t="s">
        <v>104</v>
      </c>
      <c r="E17" s="2" t="s">
        <v>49</v>
      </c>
      <c r="F17" s="2" t="s">
        <v>13</v>
      </c>
      <c r="G17" s="2">
        <v>70</v>
      </c>
      <c r="H17" s="2">
        <v>120</v>
      </c>
      <c r="I17" s="2" t="s">
        <v>15</v>
      </c>
    </row>
    <row r="18" spans="1:9" x14ac:dyDescent="0.3">
      <c r="A18" s="2" t="s">
        <v>105</v>
      </c>
      <c r="B18" s="2" t="s">
        <v>106</v>
      </c>
      <c r="C18" s="2" t="s">
        <v>27</v>
      </c>
      <c r="D18" s="2" t="s">
        <v>58</v>
      </c>
      <c r="E18" s="2" t="s">
        <v>68</v>
      </c>
      <c r="F18" s="2" t="s">
        <v>37</v>
      </c>
      <c r="G18" s="2">
        <v>108</v>
      </c>
      <c r="H18" s="2">
        <v>25</v>
      </c>
      <c r="I18" s="2" t="s">
        <v>22</v>
      </c>
    </row>
    <row r="19" spans="1:9" x14ac:dyDescent="0.3">
      <c r="A19" s="2" t="s">
        <v>107</v>
      </c>
      <c r="B19" s="2" t="s">
        <v>108</v>
      </c>
      <c r="C19" s="2" t="s">
        <v>69</v>
      </c>
      <c r="D19" s="2" t="s">
        <v>75</v>
      </c>
      <c r="E19" s="2" t="s">
        <v>50</v>
      </c>
      <c r="F19" s="2" t="s">
        <v>63</v>
      </c>
      <c r="G19" s="2">
        <v>63</v>
      </c>
      <c r="H19" s="2">
        <v>111</v>
      </c>
      <c r="I19" s="2" t="s">
        <v>15</v>
      </c>
    </row>
    <row r="20" spans="1:9" x14ac:dyDescent="0.3">
      <c r="A20" s="2" t="s">
        <v>109</v>
      </c>
      <c r="B20" s="2" t="s">
        <v>110</v>
      </c>
      <c r="C20" s="2" t="s">
        <v>51</v>
      </c>
      <c r="D20" s="2" t="s">
        <v>55</v>
      </c>
      <c r="E20" s="2" t="s">
        <v>43</v>
      </c>
      <c r="F20" s="2" t="s">
        <v>67</v>
      </c>
      <c r="G20" s="2">
        <v>27</v>
      </c>
      <c r="H20" s="2">
        <v>117</v>
      </c>
      <c r="I20" s="2" t="s">
        <v>15</v>
      </c>
    </row>
    <row r="21" spans="1:9" x14ac:dyDescent="0.3">
      <c r="A21" s="2" t="s">
        <v>111</v>
      </c>
      <c r="B21" s="2" t="s">
        <v>112</v>
      </c>
      <c r="C21" s="2" t="s">
        <v>32</v>
      </c>
      <c r="D21" s="2" t="s">
        <v>62</v>
      </c>
      <c r="E21" s="2" t="s">
        <v>73</v>
      </c>
      <c r="F21" s="2" t="s">
        <v>44</v>
      </c>
      <c r="G21" s="2">
        <v>128</v>
      </c>
      <c r="H21" s="2">
        <v>72</v>
      </c>
      <c r="I21" s="2" t="s">
        <v>22</v>
      </c>
    </row>
    <row r="22" spans="1:9" x14ac:dyDescent="0.3">
      <c r="A22" s="2" t="s">
        <v>113</v>
      </c>
      <c r="B22" s="2" t="s">
        <v>114</v>
      </c>
      <c r="C22" s="2" t="s">
        <v>45</v>
      </c>
      <c r="D22" s="2" t="s">
        <v>85</v>
      </c>
      <c r="E22" s="2" t="s">
        <v>38</v>
      </c>
      <c r="F22" s="2" t="s">
        <v>92</v>
      </c>
      <c r="G22" s="2">
        <v>84</v>
      </c>
      <c r="H22" s="2">
        <v>77</v>
      </c>
      <c r="I22" s="2" t="s">
        <v>22</v>
      </c>
    </row>
    <row r="23" spans="1:9" x14ac:dyDescent="0.3">
      <c r="A23" s="2" t="s">
        <v>115</v>
      </c>
      <c r="B23" s="2" t="s">
        <v>116</v>
      </c>
      <c r="C23" s="2" t="s">
        <v>40</v>
      </c>
      <c r="D23" s="2" t="s">
        <v>34</v>
      </c>
      <c r="E23" s="2" t="s">
        <v>74</v>
      </c>
      <c r="F23" s="2" t="s">
        <v>11</v>
      </c>
      <c r="G23" s="2">
        <v>125</v>
      </c>
      <c r="H23" s="2">
        <v>59</v>
      </c>
      <c r="I23" s="2" t="s">
        <v>22</v>
      </c>
    </row>
    <row r="24" spans="1:9" x14ac:dyDescent="0.3">
      <c r="A24" s="2" t="s">
        <v>117</v>
      </c>
      <c r="B24" s="2" t="s">
        <v>118</v>
      </c>
      <c r="C24" s="2" t="s">
        <v>76</v>
      </c>
      <c r="D24" s="2" t="s">
        <v>46</v>
      </c>
      <c r="E24" s="2" t="s">
        <v>99</v>
      </c>
      <c r="F24" s="2" t="s">
        <v>21</v>
      </c>
      <c r="G24" s="2">
        <v>62</v>
      </c>
      <c r="H24" s="2">
        <v>78</v>
      </c>
      <c r="I24" s="2" t="s">
        <v>15</v>
      </c>
    </row>
    <row r="25" spans="1:9" x14ac:dyDescent="0.3">
      <c r="A25" s="2" t="s">
        <v>119</v>
      </c>
      <c r="B25" s="2" t="s">
        <v>120</v>
      </c>
      <c r="C25" s="2" t="s">
        <v>70</v>
      </c>
      <c r="D25" s="2" t="s">
        <v>64</v>
      </c>
      <c r="E25" s="2" t="s">
        <v>87</v>
      </c>
      <c r="F25" s="2" t="s">
        <v>81</v>
      </c>
      <c r="G25" s="2">
        <v>96</v>
      </c>
      <c r="H25" s="2">
        <v>58</v>
      </c>
      <c r="I25" s="2" t="s">
        <v>22</v>
      </c>
    </row>
    <row r="26" spans="1:9" x14ac:dyDescent="0.3">
      <c r="A26" s="2" t="s">
        <v>121</v>
      </c>
      <c r="B26" s="2" t="s">
        <v>122</v>
      </c>
      <c r="C26" s="2" t="s">
        <v>94</v>
      </c>
      <c r="D26" s="2" t="s">
        <v>14</v>
      </c>
      <c r="E26" s="2" t="s">
        <v>26</v>
      </c>
      <c r="F26" s="2" t="s">
        <v>31</v>
      </c>
      <c r="G26" s="2">
        <v>80</v>
      </c>
      <c r="H26" s="2">
        <v>102</v>
      </c>
      <c r="I26" s="2" t="s">
        <v>15</v>
      </c>
    </row>
    <row r="27" spans="1:9" x14ac:dyDescent="0.3">
      <c r="A27" s="2" t="s">
        <v>123</v>
      </c>
      <c r="B27" s="2" t="s">
        <v>124</v>
      </c>
      <c r="C27" s="2" t="s">
        <v>33</v>
      </c>
      <c r="D27" s="2" t="s">
        <v>93</v>
      </c>
      <c r="E27" s="2" t="s">
        <v>61</v>
      </c>
      <c r="F27" s="2" t="s">
        <v>25</v>
      </c>
      <c r="G27" s="2">
        <v>153</v>
      </c>
      <c r="H27" s="2">
        <v>36</v>
      </c>
      <c r="I27" s="2" t="s">
        <v>22</v>
      </c>
    </row>
    <row r="28" spans="1:9" x14ac:dyDescent="0.3">
      <c r="A28" s="2" t="s">
        <v>125</v>
      </c>
      <c r="B28" s="2" t="s">
        <v>126</v>
      </c>
      <c r="C28" s="2" t="s">
        <v>52</v>
      </c>
      <c r="D28" s="2" t="s">
        <v>19</v>
      </c>
      <c r="E28" s="2" t="s">
        <v>103</v>
      </c>
      <c r="F28" s="2" t="s">
        <v>91</v>
      </c>
      <c r="G28" s="2">
        <v>100</v>
      </c>
      <c r="H28" s="2">
        <v>47</v>
      </c>
      <c r="I28" s="2" t="s">
        <v>22</v>
      </c>
    </row>
    <row r="29" spans="1:9" x14ac:dyDescent="0.3">
      <c r="A29" s="2" t="s">
        <v>127</v>
      </c>
      <c r="B29" s="2" t="s">
        <v>128</v>
      </c>
      <c r="C29" s="2" t="s">
        <v>88</v>
      </c>
      <c r="D29" s="2" t="s">
        <v>57</v>
      </c>
      <c r="E29" s="2" t="s">
        <v>104</v>
      </c>
      <c r="F29" s="2" t="s">
        <v>98</v>
      </c>
      <c r="G29" s="2">
        <v>170</v>
      </c>
      <c r="H29" s="2">
        <v>65</v>
      </c>
      <c r="I29" s="2" t="s">
        <v>22</v>
      </c>
    </row>
    <row r="30" spans="1:9" x14ac:dyDescent="0.3">
      <c r="A30" s="2" t="s">
        <v>129</v>
      </c>
      <c r="B30" s="2" t="s">
        <v>130</v>
      </c>
      <c r="C30" s="2" t="s">
        <v>39</v>
      </c>
      <c r="D30" s="2" t="s">
        <v>12</v>
      </c>
      <c r="E30" s="2" t="s">
        <v>79</v>
      </c>
      <c r="F30" s="2" t="s">
        <v>18</v>
      </c>
      <c r="G30" s="2">
        <v>115</v>
      </c>
      <c r="H30" s="2">
        <v>108</v>
      </c>
      <c r="I30" s="2" t="s">
        <v>22</v>
      </c>
    </row>
    <row r="31" spans="1:9" x14ac:dyDescent="0.3">
      <c r="A31" s="2" t="s">
        <v>129</v>
      </c>
      <c r="B31" s="2" t="s">
        <v>131</v>
      </c>
      <c r="C31" s="2" t="s">
        <v>82</v>
      </c>
      <c r="D31" s="2" t="s">
        <v>100</v>
      </c>
      <c r="E31" s="2" t="s">
        <v>56</v>
      </c>
      <c r="F31" s="2" t="s">
        <v>86</v>
      </c>
      <c r="G31" s="2">
        <v>98</v>
      </c>
      <c r="H31" s="2">
        <v>136</v>
      </c>
      <c r="I31" s="2" t="s">
        <v>15</v>
      </c>
    </row>
    <row r="32" spans="1:9" x14ac:dyDescent="0.3">
      <c r="A32" s="2" t="s">
        <v>132</v>
      </c>
      <c r="B32" s="2" t="s">
        <v>133</v>
      </c>
      <c r="C32" s="2" t="s">
        <v>20</v>
      </c>
      <c r="D32" s="2" t="s">
        <v>28</v>
      </c>
      <c r="E32" s="2" t="s">
        <v>80</v>
      </c>
      <c r="F32" s="2" t="s">
        <v>97</v>
      </c>
      <c r="G32" s="2">
        <v>35</v>
      </c>
      <c r="H32" s="2">
        <v>63</v>
      </c>
      <c r="I32" s="2" t="s">
        <v>15</v>
      </c>
    </row>
    <row r="33" spans="1:9" x14ac:dyDescent="0.3">
      <c r="A33" s="2" t="s">
        <v>134</v>
      </c>
      <c r="B33" s="2" t="s">
        <v>135</v>
      </c>
      <c r="C33" s="2" t="s">
        <v>63</v>
      </c>
      <c r="D33" s="2" t="s">
        <v>21</v>
      </c>
      <c r="E33" s="2" t="s">
        <v>43</v>
      </c>
      <c r="F33" s="2" t="s">
        <v>92</v>
      </c>
      <c r="G33" s="2">
        <v>42</v>
      </c>
      <c r="H33" s="2">
        <v>133</v>
      </c>
      <c r="I33" s="2" t="s">
        <v>15</v>
      </c>
    </row>
    <row r="34" spans="1:9" x14ac:dyDescent="0.3">
      <c r="A34" s="2" t="s">
        <v>136</v>
      </c>
      <c r="B34" s="2" t="s">
        <v>137</v>
      </c>
      <c r="C34" s="2" t="s">
        <v>68</v>
      </c>
      <c r="D34" s="2" t="s">
        <v>75</v>
      </c>
      <c r="E34" s="2" t="s">
        <v>62</v>
      </c>
      <c r="F34" s="2" t="s">
        <v>45</v>
      </c>
      <c r="G34" s="2">
        <v>82</v>
      </c>
      <c r="H34" s="2">
        <v>75</v>
      </c>
      <c r="I34" s="2" t="s">
        <v>22</v>
      </c>
    </row>
    <row r="35" spans="1:9" x14ac:dyDescent="0.3">
      <c r="A35" s="2" t="s">
        <v>138</v>
      </c>
      <c r="B35" s="2" t="s">
        <v>139</v>
      </c>
      <c r="C35" s="2" t="s">
        <v>26</v>
      </c>
      <c r="D35" s="2" t="s">
        <v>67</v>
      </c>
      <c r="E35" s="2" t="s">
        <v>76</v>
      </c>
      <c r="F35" s="2" t="s">
        <v>52</v>
      </c>
      <c r="G35" s="2">
        <v>40</v>
      </c>
      <c r="H35" s="2">
        <v>74</v>
      </c>
      <c r="I35" s="2" t="s">
        <v>15</v>
      </c>
    </row>
    <row r="36" spans="1:9" x14ac:dyDescent="0.3">
      <c r="A36" s="2" t="s">
        <v>140</v>
      </c>
      <c r="B36" s="2" t="s">
        <v>141</v>
      </c>
      <c r="C36" s="2" t="s">
        <v>57</v>
      </c>
      <c r="D36" s="2" t="s">
        <v>69</v>
      </c>
      <c r="E36" s="2" t="s">
        <v>61</v>
      </c>
      <c r="F36" s="2" t="s">
        <v>73</v>
      </c>
      <c r="G36" s="2">
        <v>58</v>
      </c>
      <c r="H36" s="2">
        <v>91</v>
      </c>
      <c r="I36" s="2" t="s">
        <v>15</v>
      </c>
    </row>
    <row r="37" spans="1:9" x14ac:dyDescent="0.3">
      <c r="A37" s="2" t="s">
        <v>142</v>
      </c>
      <c r="B37" s="2" t="s">
        <v>143</v>
      </c>
      <c r="C37" s="2" t="s">
        <v>70</v>
      </c>
      <c r="D37" s="2" t="s">
        <v>74</v>
      </c>
      <c r="E37" s="2" t="s">
        <v>25</v>
      </c>
      <c r="F37" s="2" t="s">
        <v>14</v>
      </c>
      <c r="G37" s="2">
        <v>147</v>
      </c>
      <c r="H37" s="2">
        <v>7</v>
      </c>
      <c r="I37" s="2" t="s">
        <v>22</v>
      </c>
    </row>
    <row r="38" spans="1:9" x14ac:dyDescent="0.3">
      <c r="A38" s="2" t="s">
        <v>144</v>
      </c>
      <c r="B38" s="2" t="s">
        <v>145</v>
      </c>
      <c r="C38" s="2" t="s">
        <v>82</v>
      </c>
      <c r="D38" s="2" t="s">
        <v>34</v>
      </c>
      <c r="E38" s="2" t="s">
        <v>91</v>
      </c>
      <c r="F38" s="2" t="s">
        <v>39</v>
      </c>
      <c r="G38" s="2">
        <v>62</v>
      </c>
      <c r="H38" s="2">
        <v>38</v>
      </c>
      <c r="I38" s="2" t="s">
        <v>22</v>
      </c>
    </row>
    <row r="39" spans="1:9" x14ac:dyDescent="0.3">
      <c r="A39" s="2" t="s">
        <v>146</v>
      </c>
      <c r="B39" s="2" t="s">
        <v>147</v>
      </c>
      <c r="C39" s="2" t="s">
        <v>13</v>
      </c>
      <c r="D39" s="2" t="s">
        <v>86</v>
      </c>
      <c r="E39" s="2" t="s">
        <v>64</v>
      </c>
      <c r="F39" s="2" t="s">
        <v>93</v>
      </c>
      <c r="G39" s="2">
        <v>140</v>
      </c>
      <c r="H39" s="2">
        <v>30</v>
      </c>
      <c r="I39" s="2" t="s">
        <v>22</v>
      </c>
    </row>
    <row r="40" spans="1:9" x14ac:dyDescent="0.3">
      <c r="A40" s="2" t="s">
        <v>148</v>
      </c>
      <c r="B40" s="2" t="s">
        <v>149</v>
      </c>
      <c r="C40" s="2" t="s">
        <v>33</v>
      </c>
      <c r="D40" s="2" t="s">
        <v>58</v>
      </c>
      <c r="E40" s="2" t="s">
        <v>85</v>
      </c>
      <c r="F40" s="2" t="s">
        <v>80</v>
      </c>
      <c r="G40" s="2">
        <v>111</v>
      </c>
      <c r="H40" s="2">
        <v>39</v>
      </c>
      <c r="I40" s="2" t="s">
        <v>22</v>
      </c>
    </row>
    <row r="41" spans="1:9" x14ac:dyDescent="0.3">
      <c r="A41" s="2" t="s">
        <v>150</v>
      </c>
      <c r="B41" s="2" t="s">
        <v>151</v>
      </c>
      <c r="C41" s="2" t="s">
        <v>98</v>
      </c>
      <c r="D41" s="2" t="s">
        <v>51</v>
      </c>
      <c r="E41" s="2" t="s">
        <v>28</v>
      </c>
      <c r="F41" s="2" t="s">
        <v>94</v>
      </c>
      <c r="G41" s="2">
        <v>55</v>
      </c>
      <c r="H41" s="2">
        <v>107</v>
      </c>
      <c r="I41" s="2" t="s">
        <v>15</v>
      </c>
    </row>
    <row r="42" spans="1:9" x14ac:dyDescent="0.3">
      <c r="A42" s="2" t="s">
        <v>152</v>
      </c>
      <c r="B42" s="2" t="s">
        <v>153</v>
      </c>
      <c r="C42" s="2" t="s">
        <v>79</v>
      </c>
      <c r="D42" s="2" t="s">
        <v>44</v>
      </c>
      <c r="E42" s="2" t="s">
        <v>50</v>
      </c>
      <c r="F42" s="2" t="s">
        <v>20</v>
      </c>
      <c r="G42" s="2">
        <v>30</v>
      </c>
      <c r="H42" s="2">
        <v>93</v>
      </c>
      <c r="I42" s="2" t="s">
        <v>15</v>
      </c>
    </row>
    <row r="43" spans="1:9" x14ac:dyDescent="0.3">
      <c r="A43" s="2" t="s">
        <v>154</v>
      </c>
      <c r="B43" s="2" t="s">
        <v>155</v>
      </c>
      <c r="C43" s="2" t="s">
        <v>99</v>
      </c>
      <c r="D43" s="2" t="s">
        <v>103</v>
      </c>
      <c r="E43" s="2" t="s">
        <v>11</v>
      </c>
      <c r="F43" s="2" t="s">
        <v>56</v>
      </c>
      <c r="G43" s="2">
        <v>22</v>
      </c>
      <c r="H43" s="2">
        <v>133</v>
      </c>
      <c r="I43" s="2" t="s">
        <v>15</v>
      </c>
    </row>
    <row r="44" spans="1:9" x14ac:dyDescent="0.3">
      <c r="A44" s="2" t="s">
        <v>156</v>
      </c>
      <c r="B44" s="2" t="s">
        <v>157</v>
      </c>
      <c r="C44" s="2" t="s">
        <v>87</v>
      </c>
      <c r="D44" s="2" t="s">
        <v>31</v>
      </c>
      <c r="E44" s="2" t="s">
        <v>104</v>
      </c>
      <c r="F44" s="2" t="s">
        <v>40</v>
      </c>
      <c r="G44" s="2">
        <v>77</v>
      </c>
      <c r="H44" s="2">
        <v>118</v>
      </c>
      <c r="I44" s="2" t="s">
        <v>15</v>
      </c>
    </row>
    <row r="45" spans="1:9" x14ac:dyDescent="0.3">
      <c r="A45" s="2" t="s">
        <v>158</v>
      </c>
      <c r="B45" s="2" t="s">
        <v>159</v>
      </c>
      <c r="C45" s="2" t="s">
        <v>19</v>
      </c>
      <c r="D45" s="2" t="s">
        <v>38</v>
      </c>
      <c r="E45" s="2" t="s">
        <v>12</v>
      </c>
      <c r="F45" s="2" t="s">
        <v>55</v>
      </c>
      <c r="G45" s="2">
        <v>84</v>
      </c>
      <c r="H45" s="2">
        <v>67</v>
      </c>
      <c r="I45" s="2" t="s">
        <v>22</v>
      </c>
    </row>
    <row r="46" spans="1:9" x14ac:dyDescent="0.3">
      <c r="A46" s="2" t="s">
        <v>160</v>
      </c>
      <c r="B46" s="2" t="s">
        <v>161</v>
      </c>
      <c r="C46" s="2" t="s">
        <v>81</v>
      </c>
      <c r="D46" s="2" t="s">
        <v>37</v>
      </c>
      <c r="E46" s="2" t="s">
        <v>32</v>
      </c>
      <c r="F46" s="2" t="s">
        <v>46</v>
      </c>
      <c r="G46" s="2">
        <v>53</v>
      </c>
      <c r="H46" s="2">
        <v>105</v>
      </c>
      <c r="I46" s="2" t="s">
        <v>15</v>
      </c>
    </row>
    <row r="47" spans="1:9" x14ac:dyDescent="0.3">
      <c r="A47" s="2" t="s">
        <v>162</v>
      </c>
      <c r="B47" s="2" t="s">
        <v>163</v>
      </c>
      <c r="C47" s="2" t="s">
        <v>49</v>
      </c>
      <c r="D47" s="2" t="s">
        <v>27</v>
      </c>
      <c r="E47" s="2" t="s">
        <v>88</v>
      </c>
      <c r="F47" s="2" t="s">
        <v>100</v>
      </c>
      <c r="G47" s="2">
        <v>95</v>
      </c>
      <c r="H47" s="2">
        <v>97</v>
      </c>
      <c r="I47" s="2" t="s">
        <v>15</v>
      </c>
    </row>
    <row r="48" spans="1:9" x14ac:dyDescent="0.3">
      <c r="A48" s="2" t="s">
        <v>164</v>
      </c>
      <c r="B48" s="2" t="s">
        <v>165</v>
      </c>
      <c r="C48" s="2" t="s">
        <v>18</v>
      </c>
      <c r="D48" s="2" t="s">
        <v>97</v>
      </c>
      <c r="E48" s="2" t="s">
        <v>64</v>
      </c>
      <c r="F48" s="2" t="s">
        <v>67</v>
      </c>
      <c r="G48" s="2">
        <v>88</v>
      </c>
      <c r="H48" s="2">
        <v>26</v>
      </c>
      <c r="I48" s="2" t="s">
        <v>22</v>
      </c>
    </row>
    <row r="49" spans="1:9" x14ac:dyDescent="0.3">
      <c r="A49" s="2" t="s">
        <v>166</v>
      </c>
      <c r="B49" s="2" t="s">
        <v>167</v>
      </c>
      <c r="C49" s="2" t="s">
        <v>76</v>
      </c>
      <c r="D49" s="2" t="s">
        <v>58</v>
      </c>
      <c r="E49" s="2" t="s">
        <v>98</v>
      </c>
      <c r="F49" s="2" t="s">
        <v>82</v>
      </c>
      <c r="G49" s="2">
        <v>67</v>
      </c>
      <c r="H49" s="2">
        <v>49</v>
      </c>
      <c r="I49" s="2" t="s">
        <v>22</v>
      </c>
    </row>
    <row r="50" spans="1:9" x14ac:dyDescent="0.3">
      <c r="A50" s="2" t="s">
        <v>168</v>
      </c>
      <c r="B50" s="2" t="s">
        <v>169</v>
      </c>
      <c r="C50" s="2" t="s">
        <v>39</v>
      </c>
      <c r="D50" s="2" t="s">
        <v>99</v>
      </c>
      <c r="E50" s="2" t="s">
        <v>33</v>
      </c>
      <c r="F50" s="2" t="s">
        <v>63</v>
      </c>
      <c r="G50" s="2">
        <v>71</v>
      </c>
      <c r="H50" s="2">
        <v>138</v>
      </c>
      <c r="I50" s="2" t="s">
        <v>15</v>
      </c>
    </row>
    <row r="51" spans="1:9" x14ac:dyDescent="0.3">
      <c r="A51" s="2" t="s">
        <v>170</v>
      </c>
      <c r="B51" s="2" t="s">
        <v>171</v>
      </c>
      <c r="C51" s="2" t="s">
        <v>31</v>
      </c>
      <c r="D51" s="2" t="s">
        <v>79</v>
      </c>
      <c r="E51" s="2" t="s">
        <v>68</v>
      </c>
      <c r="F51" s="2" t="s">
        <v>57</v>
      </c>
      <c r="G51" s="2">
        <v>63</v>
      </c>
      <c r="H51" s="2">
        <v>78</v>
      </c>
      <c r="I51" s="2" t="s">
        <v>15</v>
      </c>
    </row>
    <row r="52" spans="1:9" x14ac:dyDescent="0.3">
      <c r="A52" s="2" t="s">
        <v>172</v>
      </c>
      <c r="B52" s="2" t="s">
        <v>173</v>
      </c>
      <c r="C52" s="2" t="s">
        <v>94</v>
      </c>
      <c r="D52" s="2" t="s">
        <v>104</v>
      </c>
      <c r="E52" s="2" t="s">
        <v>45</v>
      </c>
      <c r="F52" s="2" t="s">
        <v>34</v>
      </c>
      <c r="G52" s="2">
        <v>140</v>
      </c>
      <c r="H52" s="2">
        <v>81</v>
      </c>
      <c r="I52" s="2" t="s">
        <v>22</v>
      </c>
    </row>
    <row r="53" spans="1:9" x14ac:dyDescent="0.3">
      <c r="A53" s="2" t="s">
        <v>174</v>
      </c>
      <c r="B53" s="2" t="s">
        <v>175</v>
      </c>
      <c r="C53" s="2" t="s">
        <v>28</v>
      </c>
      <c r="D53" s="2" t="s">
        <v>91</v>
      </c>
      <c r="E53" s="2" t="s">
        <v>55</v>
      </c>
      <c r="F53" s="2" t="s">
        <v>14</v>
      </c>
      <c r="G53" s="2">
        <v>98</v>
      </c>
      <c r="H53" s="2">
        <v>115</v>
      </c>
      <c r="I53" s="2" t="s">
        <v>15</v>
      </c>
    </row>
    <row r="54" spans="1:9" x14ac:dyDescent="0.3">
      <c r="A54" s="2" t="s">
        <v>176</v>
      </c>
      <c r="B54" s="2" t="s">
        <v>177</v>
      </c>
      <c r="C54" s="2" t="s">
        <v>73</v>
      </c>
      <c r="D54" s="2" t="s">
        <v>43</v>
      </c>
      <c r="E54" s="2" t="s">
        <v>70</v>
      </c>
      <c r="F54" s="2" t="s">
        <v>13</v>
      </c>
      <c r="G54" s="2">
        <v>93</v>
      </c>
      <c r="H54" s="2">
        <v>80</v>
      </c>
      <c r="I54" s="2" t="s">
        <v>22</v>
      </c>
    </row>
    <row r="55" spans="1:9" x14ac:dyDescent="0.3">
      <c r="A55" s="2" t="s">
        <v>178</v>
      </c>
      <c r="B55" s="2" t="s">
        <v>179</v>
      </c>
      <c r="C55" s="2" t="s">
        <v>87</v>
      </c>
      <c r="D55" s="2" t="s">
        <v>44</v>
      </c>
      <c r="E55" s="2" t="s">
        <v>27</v>
      </c>
      <c r="F55" s="2" t="s">
        <v>97</v>
      </c>
      <c r="G55" s="2">
        <v>27</v>
      </c>
      <c r="H55" s="2">
        <v>118</v>
      </c>
      <c r="I55" s="2" t="s">
        <v>15</v>
      </c>
    </row>
    <row r="56" spans="1:9" x14ac:dyDescent="0.3">
      <c r="A56" s="2" t="s">
        <v>180</v>
      </c>
      <c r="B56" s="2" t="s">
        <v>181</v>
      </c>
      <c r="C56" s="2" t="s">
        <v>56</v>
      </c>
      <c r="D56" s="2" t="s">
        <v>25</v>
      </c>
      <c r="E56" s="2" t="s">
        <v>19</v>
      </c>
      <c r="F56" s="2" t="s">
        <v>37</v>
      </c>
      <c r="G56" s="2">
        <v>96</v>
      </c>
      <c r="H56" s="2">
        <v>106</v>
      </c>
      <c r="I56" s="2" t="s">
        <v>15</v>
      </c>
    </row>
    <row r="57" spans="1:9" x14ac:dyDescent="0.3">
      <c r="A57" s="2" t="s">
        <v>182</v>
      </c>
      <c r="B57" s="2" t="s">
        <v>183</v>
      </c>
      <c r="C57" s="2" t="s">
        <v>50</v>
      </c>
      <c r="D57" s="2" t="s">
        <v>21</v>
      </c>
      <c r="E57" s="2" t="s">
        <v>38</v>
      </c>
      <c r="F57" s="2" t="s">
        <v>86</v>
      </c>
      <c r="G57" s="2">
        <v>57</v>
      </c>
      <c r="H57" s="2">
        <v>40</v>
      </c>
      <c r="I57" s="2" t="s">
        <v>22</v>
      </c>
    </row>
    <row r="58" spans="1:9" x14ac:dyDescent="0.3">
      <c r="A58" s="2" t="s">
        <v>184</v>
      </c>
      <c r="B58" s="2" t="s">
        <v>185</v>
      </c>
      <c r="C58" s="2" t="s">
        <v>81</v>
      </c>
      <c r="D58" s="2" t="s">
        <v>100</v>
      </c>
      <c r="E58" s="2" t="s">
        <v>51</v>
      </c>
      <c r="F58" s="2" t="s">
        <v>12</v>
      </c>
      <c r="G58" s="2">
        <v>37</v>
      </c>
      <c r="H58" s="2">
        <v>121</v>
      </c>
      <c r="I58" s="2" t="s">
        <v>15</v>
      </c>
    </row>
    <row r="59" spans="1:9" x14ac:dyDescent="0.3">
      <c r="A59" s="2" t="s">
        <v>186</v>
      </c>
      <c r="B59" s="2" t="s">
        <v>187</v>
      </c>
      <c r="C59" s="2" t="s">
        <v>20</v>
      </c>
      <c r="D59" s="2" t="s">
        <v>93</v>
      </c>
      <c r="E59" s="2" t="s">
        <v>32</v>
      </c>
      <c r="F59" s="2" t="s">
        <v>11</v>
      </c>
      <c r="G59" s="2">
        <v>40</v>
      </c>
      <c r="H59" s="2">
        <v>143</v>
      </c>
      <c r="I59" s="2" t="s">
        <v>15</v>
      </c>
    </row>
    <row r="60" spans="1:9" x14ac:dyDescent="0.3">
      <c r="A60" s="2" t="s">
        <v>188</v>
      </c>
      <c r="B60" s="2" t="s">
        <v>189</v>
      </c>
      <c r="C60" s="2" t="s">
        <v>80</v>
      </c>
      <c r="D60" s="2" t="s">
        <v>92</v>
      </c>
      <c r="E60" s="2" t="s">
        <v>18</v>
      </c>
      <c r="F60" s="2" t="s">
        <v>74</v>
      </c>
      <c r="G60" s="2">
        <v>65</v>
      </c>
      <c r="H60" s="2">
        <v>119</v>
      </c>
      <c r="I60" s="2" t="s">
        <v>15</v>
      </c>
    </row>
    <row r="61" spans="1:9" x14ac:dyDescent="0.3">
      <c r="A61" s="2" t="s">
        <v>190</v>
      </c>
      <c r="B61" s="2" t="s">
        <v>191</v>
      </c>
      <c r="C61" s="2" t="s">
        <v>75</v>
      </c>
      <c r="D61" s="2" t="s">
        <v>61</v>
      </c>
      <c r="E61" s="2" t="s">
        <v>26</v>
      </c>
      <c r="F61" s="2" t="s">
        <v>49</v>
      </c>
      <c r="G61" s="2">
        <v>135</v>
      </c>
      <c r="H61" s="2">
        <v>106</v>
      </c>
      <c r="I61" s="2" t="s">
        <v>22</v>
      </c>
    </row>
    <row r="62" spans="1:9" x14ac:dyDescent="0.3">
      <c r="A62" s="2" t="s">
        <v>192</v>
      </c>
      <c r="B62" s="2" t="s">
        <v>193</v>
      </c>
      <c r="C62" s="2" t="s">
        <v>52</v>
      </c>
      <c r="D62" s="2" t="s">
        <v>69</v>
      </c>
      <c r="E62" s="2" t="s">
        <v>62</v>
      </c>
      <c r="F62" s="2" t="s">
        <v>85</v>
      </c>
      <c r="G62" s="2">
        <v>45</v>
      </c>
      <c r="H62" s="2">
        <v>104</v>
      </c>
      <c r="I62" s="2" t="s">
        <v>15</v>
      </c>
    </row>
    <row r="63" spans="1:9" x14ac:dyDescent="0.3">
      <c r="A63" s="2" t="s">
        <v>194</v>
      </c>
      <c r="B63" s="2" t="s">
        <v>195</v>
      </c>
      <c r="C63" s="2" t="s">
        <v>88</v>
      </c>
      <c r="D63" s="2" t="s">
        <v>46</v>
      </c>
      <c r="E63" s="2" t="s">
        <v>103</v>
      </c>
      <c r="F63" s="2" t="s">
        <v>40</v>
      </c>
      <c r="G63" s="2">
        <v>96</v>
      </c>
      <c r="H63" s="2">
        <v>64</v>
      </c>
      <c r="I63" s="2" t="s">
        <v>22</v>
      </c>
    </row>
    <row r="64" spans="1:9" x14ac:dyDescent="0.3">
      <c r="A64" s="2" t="s">
        <v>196</v>
      </c>
      <c r="B64" s="2" t="s">
        <v>197</v>
      </c>
      <c r="C64" s="2" t="s">
        <v>99</v>
      </c>
      <c r="D64" s="2" t="s">
        <v>87</v>
      </c>
      <c r="E64" s="2" t="s">
        <v>28</v>
      </c>
      <c r="F64" s="2" t="s">
        <v>79</v>
      </c>
      <c r="G64" s="2">
        <v>45</v>
      </c>
      <c r="H64" s="2">
        <v>155</v>
      </c>
      <c r="I64" s="2" t="s">
        <v>15</v>
      </c>
    </row>
    <row r="65" spans="1:9" x14ac:dyDescent="0.3">
      <c r="A65" s="2" t="s">
        <v>198</v>
      </c>
      <c r="B65" s="2" t="s">
        <v>199</v>
      </c>
      <c r="C65" s="2" t="s">
        <v>45</v>
      </c>
      <c r="D65" s="2" t="s">
        <v>14</v>
      </c>
      <c r="E65" s="2" t="s">
        <v>51</v>
      </c>
      <c r="F65" s="2" t="s">
        <v>97</v>
      </c>
      <c r="G65" s="2">
        <v>45</v>
      </c>
      <c r="H65" s="2">
        <v>117</v>
      </c>
      <c r="I65" s="2" t="s">
        <v>15</v>
      </c>
    </row>
    <row r="66" spans="1:9" x14ac:dyDescent="0.3">
      <c r="A66" s="2" t="s">
        <v>200</v>
      </c>
      <c r="B66" s="2" t="s">
        <v>201</v>
      </c>
      <c r="C66" s="2" t="s">
        <v>37</v>
      </c>
      <c r="D66" s="2" t="s">
        <v>86</v>
      </c>
      <c r="E66" s="2" t="s">
        <v>31</v>
      </c>
      <c r="F66" s="2" t="s">
        <v>98</v>
      </c>
      <c r="G66" s="2">
        <v>111</v>
      </c>
      <c r="H66" s="2">
        <v>48</v>
      </c>
      <c r="I66" s="2" t="s">
        <v>22</v>
      </c>
    </row>
    <row r="67" spans="1:9" x14ac:dyDescent="0.3">
      <c r="A67" s="2" t="s">
        <v>202</v>
      </c>
      <c r="B67" s="2" t="s">
        <v>203</v>
      </c>
      <c r="C67" s="2" t="s">
        <v>21</v>
      </c>
      <c r="D67" s="2" t="s">
        <v>57</v>
      </c>
      <c r="E67" s="2" t="s">
        <v>80</v>
      </c>
      <c r="F67" s="2" t="s">
        <v>34</v>
      </c>
      <c r="G67" s="2">
        <v>90</v>
      </c>
      <c r="H67" s="2">
        <v>98</v>
      </c>
      <c r="I67" s="2" t="s">
        <v>15</v>
      </c>
    </row>
    <row r="68" spans="1:9" x14ac:dyDescent="0.3">
      <c r="A68" s="2" t="s">
        <v>204</v>
      </c>
      <c r="B68" s="2" t="s">
        <v>205</v>
      </c>
      <c r="C68" s="2" t="s">
        <v>104</v>
      </c>
      <c r="D68" s="2" t="s">
        <v>64</v>
      </c>
      <c r="E68" s="2" t="s">
        <v>56</v>
      </c>
      <c r="F68" s="2" t="s">
        <v>44</v>
      </c>
      <c r="G68" s="2">
        <v>109</v>
      </c>
      <c r="H68" s="2">
        <v>131</v>
      </c>
      <c r="I68" s="2" t="s">
        <v>15</v>
      </c>
    </row>
    <row r="69" spans="1:9" x14ac:dyDescent="0.3">
      <c r="A69" s="2" t="s">
        <v>206</v>
      </c>
      <c r="B69" s="2" t="s">
        <v>207</v>
      </c>
      <c r="C69" s="2" t="s">
        <v>70</v>
      </c>
      <c r="D69" s="2" t="s">
        <v>12</v>
      </c>
      <c r="E69" s="2" t="s">
        <v>58</v>
      </c>
      <c r="F69" s="2" t="s">
        <v>75</v>
      </c>
      <c r="G69" s="2">
        <v>102</v>
      </c>
      <c r="H69" s="2">
        <v>48</v>
      </c>
      <c r="I69" s="2" t="s">
        <v>22</v>
      </c>
    </row>
    <row r="70" spans="1:9" x14ac:dyDescent="0.3">
      <c r="A70" s="2" t="s">
        <v>208</v>
      </c>
      <c r="B70" s="2" t="s">
        <v>209</v>
      </c>
      <c r="C70" s="2" t="s">
        <v>100</v>
      </c>
      <c r="D70" s="2" t="s">
        <v>73</v>
      </c>
      <c r="E70" s="2" t="s">
        <v>50</v>
      </c>
      <c r="F70" s="2" t="s">
        <v>25</v>
      </c>
      <c r="G70" s="2">
        <v>32</v>
      </c>
      <c r="H70" s="2">
        <v>68</v>
      </c>
      <c r="I70" s="2" t="s">
        <v>15</v>
      </c>
    </row>
    <row r="71" spans="1:9" x14ac:dyDescent="0.3">
      <c r="A71" s="2" t="s">
        <v>210</v>
      </c>
      <c r="B71" s="2" t="s">
        <v>211</v>
      </c>
      <c r="C71" s="2" t="s">
        <v>74</v>
      </c>
      <c r="D71" s="2" t="s">
        <v>39</v>
      </c>
      <c r="E71" s="2" t="s">
        <v>103</v>
      </c>
      <c r="F71" s="2" t="s">
        <v>67</v>
      </c>
      <c r="G71" s="2">
        <v>97</v>
      </c>
      <c r="H71" s="2">
        <v>69</v>
      </c>
      <c r="I71" s="2" t="s">
        <v>22</v>
      </c>
    </row>
    <row r="72" spans="1:9" x14ac:dyDescent="0.3">
      <c r="A72" s="2" t="s">
        <v>212</v>
      </c>
      <c r="B72" s="2" t="s">
        <v>213</v>
      </c>
      <c r="C72" s="2" t="s">
        <v>62</v>
      </c>
      <c r="D72" s="2" t="s">
        <v>18</v>
      </c>
      <c r="E72" s="2" t="s">
        <v>93</v>
      </c>
      <c r="F72" s="2" t="s">
        <v>55</v>
      </c>
      <c r="G72" s="2">
        <v>104</v>
      </c>
      <c r="H72" s="2">
        <v>44</v>
      </c>
      <c r="I72" s="2" t="s">
        <v>22</v>
      </c>
    </row>
    <row r="73" spans="1:9" x14ac:dyDescent="0.3">
      <c r="A73" s="2" t="s">
        <v>214</v>
      </c>
      <c r="B73" s="2" t="s">
        <v>215</v>
      </c>
      <c r="C73" s="2" t="s">
        <v>88</v>
      </c>
      <c r="D73" s="2" t="s">
        <v>38</v>
      </c>
      <c r="E73" s="2" t="s">
        <v>81</v>
      </c>
      <c r="F73" s="2" t="s">
        <v>26</v>
      </c>
      <c r="G73" s="2">
        <v>91</v>
      </c>
      <c r="H73" s="2">
        <v>93</v>
      </c>
      <c r="I73" s="2" t="s">
        <v>15</v>
      </c>
    </row>
    <row r="74" spans="1:9" x14ac:dyDescent="0.3">
      <c r="A74" s="2" t="s">
        <v>216</v>
      </c>
      <c r="B74" s="2" t="s">
        <v>217</v>
      </c>
      <c r="C74" s="2" t="s">
        <v>40</v>
      </c>
      <c r="D74" s="2" t="s">
        <v>63</v>
      </c>
      <c r="E74" s="2" t="s">
        <v>52</v>
      </c>
      <c r="F74" s="2" t="s">
        <v>32</v>
      </c>
      <c r="G74" s="2">
        <v>104</v>
      </c>
      <c r="H74" s="2">
        <v>106</v>
      </c>
      <c r="I74" s="2" t="s">
        <v>15</v>
      </c>
    </row>
    <row r="75" spans="1:9" x14ac:dyDescent="0.3">
      <c r="A75" s="2" t="s">
        <v>218</v>
      </c>
      <c r="B75" s="2" t="s">
        <v>219</v>
      </c>
      <c r="C75" s="2" t="s">
        <v>94</v>
      </c>
      <c r="D75" s="2" t="s">
        <v>27</v>
      </c>
      <c r="E75" s="2" t="s">
        <v>61</v>
      </c>
      <c r="F75" s="2" t="s">
        <v>85</v>
      </c>
      <c r="G75" s="2">
        <v>140</v>
      </c>
      <c r="H75" s="2">
        <v>67</v>
      </c>
      <c r="I75" s="2" t="s">
        <v>22</v>
      </c>
    </row>
    <row r="76" spans="1:9" x14ac:dyDescent="0.3">
      <c r="A76" s="2" t="s">
        <v>220</v>
      </c>
      <c r="B76" s="2" t="s">
        <v>221</v>
      </c>
      <c r="C76" s="2" t="s">
        <v>76</v>
      </c>
      <c r="D76" s="2" t="s">
        <v>43</v>
      </c>
      <c r="E76" s="2" t="s">
        <v>20</v>
      </c>
      <c r="F76" s="2" t="s">
        <v>49</v>
      </c>
      <c r="G76" s="2">
        <v>142</v>
      </c>
      <c r="H76" s="2">
        <v>49</v>
      </c>
      <c r="I76" s="2" t="s">
        <v>22</v>
      </c>
    </row>
    <row r="77" spans="1:9" x14ac:dyDescent="0.3">
      <c r="A77" s="2" t="s">
        <v>222</v>
      </c>
      <c r="B77" s="2" t="s">
        <v>223</v>
      </c>
      <c r="C77" s="2" t="s">
        <v>13</v>
      </c>
      <c r="D77" s="2" t="s">
        <v>82</v>
      </c>
      <c r="E77" s="2" t="s">
        <v>69</v>
      </c>
      <c r="F77" s="2" t="s">
        <v>19</v>
      </c>
      <c r="G77" s="2">
        <v>94</v>
      </c>
      <c r="H77" s="2">
        <v>53</v>
      </c>
      <c r="I77" s="2" t="s">
        <v>22</v>
      </c>
    </row>
    <row r="78" spans="1:9" x14ac:dyDescent="0.3">
      <c r="A78" s="2" t="s">
        <v>224</v>
      </c>
      <c r="B78" s="2" t="s">
        <v>225</v>
      </c>
      <c r="C78" s="2" t="s">
        <v>11</v>
      </c>
      <c r="D78" s="2" t="s">
        <v>92</v>
      </c>
      <c r="E78" s="2" t="s">
        <v>46</v>
      </c>
      <c r="F78" s="2" t="s">
        <v>68</v>
      </c>
      <c r="G78" s="2">
        <v>113</v>
      </c>
      <c r="H78" s="2">
        <v>63</v>
      </c>
      <c r="I78" s="2" t="s">
        <v>22</v>
      </c>
    </row>
    <row r="79" spans="1:9" x14ac:dyDescent="0.3">
      <c r="A79" s="2" t="s">
        <v>226</v>
      </c>
      <c r="B79" s="2" t="s">
        <v>227</v>
      </c>
      <c r="C79" s="2" t="s">
        <v>91</v>
      </c>
      <c r="D79" s="2" t="s">
        <v>33</v>
      </c>
      <c r="E79" s="2" t="s">
        <v>67</v>
      </c>
      <c r="F79" s="2" t="s">
        <v>87</v>
      </c>
      <c r="G79" s="2">
        <v>132</v>
      </c>
      <c r="H79" s="2">
        <v>49</v>
      </c>
      <c r="I79" s="2" t="s">
        <v>22</v>
      </c>
    </row>
    <row r="80" spans="1:9" x14ac:dyDescent="0.3">
      <c r="A80" s="2" t="s">
        <v>228</v>
      </c>
      <c r="B80" s="2" t="s">
        <v>229</v>
      </c>
      <c r="C80" s="2" t="s">
        <v>81</v>
      </c>
      <c r="D80" s="2" t="s">
        <v>55</v>
      </c>
      <c r="E80" s="2" t="s">
        <v>21</v>
      </c>
      <c r="F80" s="2" t="s">
        <v>75</v>
      </c>
      <c r="G80" s="2">
        <v>75</v>
      </c>
      <c r="H80" s="2">
        <v>100</v>
      </c>
      <c r="I80" s="2" t="s">
        <v>15</v>
      </c>
    </row>
    <row r="81" spans="1:9" x14ac:dyDescent="0.3">
      <c r="A81" s="2" t="s">
        <v>230</v>
      </c>
      <c r="B81" s="2" t="s">
        <v>231</v>
      </c>
      <c r="C81" s="2" t="s">
        <v>97</v>
      </c>
      <c r="D81" s="2" t="s">
        <v>25</v>
      </c>
      <c r="E81" s="2" t="s">
        <v>88</v>
      </c>
      <c r="F81" s="2" t="s">
        <v>58</v>
      </c>
      <c r="G81" s="2">
        <v>39</v>
      </c>
      <c r="H81" s="2">
        <v>116</v>
      </c>
      <c r="I81" s="2" t="s">
        <v>15</v>
      </c>
    </row>
    <row r="82" spans="1:9" x14ac:dyDescent="0.3">
      <c r="A82" s="2" t="s">
        <v>232</v>
      </c>
      <c r="B82" s="2" t="s">
        <v>233</v>
      </c>
      <c r="C82" s="2" t="s">
        <v>28</v>
      </c>
      <c r="D82" s="2" t="s">
        <v>52</v>
      </c>
      <c r="E82" s="2" t="s">
        <v>61</v>
      </c>
      <c r="F82" s="2" t="s">
        <v>31</v>
      </c>
      <c r="G82" s="2">
        <v>108</v>
      </c>
      <c r="H82" s="2">
        <v>52</v>
      </c>
      <c r="I82" s="2" t="s">
        <v>22</v>
      </c>
    </row>
    <row r="83" spans="1:9" x14ac:dyDescent="0.3">
      <c r="A83" s="2" t="s">
        <v>234</v>
      </c>
      <c r="B83" s="2" t="s">
        <v>235</v>
      </c>
      <c r="C83" s="2" t="s">
        <v>103</v>
      </c>
      <c r="D83" s="2" t="s">
        <v>85</v>
      </c>
      <c r="E83" s="2" t="s">
        <v>14</v>
      </c>
      <c r="F83" s="2" t="s">
        <v>73</v>
      </c>
      <c r="G83" s="2">
        <v>45</v>
      </c>
      <c r="H83" s="2">
        <v>108</v>
      </c>
      <c r="I83" s="2" t="s">
        <v>15</v>
      </c>
    </row>
    <row r="84" spans="1:9" x14ac:dyDescent="0.3">
      <c r="A84" s="2" t="s">
        <v>236</v>
      </c>
      <c r="B84" s="2" t="s">
        <v>237</v>
      </c>
      <c r="C84" s="2" t="s">
        <v>82</v>
      </c>
      <c r="D84" s="2" t="s">
        <v>38</v>
      </c>
      <c r="E84" s="2" t="s">
        <v>62</v>
      </c>
      <c r="F84" s="2" t="s">
        <v>99</v>
      </c>
      <c r="G84" s="2">
        <v>30</v>
      </c>
      <c r="H84" s="2">
        <v>73</v>
      </c>
      <c r="I84" s="2" t="s">
        <v>15</v>
      </c>
    </row>
    <row r="85" spans="1:9" x14ac:dyDescent="0.3">
      <c r="A85" s="2" t="s">
        <v>238</v>
      </c>
      <c r="B85" s="2" t="s">
        <v>239</v>
      </c>
      <c r="C85" s="2" t="s">
        <v>51</v>
      </c>
      <c r="D85" s="2" t="s">
        <v>32</v>
      </c>
      <c r="E85" s="2" t="s">
        <v>76</v>
      </c>
      <c r="F85" s="2" t="s">
        <v>104</v>
      </c>
      <c r="G85" s="2">
        <v>80</v>
      </c>
      <c r="H85" s="2">
        <v>85</v>
      </c>
      <c r="I85" s="2" t="s">
        <v>15</v>
      </c>
    </row>
    <row r="86" spans="1:9" x14ac:dyDescent="0.3">
      <c r="A86" s="2" t="s">
        <v>240</v>
      </c>
      <c r="B86" s="2" t="s">
        <v>241</v>
      </c>
      <c r="C86" s="2" t="s">
        <v>46</v>
      </c>
      <c r="D86" s="2" t="s">
        <v>64</v>
      </c>
      <c r="E86" s="2" t="s">
        <v>94</v>
      </c>
      <c r="F86" s="2" t="s">
        <v>100</v>
      </c>
      <c r="G86" s="2">
        <v>127</v>
      </c>
      <c r="H86" s="2">
        <v>34</v>
      </c>
      <c r="I86" s="2" t="s">
        <v>22</v>
      </c>
    </row>
    <row r="87" spans="1:9" x14ac:dyDescent="0.3">
      <c r="A87" s="2" t="s">
        <v>242</v>
      </c>
      <c r="B87" s="2" t="s">
        <v>243</v>
      </c>
      <c r="C87" s="2" t="s">
        <v>11</v>
      </c>
      <c r="D87" s="2" t="s">
        <v>91</v>
      </c>
      <c r="E87" s="2" t="s">
        <v>18</v>
      </c>
      <c r="F87" s="2" t="s">
        <v>57</v>
      </c>
      <c r="G87" s="2">
        <v>56</v>
      </c>
      <c r="H87" s="2">
        <v>97</v>
      </c>
      <c r="I87" s="2" t="s">
        <v>15</v>
      </c>
    </row>
    <row r="88" spans="1:9" x14ac:dyDescent="0.3">
      <c r="A88" s="2" t="s">
        <v>244</v>
      </c>
      <c r="B88" s="2" t="s">
        <v>245</v>
      </c>
      <c r="C88" s="2" t="s">
        <v>20</v>
      </c>
      <c r="D88" s="2" t="s">
        <v>13</v>
      </c>
      <c r="E88" s="2" t="s">
        <v>39</v>
      </c>
      <c r="F88" s="2" t="s">
        <v>92</v>
      </c>
      <c r="G88" s="2">
        <v>40</v>
      </c>
      <c r="H88" s="2">
        <v>88</v>
      </c>
      <c r="I88" s="2" t="s">
        <v>15</v>
      </c>
    </row>
    <row r="89" spans="1:9" x14ac:dyDescent="0.3">
      <c r="A89" s="2" t="s">
        <v>246</v>
      </c>
      <c r="B89" s="2" t="s">
        <v>247</v>
      </c>
      <c r="C89" s="2" t="s">
        <v>68</v>
      </c>
      <c r="D89" s="2" t="s">
        <v>80</v>
      </c>
      <c r="E89" s="2" t="s">
        <v>86</v>
      </c>
      <c r="F89" s="2" t="s">
        <v>12</v>
      </c>
      <c r="G89" s="2">
        <v>43</v>
      </c>
      <c r="H89" s="2">
        <v>60</v>
      </c>
      <c r="I89" s="2" t="s">
        <v>15</v>
      </c>
    </row>
    <row r="90" spans="1:9" x14ac:dyDescent="0.3">
      <c r="A90" s="2" t="s">
        <v>248</v>
      </c>
      <c r="B90" s="2" t="s">
        <v>249</v>
      </c>
      <c r="C90" s="2" t="s">
        <v>45</v>
      </c>
      <c r="D90" s="2" t="s">
        <v>98</v>
      </c>
      <c r="E90" s="2" t="s">
        <v>26</v>
      </c>
      <c r="F90" s="2" t="s">
        <v>63</v>
      </c>
      <c r="G90" s="2">
        <v>115</v>
      </c>
      <c r="H90" s="2">
        <v>40</v>
      </c>
      <c r="I90" s="2" t="s">
        <v>22</v>
      </c>
    </row>
    <row r="91" spans="1:9" x14ac:dyDescent="0.3">
      <c r="A91" s="2" t="s">
        <v>250</v>
      </c>
      <c r="B91" s="2" t="s">
        <v>251</v>
      </c>
      <c r="C91" s="2" t="s">
        <v>40</v>
      </c>
      <c r="D91" s="2" t="s">
        <v>93</v>
      </c>
      <c r="E91" s="2" t="s">
        <v>70</v>
      </c>
      <c r="F91" s="2" t="s">
        <v>56</v>
      </c>
      <c r="G91" s="2">
        <v>65</v>
      </c>
      <c r="H91" s="2">
        <v>113</v>
      </c>
      <c r="I91" s="2" t="s">
        <v>15</v>
      </c>
    </row>
    <row r="92" spans="1:9" x14ac:dyDescent="0.3">
      <c r="A92" s="2" t="s">
        <v>252</v>
      </c>
      <c r="B92" s="2" t="s">
        <v>253</v>
      </c>
      <c r="C92" s="2" t="s">
        <v>49</v>
      </c>
      <c r="D92" s="2" t="s">
        <v>69</v>
      </c>
      <c r="E92" s="2" t="s">
        <v>44</v>
      </c>
      <c r="F92" s="2" t="s">
        <v>37</v>
      </c>
      <c r="G92" s="2">
        <v>73</v>
      </c>
      <c r="H92" s="2">
        <v>86</v>
      </c>
      <c r="I92" s="2" t="s">
        <v>15</v>
      </c>
    </row>
    <row r="93" spans="1:9" x14ac:dyDescent="0.3">
      <c r="A93" s="2" t="s">
        <v>254</v>
      </c>
      <c r="B93" s="2" t="s">
        <v>255</v>
      </c>
      <c r="C93" s="2" t="s">
        <v>79</v>
      </c>
      <c r="D93" s="2" t="s">
        <v>74</v>
      </c>
      <c r="E93" s="2" t="s">
        <v>33</v>
      </c>
      <c r="F93" s="2" t="s">
        <v>43</v>
      </c>
      <c r="G93" s="2">
        <v>75</v>
      </c>
      <c r="H93" s="2">
        <v>157</v>
      </c>
      <c r="I93" s="2" t="s">
        <v>15</v>
      </c>
    </row>
    <row r="94" spans="1:9" x14ac:dyDescent="0.3">
      <c r="A94" s="2" t="s">
        <v>256</v>
      </c>
      <c r="B94" s="2" t="s">
        <v>257</v>
      </c>
      <c r="C94" s="2" t="s">
        <v>50</v>
      </c>
      <c r="D94" s="2" t="s">
        <v>34</v>
      </c>
      <c r="E94" s="2" t="s">
        <v>19</v>
      </c>
      <c r="F94" s="2" t="s">
        <v>27</v>
      </c>
      <c r="G94" s="2">
        <v>52</v>
      </c>
      <c r="H94" s="2">
        <v>89</v>
      </c>
      <c r="I94" s="2" t="s">
        <v>15</v>
      </c>
    </row>
    <row r="95" spans="1:9" x14ac:dyDescent="0.3">
      <c r="A95" s="2" t="s">
        <v>258</v>
      </c>
      <c r="B95" s="2" t="s">
        <v>259</v>
      </c>
      <c r="C95" s="2" t="s">
        <v>97</v>
      </c>
      <c r="D95" s="2" t="s">
        <v>52</v>
      </c>
      <c r="E95" s="2" t="s">
        <v>82</v>
      </c>
      <c r="F95" s="2" t="s">
        <v>55</v>
      </c>
      <c r="G95" s="2">
        <v>60</v>
      </c>
      <c r="H95" s="2">
        <v>41</v>
      </c>
      <c r="I95" s="2" t="s">
        <v>22</v>
      </c>
    </row>
    <row r="96" spans="1:9" x14ac:dyDescent="0.3">
      <c r="A96" s="2" t="s">
        <v>260</v>
      </c>
      <c r="B96" s="2" t="s">
        <v>261</v>
      </c>
      <c r="C96" s="2" t="s">
        <v>12</v>
      </c>
      <c r="D96" s="2" t="s">
        <v>62</v>
      </c>
      <c r="E96" s="2" t="s">
        <v>88</v>
      </c>
      <c r="F96" s="2" t="s">
        <v>20</v>
      </c>
      <c r="G96" s="2">
        <v>86</v>
      </c>
      <c r="H96" s="2">
        <v>93</v>
      </c>
      <c r="I96" s="2" t="s">
        <v>15</v>
      </c>
    </row>
    <row r="97" spans="1:9" x14ac:dyDescent="0.3">
      <c r="A97" s="2" t="s">
        <v>262</v>
      </c>
      <c r="B97" s="2" t="s">
        <v>263</v>
      </c>
      <c r="C97" s="2" t="s">
        <v>63</v>
      </c>
      <c r="D97" s="2" t="s">
        <v>25</v>
      </c>
      <c r="E97" s="2" t="s">
        <v>31</v>
      </c>
      <c r="F97" s="2" t="s">
        <v>85</v>
      </c>
      <c r="G97" s="2">
        <v>59</v>
      </c>
      <c r="H97" s="2">
        <v>148</v>
      </c>
      <c r="I97" s="2" t="s">
        <v>15</v>
      </c>
    </row>
    <row r="98" spans="1:9" x14ac:dyDescent="0.3">
      <c r="A98" s="2" t="s">
        <v>264</v>
      </c>
      <c r="B98" s="2" t="s">
        <v>265</v>
      </c>
      <c r="C98" s="2" t="s">
        <v>98</v>
      </c>
      <c r="D98" s="2" t="s">
        <v>67</v>
      </c>
      <c r="E98" s="2" t="s">
        <v>13</v>
      </c>
      <c r="F98" s="2" t="s">
        <v>75</v>
      </c>
      <c r="G98" s="2">
        <v>54</v>
      </c>
      <c r="H98" s="2">
        <v>72</v>
      </c>
      <c r="I98" s="2" t="s">
        <v>15</v>
      </c>
    </row>
    <row r="99" spans="1:9" x14ac:dyDescent="0.3">
      <c r="A99" s="2" t="s">
        <v>266</v>
      </c>
      <c r="B99" s="2" t="s">
        <v>267</v>
      </c>
      <c r="C99" s="2" t="s">
        <v>100</v>
      </c>
      <c r="D99" s="2" t="s">
        <v>92</v>
      </c>
      <c r="E99" s="2" t="s">
        <v>58</v>
      </c>
      <c r="F99" s="2" t="s">
        <v>44</v>
      </c>
      <c r="G99" s="2">
        <v>60</v>
      </c>
      <c r="H99" s="2">
        <v>97</v>
      </c>
      <c r="I99" s="2" t="s">
        <v>15</v>
      </c>
    </row>
    <row r="100" spans="1:9" x14ac:dyDescent="0.3">
      <c r="A100" s="2" t="s">
        <v>268</v>
      </c>
      <c r="B100" s="2" t="s">
        <v>269</v>
      </c>
      <c r="C100" s="2" t="s">
        <v>61</v>
      </c>
      <c r="D100" s="2" t="s">
        <v>14</v>
      </c>
      <c r="E100" s="2" t="s">
        <v>21</v>
      </c>
      <c r="F100" s="2" t="s">
        <v>32</v>
      </c>
      <c r="G100" s="2">
        <v>80</v>
      </c>
      <c r="H100" s="2">
        <v>118</v>
      </c>
      <c r="I100" s="2" t="s">
        <v>15</v>
      </c>
    </row>
    <row r="101" spans="1:9" x14ac:dyDescent="0.3">
      <c r="A101" s="2" t="s">
        <v>270</v>
      </c>
      <c r="B101" s="2" t="s">
        <v>271</v>
      </c>
      <c r="C101" s="2" t="s">
        <v>28</v>
      </c>
      <c r="D101" s="2" t="s">
        <v>104</v>
      </c>
      <c r="E101" s="2" t="s">
        <v>73</v>
      </c>
      <c r="F101" s="2" t="s">
        <v>11</v>
      </c>
      <c r="G101" s="2">
        <v>98</v>
      </c>
      <c r="H101" s="2">
        <v>86</v>
      </c>
      <c r="I101" s="2" t="s">
        <v>22</v>
      </c>
    </row>
    <row r="102" spans="1:9" x14ac:dyDescent="0.3">
      <c r="A102" s="2" t="s">
        <v>272</v>
      </c>
      <c r="B102" s="2" t="s">
        <v>273</v>
      </c>
      <c r="C102" s="2" t="s">
        <v>56</v>
      </c>
      <c r="D102" s="2" t="s">
        <v>80</v>
      </c>
      <c r="E102" s="2" t="s">
        <v>69</v>
      </c>
      <c r="F102" s="2" t="s">
        <v>46</v>
      </c>
      <c r="G102" s="2">
        <v>130</v>
      </c>
      <c r="H102" s="2">
        <v>35</v>
      </c>
      <c r="I102" s="2" t="s">
        <v>22</v>
      </c>
    </row>
    <row r="103" spans="1:9" x14ac:dyDescent="0.3">
      <c r="A103" s="2" t="s">
        <v>274</v>
      </c>
      <c r="B103" s="2" t="s">
        <v>275</v>
      </c>
      <c r="C103" s="2" t="s">
        <v>45</v>
      </c>
      <c r="D103" s="2" t="s">
        <v>49</v>
      </c>
      <c r="E103" s="2" t="s">
        <v>19</v>
      </c>
      <c r="F103" s="2" t="s">
        <v>87</v>
      </c>
      <c r="G103" s="2">
        <v>144</v>
      </c>
      <c r="H103" s="2">
        <v>69</v>
      </c>
      <c r="I103" s="2" t="s">
        <v>22</v>
      </c>
    </row>
    <row r="104" spans="1:9" x14ac:dyDescent="0.3">
      <c r="A104" s="2" t="s">
        <v>276</v>
      </c>
      <c r="B104" s="2" t="s">
        <v>277</v>
      </c>
      <c r="C104" s="2" t="s">
        <v>64</v>
      </c>
      <c r="D104" s="2" t="s">
        <v>57</v>
      </c>
      <c r="E104" s="2" t="s">
        <v>37</v>
      </c>
      <c r="F104" s="2" t="s">
        <v>99</v>
      </c>
      <c r="G104" s="2">
        <v>103</v>
      </c>
      <c r="H104" s="2">
        <v>40</v>
      </c>
      <c r="I104" s="2" t="s">
        <v>22</v>
      </c>
    </row>
    <row r="105" spans="1:9" x14ac:dyDescent="0.3">
      <c r="A105" s="2" t="s">
        <v>278</v>
      </c>
      <c r="B105" s="2" t="s">
        <v>279</v>
      </c>
      <c r="C105" s="2" t="s">
        <v>33</v>
      </c>
      <c r="D105" s="2" t="s">
        <v>40</v>
      </c>
      <c r="E105" s="2" t="s">
        <v>18</v>
      </c>
      <c r="F105" s="2" t="s">
        <v>86</v>
      </c>
      <c r="G105" s="2">
        <v>84</v>
      </c>
      <c r="H105" s="2">
        <v>105</v>
      </c>
      <c r="I105" s="2" t="s">
        <v>15</v>
      </c>
    </row>
    <row r="106" spans="1:9" x14ac:dyDescent="0.3">
      <c r="A106" s="2" t="s">
        <v>280</v>
      </c>
      <c r="B106" s="2" t="s">
        <v>281</v>
      </c>
      <c r="C106" s="2" t="s">
        <v>68</v>
      </c>
      <c r="D106" s="2" t="s">
        <v>93</v>
      </c>
      <c r="E106" s="2" t="s">
        <v>43</v>
      </c>
      <c r="F106" s="2" t="s">
        <v>34</v>
      </c>
      <c r="G106" s="2">
        <v>48</v>
      </c>
      <c r="H106" s="2">
        <v>155</v>
      </c>
      <c r="I106" s="2" t="s">
        <v>15</v>
      </c>
    </row>
    <row r="107" spans="1:9" x14ac:dyDescent="0.3">
      <c r="A107" s="2" t="s">
        <v>282</v>
      </c>
      <c r="B107" s="2" t="s">
        <v>283</v>
      </c>
      <c r="C107" s="2" t="s">
        <v>39</v>
      </c>
      <c r="D107" s="2" t="s">
        <v>94</v>
      </c>
      <c r="E107" s="2" t="s">
        <v>50</v>
      </c>
      <c r="F107" s="2" t="s">
        <v>81</v>
      </c>
      <c r="G107" s="2">
        <v>95</v>
      </c>
      <c r="H107" s="2">
        <v>88</v>
      </c>
      <c r="I107" s="2" t="s">
        <v>22</v>
      </c>
    </row>
    <row r="108" spans="1:9" x14ac:dyDescent="0.3">
      <c r="A108" s="2" t="s">
        <v>284</v>
      </c>
      <c r="B108" s="2" t="s">
        <v>285</v>
      </c>
      <c r="C108" s="2" t="s">
        <v>103</v>
      </c>
      <c r="D108" s="2" t="s">
        <v>27</v>
      </c>
      <c r="E108" s="2" t="s">
        <v>79</v>
      </c>
      <c r="F108" s="2" t="s">
        <v>76</v>
      </c>
      <c r="G108" s="2">
        <v>82</v>
      </c>
      <c r="H108" s="2">
        <v>65</v>
      </c>
      <c r="I108" s="2" t="s">
        <v>22</v>
      </c>
    </row>
    <row r="109" spans="1:9" x14ac:dyDescent="0.3">
      <c r="A109" s="2" t="s">
        <v>286</v>
      </c>
      <c r="B109" s="2" t="s">
        <v>287</v>
      </c>
      <c r="C109" s="2" t="s">
        <v>51</v>
      </c>
      <c r="D109" s="2" t="s">
        <v>26</v>
      </c>
      <c r="E109" s="2" t="s">
        <v>91</v>
      </c>
      <c r="F109" s="2" t="s">
        <v>74</v>
      </c>
      <c r="G109" s="2">
        <v>110</v>
      </c>
      <c r="H109" s="2">
        <v>84</v>
      </c>
      <c r="I109" s="2" t="s">
        <v>22</v>
      </c>
    </row>
    <row r="110" spans="1:9" x14ac:dyDescent="0.3">
      <c r="A110" s="2" t="s">
        <v>288</v>
      </c>
      <c r="B110" s="2" t="s">
        <v>289</v>
      </c>
      <c r="C110" s="2" t="s">
        <v>44</v>
      </c>
      <c r="D110" s="2" t="s">
        <v>70</v>
      </c>
      <c r="E110" s="2" t="s">
        <v>38</v>
      </c>
      <c r="F110" s="2" t="s">
        <v>98</v>
      </c>
      <c r="G110" s="2">
        <v>79</v>
      </c>
      <c r="H110" s="2">
        <v>63</v>
      </c>
      <c r="I110" s="2" t="s">
        <v>22</v>
      </c>
    </row>
    <row r="111" spans="1:9" x14ac:dyDescent="0.3">
      <c r="A111" s="2" t="s">
        <v>290</v>
      </c>
      <c r="B111" s="2" t="s">
        <v>291</v>
      </c>
      <c r="C111" s="2" t="s">
        <v>85</v>
      </c>
      <c r="D111" s="2" t="s">
        <v>19</v>
      </c>
      <c r="E111" s="2" t="s">
        <v>104</v>
      </c>
      <c r="F111" s="2" t="s">
        <v>97</v>
      </c>
      <c r="G111" s="2">
        <v>77</v>
      </c>
      <c r="H111" s="2">
        <v>79</v>
      </c>
      <c r="I111" s="2" t="s">
        <v>15</v>
      </c>
    </row>
    <row r="112" spans="1:9" x14ac:dyDescent="0.3">
      <c r="A112" s="2" t="s">
        <v>292</v>
      </c>
      <c r="B112" s="2" t="s">
        <v>293</v>
      </c>
      <c r="C112" s="2" t="s">
        <v>86</v>
      </c>
      <c r="D112" s="2" t="s">
        <v>46</v>
      </c>
      <c r="E112" s="2" t="s">
        <v>25</v>
      </c>
      <c r="F112" s="2" t="s">
        <v>52</v>
      </c>
      <c r="G112" s="2">
        <v>135</v>
      </c>
      <c r="H112" s="2">
        <v>35</v>
      </c>
      <c r="I112" s="2" t="s">
        <v>22</v>
      </c>
    </row>
    <row r="113" spans="1:9" x14ac:dyDescent="0.3">
      <c r="A113" s="2" t="s">
        <v>294</v>
      </c>
      <c r="B113" s="2" t="s">
        <v>295</v>
      </c>
      <c r="C113" s="2" t="s">
        <v>18</v>
      </c>
      <c r="D113" s="2" t="s">
        <v>87</v>
      </c>
      <c r="E113" s="2" t="s">
        <v>43</v>
      </c>
      <c r="F113" s="2" t="s">
        <v>82</v>
      </c>
      <c r="G113" s="2">
        <v>64</v>
      </c>
      <c r="H113" s="2">
        <v>97</v>
      </c>
      <c r="I113" s="2" t="s">
        <v>15</v>
      </c>
    </row>
    <row r="114" spans="1:9" x14ac:dyDescent="0.3">
      <c r="A114" s="2" t="s">
        <v>296</v>
      </c>
      <c r="B114" s="2" t="s">
        <v>297</v>
      </c>
      <c r="C114" s="2" t="s">
        <v>58</v>
      </c>
      <c r="D114" s="2" t="s">
        <v>93</v>
      </c>
      <c r="E114" s="2" t="s">
        <v>39</v>
      </c>
      <c r="F114" s="2" t="s">
        <v>28</v>
      </c>
      <c r="G114" s="2">
        <v>90</v>
      </c>
      <c r="H114" s="2">
        <v>99</v>
      </c>
      <c r="I114" s="2" t="s">
        <v>15</v>
      </c>
    </row>
    <row r="115" spans="1:9" x14ac:dyDescent="0.3">
      <c r="A115" s="2" t="s">
        <v>298</v>
      </c>
      <c r="B115" s="2" t="s">
        <v>299</v>
      </c>
      <c r="C115" s="2" t="s">
        <v>34</v>
      </c>
      <c r="D115" s="2" t="s">
        <v>14</v>
      </c>
      <c r="E115" s="2" t="s">
        <v>100</v>
      </c>
      <c r="F115" s="2" t="s">
        <v>67</v>
      </c>
      <c r="G115" s="2">
        <v>121</v>
      </c>
      <c r="H115" s="2">
        <v>54</v>
      </c>
      <c r="I115" s="2" t="s">
        <v>22</v>
      </c>
    </row>
    <row r="116" spans="1:9" x14ac:dyDescent="0.3">
      <c r="A116" s="2" t="s">
        <v>300</v>
      </c>
      <c r="B116" s="2" t="s">
        <v>301</v>
      </c>
      <c r="C116" s="2" t="s">
        <v>11</v>
      </c>
      <c r="D116" s="2" t="s">
        <v>76</v>
      </c>
      <c r="E116" s="2" t="s">
        <v>62</v>
      </c>
      <c r="F116" s="2" t="s">
        <v>50</v>
      </c>
      <c r="G116" s="2">
        <v>44</v>
      </c>
      <c r="H116" s="2">
        <v>102</v>
      </c>
      <c r="I116" s="2" t="s">
        <v>15</v>
      </c>
    </row>
    <row r="117" spans="1:9" x14ac:dyDescent="0.3">
      <c r="A117" s="2" t="s">
        <v>302</v>
      </c>
      <c r="B117" s="2" t="s">
        <v>303</v>
      </c>
      <c r="C117" s="2" t="s">
        <v>75</v>
      </c>
      <c r="D117" s="2" t="s">
        <v>32</v>
      </c>
      <c r="E117" s="2" t="s">
        <v>38</v>
      </c>
      <c r="F117" s="2" t="s">
        <v>57</v>
      </c>
      <c r="G117" s="2">
        <v>96</v>
      </c>
      <c r="H117" s="2">
        <v>43</v>
      </c>
      <c r="I117" s="2" t="s">
        <v>22</v>
      </c>
    </row>
    <row r="118" spans="1:9" x14ac:dyDescent="0.3">
      <c r="A118" s="2" t="s">
        <v>304</v>
      </c>
      <c r="B118" s="2" t="s">
        <v>305</v>
      </c>
      <c r="C118" s="2" t="s">
        <v>31</v>
      </c>
      <c r="D118" s="2" t="s">
        <v>49</v>
      </c>
      <c r="E118" s="2" t="s">
        <v>91</v>
      </c>
      <c r="F118" s="2" t="s">
        <v>70</v>
      </c>
      <c r="G118" s="2">
        <v>49</v>
      </c>
      <c r="H118" s="2">
        <v>73</v>
      </c>
      <c r="I118" s="2" t="s">
        <v>15</v>
      </c>
    </row>
    <row r="119" spans="1:9" x14ac:dyDescent="0.3">
      <c r="A119" s="2" t="s">
        <v>306</v>
      </c>
      <c r="B119" s="2" t="s">
        <v>307</v>
      </c>
      <c r="C119" s="2" t="s">
        <v>21</v>
      </c>
      <c r="D119" s="2" t="s">
        <v>56</v>
      </c>
      <c r="E119" s="2" t="s">
        <v>45</v>
      </c>
      <c r="F119" s="2" t="s">
        <v>79</v>
      </c>
      <c r="G119" s="2">
        <v>148</v>
      </c>
      <c r="H119" s="2">
        <v>48</v>
      </c>
      <c r="I119" s="2" t="s">
        <v>22</v>
      </c>
    </row>
    <row r="120" spans="1:9" x14ac:dyDescent="0.3">
      <c r="A120" s="2" t="s">
        <v>308</v>
      </c>
      <c r="B120" s="2" t="s">
        <v>309</v>
      </c>
      <c r="C120" s="2" t="s">
        <v>69</v>
      </c>
      <c r="D120" s="2" t="s">
        <v>27</v>
      </c>
      <c r="E120" s="2" t="s">
        <v>40</v>
      </c>
      <c r="F120" s="2" t="s">
        <v>12</v>
      </c>
      <c r="G120" s="2">
        <v>67</v>
      </c>
      <c r="H120" s="2">
        <v>55</v>
      </c>
      <c r="I120" s="2" t="s">
        <v>22</v>
      </c>
    </row>
    <row r="121" spans="1:9" x14ac:dyDescent="0.3">
      <c r="A121" s="2" t="s">
        <v>310</v>
      </c>
      <c r="B121" s="2" t="s">
        <v>311</v>
      </c>
      <c r="C121" s="2" t="s">
        <v>13</v>
      </c>
      <c r="D121" s="2" t="s">
        <v>63</v>
      </c>
      <c r="E121" s="2" t="s">
        <v>81</v>
      </c>
      <c r="F121" s="2" t="s">
        <v>68</v>
      </c>
      <c r="G121" s="2">
        <v>82</v>
      </c>
      <c r="H121" s="2">
        <v>55</v>
      </c>
      <c r="I121" s="2" t="s">
        <v>22</v>
      </c>
    </row>
    <row r="122" spans="1:9" x14ac:dyDescent="0.3">
      <c r="A122" s="2" t="s">
        <v>312</v>
      </c>
      <c r="B122" s="2" t="s">
        <v>313</v>
      </c>
      <c r="C122" s="2" t="s">
        <v>26</v>
      </c>
      <c r="D122" s="2" t="s">
        <v>64</v>
      </c>
      <c r="E122" s="2" t="s">
        <v>33</v>
      </c>
      <c r="F122" s="2" t="s">
        <v>92</v>
      </c>
      <c r="G122" s="2">
        <v>90</v>
      </c>
      <c r="H122" s="2">
        <v>114</v>
      </c>
      <c r="I122" s="2" t="s">
        <v>15</v>
      </c>
    </row>
    <row r="123" spans="1:9" x14ac:dyDescent="0.3">
      <c r="A123" s="2" t="s">
        <v>314</v>
      </c>
      <c r="B123" s="2" t="s">
        <v>315</v>
      </c>
      <c r="C123" s="2" t="s">
        <v>61</v>
      </c>
      <c r="D123" s="2" t="s">
        <v>37</v>
      </c>
      <c r="E123" s="2" t="s">
        <v>103</v>
      </c>
      <c r="F123" s="2" t="s">
        <v>51</v>
      </c>
      <c r="G123" s="2">
        <v>86</v>
      </c>
      <c r="H123" s="2">
        <v>139</v>
      </c>
      <c r="I123" s="2" t="s">
        <v>15</v>
      </c>
    </row>
    <row r="124" spans="1:9" x14ac:dyDescent="0.3">
      <c r="A124" s="2" t="s">
        <v>316</v>
      </c>
      <c r="B124" s="2" t="s">
        <v>317</v>
      </c>
      <c r="C124" s="2" t="s">
        <v>20</v>
      </c>
      <c r="D124" s="2" t="s">
        <v>99</v>
      </c>
      <c r="E124" s="2" t="s">
        <v>74</v>
      </c>
      <c r="F124" s="2" t="s">
        <v>94</v>
      </c>
      <c r="G124" s="2">
        <v>56</v>
      </c>
      <c r="H124" s="2">
        <v>121</v>
      </c>
      <c r="I124" s="2" t="s">
        <v>15</v>
      </c>
    </row>
    <row r="125" spans="1:9" x14ac:dyDescent="0.3">
      <c r="A125" s="2" t="s">
        <v>318</v>
      </c>
      <c r="B125" s="2" t="s">
        <v>319</v>
      </c>
      <c r="C125" s="2" t="s">
        <v>88</v>
      </c>
      <c r="D125" s="2" t="s">
        <v>73</v>
      </c>
      <c r="E125" s="2" t="s">
        <v>80</v>
      </c>
      <c r="F125" s="2" t="s">
        <v>55</v>
      </c>
      <c r="G125" s="2">
        <v>118</v>
      </c>
      <c r="H125" s="2">
        <v>52</v>
      </c>
      <c r="I125" s="2" t="s">
        <v>22</v>
      </c>
    </row>
    <row r="126" spans="1:9" x14ac:dyDescent="0.3">
      <c r="A126" s="2" t="s">
        <v>320</v>
      </c>
      <c r="B126" s="2" t="s">
        <v>321</v>
      </c>
      <c r="C126" s="2" t="s">
        <v>34</v>
      </c>
      <c r="D126" s="2" t="s">
        <v>98</v>
      </c>
      <c r="E126" s="2" t="s">
        <v>79</v>
      </c>
      <c r="F126" s="2" t="s">
        <v>25</v>
      </c>
      <c r="G126" s="2">
        <v>91</v>
      </c>
      <c r="H126" s="2">
        <v>72</v>
      </c>
      <c r="I126" s="2" t="s">
        <v>22</v>
      </c>
    </row>
    <row r="127" spans="1:9" x14ac:dyDescent="0.3">
      <c r="A127" s="2" t="s">
        <v>322</v>
      </c>
      <c r="B127" s="2" t="s">
        <v>323</v>
      </c>
      <c r="C127" s="2" t="s">
        <v>75</v>
      </c>
      <c r="D127" s="2" t="s">
        <v>28</v>
      </c>
      <c r="E127" s="2" t="s">
        <v>19</v>
      </c>
      <c r="F127" s="2" t="s">
        <v>46</v>
      </c>
      <c r="G127" s="2">
        <v>144</v>
      </c>
      <c r="H127" s="2">
        <v>72</v>
      </c>
      <c r="I127" s="2" t="s">
        <v>22</v>
      </c>
    </row>
    <row r="128" spans="1:9" x14ac:dyDescent="0.3">
      <c r="A128" s="2" t="s">
        <v>324</v>
      </c>
      <c r="B128" s="2" t="s">
        <v>325</v>
      </c>
      <c r="C128" s="2" t="s">
        <v>67</v>
      </c>
      <c r="D128" s="2" t="s">
        <v>31</v>
      </c>
      <c r="E128" s="2" t="s">
        <v>27</v>
      </c>
      <c r="F128" s="2" t="s">
        <v>11</v>
      </c>
      <c r="G128" s="2">
        <v>52</v>
      </c>
      <c r="H128" s="2">
        <v>143</v>
      </c>
      <c r="I128" s="2" t="s">
        <v>15</v>
      </c>
    </row>
    <row r="129" spans="1:9" x14ac:dyDescent="0.3">
      <c r="A129" s="2" t="s">
        <v>326</v>
      </c>
      <c r="B129" s="2" t="s">
        <v>327</v>
      </c>
      <c r="C129" s="2" t="s">
        <v>86</v>
      </c>
      <c r="D129" s="2" t="s">
        <v>14</v>
      </c>
      <c r="E129" s="2" t="s">
        <v>92</v>
      </c>
      <c r="F129" s="2" t="s">
        <v>104</v>
      </c>
      <c r="G129" s="2"/>
      <c r="H129" s="2">
        <v>83</v>
      </c>
      <c r="I129" s="2" t="s">
        <v>15</v>
      </c>
    </row>
    <row r="130" spans="1:9" x14ac:dyDescent="0.3">
      <c r="A130" s="2" t="s">
        <v>328</v>
      </c>
      <c r="B130" s="2" t="s">
        <v>329</v>
      </c>
      <c r="C130" s="2" t="s">
        <v>103</v>
      </c>
      <c r="D130" s="2" t="s">
        <v>32</v>
      </c>
      <c r="E130" s="2" t="s">
        <v>64</v>
      </c>
      <c r="F130" s="2" t="s">
        <v>68</v>
      </c>
      <c r="G130" s="2">
        <v>150</v>
      </c>
      <c r="H130" s="2">
        <v>87</v>
      </c>
      <c r="I130" s="2" t="s">
        <v>22</v>
      </c>
    </row>
    <row r="131" spans="1:9" x14ac:dyDescent="0.3">
      <c r="A131" s="2" t="s">
        <v>330</v>
      </c>
      <c r="B131" s="2" t="s">
        <v>331</v>
      </c>
      <c r="C131" s="2" t="s">
        <v>21</v>
      </c>
      <c r="D131" s="2" t="s">
        <v>33</v>
      </c>
      <c r="E131" s="2" t="s">
        <v>44</v>
      </c>
      <c r="F131" s="2" t="s">
        <v>12</v>
      </c>
      <c r="G131" s="2">
        <v>104</v>
      </c>
      <c r="H131" s="2">
        <v>63</v>
      </c>
      <c r="I131" s="2" t="s">
        <v>22</v>
      </c>
    </row>
    <row r="132" spans="1:9" x14ac:dyDescent="0.3">
      <c r="A132" s="2" t="s">
        <v>332</v>
      </c>
      <c r="B132" s="2" t="s">
        <v>333</v>
      </c>
      <c r="C132" s="2" t="s">
        <v>55</v>
      </c>
      <c r="D132" s="2" t="s">
        <v>39</v>
      </c>
      <c r="E132" s="2" t="s">
        <v>70</v>
      </c>
      <c r="F132" s="2" t="s">
        <v>100</v>
      </c>
      <c r="G132" s="2">
        <v>66</v>
      </c>
      <c r="H132" s="2">
        <v>62</v>
      </c>
      <c r="I132" s="2" t="s">
        <v>22</v>
      </c>
    </row>
    <row r="133" spans="1:9" x14ac:dyDescent="0.3">
      <c r="A133" s="2" t="s">
        <v>334</v>
      </c>
      <c r="B133" s="2" t="s">
        <v>335</v>
      </c>
      <c r="C133" s="2" t="s">
        <v>61</v>
      </c>
      <c r="D133" s="2" t="s">
        <v>87</v>
      </c>
      <c r="E133" s="2" t="s">
        <v>74</v>
      </c>
      <c r="F133" s="2" t="s">
        <v>38</v>
      </c>
      <c r="G133" s="2">
        <v>43</v>
      </c>
      <c r="H133" s="2">
        <v>84</v>
      </c>
      <c r="I133" s="2" t="s">
        <v>15</v>
      </c>
    </row>
    <row r="134" spans="1:9" x14ac:dyDescent="0.3">
      <c r="A134" s="2" t="s">
        <v>336</v>
      </c>
      <c r="B134" s="2" t="s">
        <v>337</v>
      </c>
      <c r="C134" s="2" t="s">
        <v>43</v>
      </c>
      <c r="D134" s="2" t="s">
        <v>37</v>
      </c>
      <c r="E134" s="2" t="s">
        <v>80</v>
      </c>
      <c r="F134" s="2" t="s">
        <v>62</v>
      </c>
      <c r="G134" s="2">
        <v>95</v>
      </c>
      <c r="H134" s="2">
        <v>63</v>
      </c>
      <c r="I134" s="2" t="s">
        <v>22</v>
      </c>
    </row>
    <row r="135" spans="1:9" x14ac:dyDescent="0.3">
      <c r="A135" s="2" t="s">
        <v>338</v>
      </c>
      <c r="B135" s="2" t="s">
        <v>339</v>
      </c>
      <c r="C135" s="2" t="s">
        <v>99</v>
      </c>
      <c r="D135" s="2" t="s">
        <v>40</v>
      </c>
      <c r="E135" s="2" t="s">
        <v>58</v>
      </c>
      <c r="F135" s="2" t="s">
        <v>49</v>
      </c>
      <c r="G135" s="2">
        <v>73</v>
      </c>
      <c r="H135" s="2">
        <v>111</v>
      </c>
      <c r="I135" s="2" t="s">
        <v>15</v>
      </c>
    </row>
    <row r="136" spans="1:9" x14ac:dyDescent="0.3">
      <c r="A136" s="2" t="s">
        <v>340</v>
      </c>
      <c r="B136" s="2" t="s">
        <v>341</v>
      </c>
      <c r="C136" s="2" t="s">
        <v>13</v>
      </c>
      <c r="D136" s="2" t="s">
        <v>52</v>
      </c>
      <c r="E136" s="2" t="s">
        <v>45</v>
      </c>
      <c r="F136" s="2" t="s">
        <v>88</v>
      </c>
      <c r="G136" s="2">
        <v>68</v>
      </c>
      <c r="H136" s="2">
        <v>72</v>
      </c>
      <c r="I136" s="2" t="s">
        <v>15</v>
      </c>
    </row>
    <row r="137" spans="1:9" x14ac:dyDescent="0.3">
      <c r="A137" s="2" t="s">
        <v>342</v>
      </c>
      <c r="B137" s="2" t="s">
        <v>343</v>
      </c>
      <c r="C137" s="2" t="s">
        <v>94</v>
      </c>
      <c r="D137" s="2" t="s">
        <v>18</v>
      </c>
      <c r="E137" s="2" t="s">
        <v>76</v>
      </c>
      <c r="F137" s="2" t="s">
        <v>69</v>
      </c>
      <c r="G137" s="2">
        <v>113</v>
      </c>
      <c r="H137" s="2">
        <v>27</v>
      </c>
      <c r="I137" s="2" t="s">
        <v>22</v>
      </c>
    </row>
    <row r="138" spans="1:9" x14ac:dyDescent="0.3">
      <c r="A138" s="2" t="s">
        <v>344</v>
      </c>
      <c r="B138" s="2" t="s">
        <v>345</v>
      </c>
      <c r="C138" s="2" t="s">
        <v>81</v>
      </c>
      <c r="D138" s="2" t="s">
        <v>91</v>
      </c>
      <c r="E138" s="2" t="s">
        <v>73</v>
      </c>
      <c r="F138" s="2" t="s">
        <v>56</v>
      </c>
      <c r="G138" s="2">
        <v>70</v>
      </c>
      <c r="H138" s="2">
        <v>161</v>
      </c>
      <c r="I138" s="2" t="s">
        <v>15</v>
      </c>
    </row>
    <row r="139" spans="1:9" x14ac:dyDescent="0.3">
      <c r="A139" s="2" t="s">
        <v>346</v>
      </c>
      <c r="B139" s="2" t="s">
        <v>347</v>
      </c>
      <c r="C139" s="2" t="s">
        <v>50</v>
      </c>
      <c r="D139" s="2" t="s">
        <v>26</v>
      </c>
      <c r="E139" s="2" t="s">
        <v>93</v>
      </c>
      <c r="F139" s="2" t="s">
        <v>97</v>
      </c>
      <c r="G139" s="2">
        <v>69</v>
      </c>
      <c r="H139" s="2">
        <v>48</v>
      </c>
      <c r="I139" s="2" t="s">
        <v>22</v>
      </c>
    </row>
    <row r="140" spans="1:9" x14ac:dyDescent="0.3">
      <c r="A140" s="2" t="s">
        <v>348</v>
      </c>
      <c r="B140" s="2" t="s">
        <v>349</v>
      </c>
      <c r="C140" s="2" t="s">
        <v>20</v>
      </c>
      <c r="D140" s="2" t="s">
        <v>82</v>
      </c>
      <c r="E140" s="2" t="s">
        <v>51</v>
      </c>
      <c r="F140" s="2" t="s">
        <v>63</v>
      </c>
      <c r="G140" s="2">
        <v>37</v>
      </c>
      <c r="H140" s="2">
        <v>72</v>
      </c>
      <c r="I140" s="2" t="s">
        <v>15</v>
      </c>
    </row>
    <row r="141" spans="1:9" x14ac:dyDescent="0.3">
      <c r="A141" s="2" t="s">
        <v>350</v>
      </c>
      <c r="B141" s="2" t="s">
        <v>351</v>
      </c>
      <c r="C141" s="2" t="s">
        <v>57</v>
      </c>
      <c r="D141" s="2" t="s">
        <v>85</v>
      </c>
      <c r="E141" s="2" t="s">
        <v>43</v>
      </c>
      <c r="F141" s="2" t="s">
        <v>12</v>
      </c>
      <c r="G141" s="2">
        <v>70</v>
      </c>
      <c r="H141" s="2">
        <v>125</v>
      </c>
      <c r="I141" s="2" t="s">
        <v>15</v>
      </c>
    </row>
    <row r="142" spans="1:9" x14ac:dyDescent="0.3">
      <c r="A142" s="2" t="s">
        <v>352</v>
      </c>
      <c r="B142" s="2" t="s">
        <v>353</v>
      </c>
      <c r="C142" s="2" t="s">
        <v>27</v>
      </c>
      <c r="D142" s="2" t="s">
        <v>43</v>
      </c>
      <c r="E142" s="2" t="s">
        <v>88</v>
      </c>
      <c r="F142" s="2" t="s">
        <v>92</v>
      </c>
      <c r="G142" s="2">
        <v>121</v>
      </c>
      <c r="H142" s="2">
        <v>85</v>
      </c>
      <c r="I142" s="2" t="s">
        <v>22</v>
      </c>
    </row>
    <row r="143" spans="1:9" x14ac:dyDescent="0.3">
      <c r="A143" s="2" t="s">
        <v>354</v>
      </c>
      <c r="B143" s="2" t="s">
        <v>355</v>
      </c>
      <c r="C143" s="2" t="s">
        <v>70</v>
      </c>
      <c r="D143" s="2" t="s">
        <v>97</v>
      </c>
      <c r="E143" s="2" t="s">
        <v>28</v>
      </c>
      <c r="F143" s="2" t="s">
        <v>50</v>
      </c>
      <c r="G143" s="2">
        <v>103</v>
      </c>
      <c r="H143" s="2">
        <v>120</v>
      </c>
      <c r="I143" s="2" t="s">
        <v>15</v>
      </c>
    </row>
    <row r="144" spans="1:9" x14ac:dyDescent="0.3">
      <c r="A144" s="2" t="s">
        <v>356</v>
      </c>
      <c r="B144" s="2" t="s">
        <v>357</v>
      </c>
      <c r="C144" s="2" t="s">
        <v>13</v>
      </c>
      <c r="D144" s="2" t="s">
        <v>86</v>
      </c>
      <c r="E144" s="2" t="s">
        <v>33</v>
      </c>
      <c r="F144" s="2" t="s">
        <v>51</v>
      </c>
      <c r="G144" s="2">
        <v>138</v>
      </c>
      <c r="H144" s="2">
        <v>122</v>
      </c>
      <c r="I144" s="2" t="s">
        <v>22</v>
      </c>
    </row>
    <row r="145" spans="1:9" x14ac:dyDescent="0.3">
      <c r="A145" s="2" t="s">
        <v>358</v>
      </c>
      <c r="B145" s="2" t="s">
        <v>359</v>
      </c>
      <c r="C145" s="2" t="s">
        <v>58</v>
      </c>
      <c r="D145" s="2" t="s">
        <v>74</v>
      </c>
      <c r="E145" s="2" t="s">
        <v>73</v>
      </c>
      <c r="F145" s="2" t="s">
        <v>56</v>
      </c>
      <c r="G145" s="2">
        <v>107</v>
      </c>
      <c r="H145" s="2">
        <v>78</v>
      </c>
      <c r="I145" s="2" t="s">
        <v>22</v>
      </c>
    </row>
    <row r="146" spans="1:9" x14ac:dyDescent="0.3">
      <c r="A146" s="2" t="s">
        <v>360</v>
      </c>
      <c r="B146" s="2" t="s">
        <v>361</v>
      </c>
      <c r="C146" s="2" t="s">
        <v>27</v>
      </c>
      <c r="D146" s="2" t="s">
        <v>43</v>
      </c>
      <c r="E146" s="2" t="s">
        <v>28</v>
      </c>
      <c r="F146" s="2" t="s">
        <v>50</v>
      </c>
      <c r="G146" s="2">
        <v>119</v>
      </c>
      <c r="H146" s="2">
        <v>87</v>
      </c>
      <c r="I146" s="2" t="s">
        <v>22</v>
      </c>
    </row>
    <row r="147" spans="1:9" x14ac:dyDescent="0.3">
      <c r="A147" s="2" t="s">
        <v>362</v>
      </c>
      <c r="B147" s="2" t="s">
        <v>363</v>
      </c>
      <c r="C147" s="2" t="s">
        <v>13</v>
      </c>
      <c r="D147" s="2" t="s">
        <v>86</v>
      </c>
      <c r="E147" s="2" t="s">
        <v>58</v>
      </c>
      <c r="F147" s="2" t="s">
        <v>74</v>
      </c>
      <c r="G147" s="2">
        <v>130</v>
      </c>
      <c r="H147" s="2">
        <v>93</v>
      </c>
      <c r="I147" s="2" t="s">
        <v>22</v>
      </c>
    </row>
    <row r="148" spans="1:9" x14ac:dyDescent="0.3">
      <c r="A148" s="2" t="s">
        <v>364</v>
      </c>
      <c r="B148" s="2" t="s">
        <v>365</v>
      </c>
      <c r="C148" s="2" t="s">
        <v>27</v>
      </c>
      <c r="D148" s="2" t="s">
        <v>43</v>
      </c>
      <c r="E148" s="2" t="s">
        <v>13</v>
      </c>
      <c r="F148" s="2" t="s">
        <v>86</v>
      </c>
      <c r="G148" s="2">
        <v>123</v>
      </c>
      <c r="H148" s="2">
        <v>130</v>
      </c>
      <c r="I148" s="2" t="s">
        <v>15</v>
      </c>
    </row>
    <row r="149" spans="1:9" x14ac:dyDescent="0.3">
      <c r="A149" s="2" t="s">
        <v>366</v>
      </c>
      <c r="B149" s="2" t="s">
        <v>367</v>
      </c>
      <c r="C149" s="2" t="s">
        <v>27</v>
      </c>
      <c r="D149" s="2" t="s">
        <v>43</v>
      </c>
      <c r="E149" s="2" t="s">
        <v>13</v>
      </c>
      <c r="F149" s="2" t="s">
        <v>86</v>
      </c>
      <c r="G149" s="2">
        <v>148</v>
      </c>
      <c r="H149" s="2">
        <v>124</v>
      </c>
      <c r="I149" s="2" t="s">
        <v>22</v>
      </c>
    </row>
    <row r="150" spans="1:9" x14ac:dyDescent="0.3">
      <c r="A150" s="2" t="s">
        <v>368</v>
      </c>
      <c r="B150" s="2" t="s">
        <v>369</v>
      </c>
      <c r="C150" s="2" t="s">
        <v>27</v>
      </c>
      <c r="D150" s="2" t="s">
        <v>43</v>
      </c>
      <c r="E150" s="2" t="s">
        <v>13</v>
      </c>
      <c r="F150" s="2" t="s">
        <v>86</v>
      </c>
      <c r="G150" s="2">
        <v>152</v>
      </c>
      <c r="H150" s="2">
        <v>142</v>
      </c>
      <c r="I150" s="2" t="s">
        <v>22</v>
      </c>
    </row>
    <row r="151" spans="1:9" x14ac:dyDescent="0.3">
      <c r="A151" s="2" t="s">
        <v>370</v>
      </c>
      <c r="B151" s="2" t="s">
        <v>371</v>
      </c>
      <c r="C151" s="2" t="s">
        <v>27</v>
      </c>
      <c r="D151" s="2" t="s">
        <v>43</v>
      </c>
      <c r="E151" s="2" t="s">
        <v>63</v>
      </c>
      <c r="F151" s="2" t="s">
        <v>64</v>
      </c>
      <c r="G151" s="2">
        <v>138</v>
      </c>
      <c r="H151" s="2">
        <v>67</v>
      </c>
      <c r="I151" s="2" t="s">
        <v>22</v>
      </c>
    </row>
    <row r="152" spans="1:9" x14ac:dyDescent="0.3">
      <c r="A152" s="2" t="s">
        <v>372</v>
      </c>
      <c r="B152" s="2" t="s">
        <v>373</v>
      </c>
      <c r="C152" s="2" t="s">
        <v>88</v>
      </c>
      <c r="D152" s="2" t="s">
        <v>92</v>
      </c>
      <c r="E152" s="2" t="s">
        <v>18</v>
      </c>
      <c r="F152" s="2" t="s">
        <v>39</v>
      </c>
      <c r="G152" s="2">
        <v>107</v>
      </c>
      <c r="H152" s="2">
        <v>78</v>
      </c>
      <c r="I152" s="2" t="s">
        <v>22</v>
      </c>
    </row>
    <row r="153" spans="1:9" x14ac:dyDescent="0.3">
      <c r="A153" s="2" t="s">
        <v>374</v>
      </c>
      <c r="B153" s="2" t="s">
        <v>375</v>
      </c>
      <c r="C153" s="2" t="s">
        <v>70</v>
      </c>
      <c r="D153" s="2" t="s">
        <v>97</v>
      </c>
      <c r="E153" s="2" t="s">
        <v>57</v>
      </c>
      <c r="F153" s="2" t="s">
        <v>94</v>
      </c>
      <c r="G153" s="2">
        <v>130</v>
      </c>
      <c r="H153" s="2">
        <v>93</v>
      </c>
      <c r="I153" s="2" t="s">
        <v>22</v>
      </c>
    </row>
    <row r="154" spans="1:9" x14ac:dyDescent="0.3">
      <c r="A154" s="2" t="s">
        <v>376</v>
      </c>
      <c r="B154" s="2" t="s">
        <v>377</v>
      </c>
      <c r="C154" s="2" t="s">
        <v>28</v>
      </c>
      <c r="D154" s="2" t="s">
        <v>50</v>
      </c>
      <c r="E154" s="2" t="s">
        <v>52</v>
      </c>
      <c r="F154" s="2" t="s">
        <v>19</v>
      </c>
      <c r="G154" s="2">
        <v>121</v>
      </c>
      <c r="H154" s="2">
        <v>71</v>
      </c>
      <c r="I154" s="2" t="s">
        <v>22</v>
      </c>
    </row>
    <row r="155" spans="1:9" x14ac:dyDescent="0.3">
      <c r="A155" s="2" t="s">
        <v>378</v>
      </c>
      <c r="B155" s="2" t="s">
        <v>379</v>
      </c>
      <c r="C155" s="2" t="s">
        <v>13</v>
      </c>
      <c r="D155" s="2" t="s">
        <v>86</v>
      </c>
      <c r="E155" s="2" t="s">
        <v>104</v>
      </c>
      <c r="F155" s="2" t="s">
        <v>14</v>
      </c>
      <c r="G155" s="2">
        <v>120</v>
      </c>
      <c r="H155" s="2"/>
      <c r="I155" s="2" t="s">
        <v>22</v>
      </c>
    </row>
    <row r="156" spans="1:9" x14ac:dyDescent="0.3">
      <c r="A156" s="2" t="s">
        <v>380</v>
      </c>
      <c r="B156" s="2" t="s">
        <v>381</v>
      </c>
      <c r="C156" s="2" t="s">
        <v>34</v>
      </c>
      <c r="D156" s="2" t="s">
        <v>80</v>
      </c>
      <c r="E156" s="2" t="s">
        <v>33</v>
      </c>
      <c r="F156" s="2" t="s">
        <v>51</v>
      </c>
      <c r="G156" s="2">
        <v>108</v>
      </c>
      <c r="H156" s="2">
        <v>148</v>
      </c>
      <c r="I156" s="2" t="s">
        <v>15</v>
      </c>
    </row>
    <row r="157" spans="1:9" x14ac:dyDescent="0.3">
      <c r="A157" s="2" t="s">
        <v>382</v>
      </c>
      <c r="B157" s="2" t="s">
        <v>383</v>
      </c>
      <c r="C157" s="2" t="s">
        <v>58</v>
      </c>
      <c r="D157" s="2" t="s">
        <v>74</v>
      </c>
      <c r="E157" s="2" t="s">
        <v>44</v>
      </c>
      <c r="F157" s="2" t="s">
        <v>49</v>
      </c>
      <c r="G157" s="2">
        <v>158</v>
      </c>
      <c r="H157" s="2">
        <v>90</v>
      </c>
      <c r="I157" s="2" t="s">
        <v>22</v>
      </c>
    </row>
    <row r="158" spans="1:9" x14ac:dyDescent="0.3">
      <c r="A158" s="2" t="s">
        <v>384</v>
      </c>
      <c r="B158" s="2" t="s">
        <v>385</v>
      </c>
      <c r="C158" s="2" t="s">
        <v>73</v>
      </c>
      <c r="D158" s="2" t="s">
        <v>56</v>
      </c>
      <c r="E158" s="2" t="s">
        <v>32</v>
      </c>
      <c r="F158" s="2" t="s">
        <v>75</v>
      </c>
      <c r="G158" s="2">
        <v>133</v>
      </c>
      <c r="H158" s="2">
        <v>90</v>
      </c>
      <c r="I158" s="2" t="s">
        <v>22</v>
      </c>
    </row>
    <row r="159" spans="1:9" x14ac:dyDescent="0.3">
      <c r="A159" s="3" t="s">
        <v>386</v>
      </c>
      <c r="B159" s="3" t="s">
        <v>10</v>
      </c>
      <c r="C159" s="3" t="s">
        <v>387</v>
      </c>
      <c r="D159" s="3" t="s">
        <v>388</v>
      </c>
      <c r="E159" s="3" t="s">
        <v>389</v>
      </c>
      <c r="F159" s="3" t="s">
        <v>390</v>
      </c>
      <c r="G159" s="3">
        <v>17</v>
      </c>
      <c r="H159" s="3">
        <v>73</v>
      </c>
      <c r="I159" s="3" t="s">
        <v>15</v>
      </c>
    </row>
    <row r="160" spans="1:9" x14ac:dyDescent="0.3">
      <c r="A160" s="3" t="s">
        <v>391</v>
      </c>
      <c r="B160" s="3" t="s">
        <v>17</v>
      </c>
      <c r="C160" s="3" t="s">
        <v>392</v>
      </c>
      <c r="D160" s="3" t="s">
        <v>393</v>
      </c>
      <c r="E160" s="3" t="s">
        <v>394</v>
      </c>
      <c r="F160" s="3" t="s">
        <v>395</v>
      </c>
      <c r="G160" s="3">
        <v>109</v>
      </c>
      <c r="H160" s="3">
        <v>129</v>
      </c>
      <c r="I160" s="3" t="s">
        <v>15</v>
      </c>
    </row>
    <row r="161" spans="1:9" x14ac:dyDescent="0.3">
      <c r="A161" s="3" t="s">
        <v>23</v>
      </c>
      <c r="B161" s="3" t="s">
        <v>24</v>
      </c>
      <c r="C161" s="3" t="s">
        <v>396</v>
      </c>
      <c r="D161" s="3" t="s">
        <v>397</v>
      </c>
      <c r="E161" s="3" t="s">
        <v>398</v>
      </c>
      <c r="F161" s="3" t="s">
        <v>399</v>
      </c>
      <c r="G161" s="3">
        <v>60</v>
      </c>
      <c r="H161" s="3">
        <v>89</v>
      </c>
      <c r="I161" s="3" t="s">
        <v>15</v>
      </c>
    </row>
    <row r="162" spans="1:9" x14ac:dyDescent="0.3">
      <c r="A162" s="3" t="s">
        <v>400</v>
      </c>
      <c r="B162" s="3" t="s">
        <v>30</v>
      </c>
      <c r="C162" s="3" t="s">
        <v>401</v>
      </c>
      <c r="D162" s="3" t="s">
        <v>402</v>
      </c>
      <c r="E162" s="3" t="s">
        <v>403</v>
      </c>
      <c r="F162" s="3" t="s">
        <v>404</v>
      </c>
      <c r="G162" s="3">
        <v>57</v>
      </c>
      <c r="H162" s="3">
        <v>118</v>
      </c>
      <c r="I162" s="3" t="s">
        <v>15</v>
      </c>
    </row>
    <row r="163" spans="1:9" x14ac:dyDescent="0.3">
      <c r="A163" s="3" t="s">
        <v>405</v>
      </c>
      <c r="B163" s="3" t="s">
        <v>36</v>
      </c>
      <c r="C163" s="3" t="s">
        <v>406</v>
      </c>
      <c r="D163" s="3" t="s">
        <v>407</v>
      </c>
      <c r="E163" s="3" t="s">
        <v>408</v>
      </c>
      <c r="F163" s="3" t="s">
        <v>409</v>
      </c>
      <c r="G163" s="3">
        <v>89</v>
      </c>
      <c r="H163" s="3">
        <v>113</v>
      </c>
      <c r="I163" s="3" t="s">
        <v>15</v>
      </c>
    </row>
    <row r="164" spans="1:9" x14ac:dyDescent="0.3">
      <c r="A164" s="3" t="s">
        <v>410</v>
      </c>
      <c r="B164" s="3" t="s">
        <v>42</v>
      </c>
      <c r="C164" s="3" t="s">
        <v>411</v>
      </c>
      <c r="D164" s="3" t="s">
        <v>412</v>
      </c>
      <c r="E164" s="3" t="s">
        <v>413</v>
      </c>
      <c r="F164" s="3" t="s">
        <v>414</v>
      </c>
      <c r="G164" s="3">
        <v>112</v>
      </c>
      <c r="H164" s="3">
        <v>65</v>
      </c>
      <c r="I164" s="3" t="s">
        <v>22</v>
      </c>
    </row>
    <row r="165" spans="1:9" x14ac:dyDescent="0.3">
      <c r="A165" s="3" t="s">
        <v>415</v>
      </c>
      <c r="B165" s="3" t="s">
        <v>48</v>
      </c>
      <c r="C165" s="3" t="s">
        <v>416</v>
      </c>
      <c r="D165" s="3" t="s">
        <v>417</v>
      </c>
      <c r="E165" s="3" t="s">
        <v>418</v>
      </c>
      <c r="F165" s="3" t="s">
        <v>419</v>
      </c>
      <c r="G165" s="3">
        <v>99</v>
      </c>
      <c r="H165" s="3">
        <v>97</v>
      </c>
      <c r="I165" s="3" t="s">
        <v>22</v>
      </c>
    </row>
    <row r="166" spans="1:9" x14ac:dyDescent="0.3">
      <c r="A166" s="3" t="s">
        <v>420</v>
      </c>
      <c r="B166" s="3" t="s">
        <v>54</v>
      </c>
      <c r="C166" s="3" t="s">
        <v>421</v>
      </c>
      <c r="D166" s="3" t="s">
        <v>422</v>
      </c>
      <c r="E166" s="3" t="s">
        <v>423</v>
      </c>
      <c r="F166" s="3" t="s">
        <v>424</v>
      </c>
      <c r="G166" s="3">
        <v>59</v>
      </c>
      <c r="H166" s="3">
        <v>42</v>
      </c>
      <c r="I166" s="3" t="s">
        <v>22</v>
      </c>
    </row>
    <row r="167" spans="1:9" x14ac:dyDescent="0.3">
      <c r="A167" s="3" t="s">
        <v>425</v>
      </c>
      <c r="B167" s="3" t="s">
        <v>60</v>
      </c>
      <c r="C167" s="3" t="s">
        <v>426</v>
      </c>
      <c r="D167" s="3" t="s">
        <v>427</v>
      </c>
      <c r="E167" s="3" t="s">
        <v>428</v>
      </c>
      <c r="F167" s="3" t="s">
        <v>429</v>
      </c>
      <c r="G167" s="3">
        <v>132</v>
      </c>
      <c r="H167" s="3">
        <v>118</v>
      </c>
      <c r="I167" s="3" t="s">
        <v>22</v>
      </c>
    </row>
    <row r="168" spans="1:9" x14ac:dyDescent="0.3">
      <c r="A168" s="3" t="s">
        <v>430</v>
      </c>
      <c r="B168" s="3" t="s">
        <v>66</v>
      </c>
      <c r="C168" s="3" t="s">
        <v>431</v>
      </c>
      <c r="D168" s="3" t="s">
        <v>432</v>
      </c>
      <c r="E168" s="3" t="s">
        <v>433</v>
      </c>
      <c r="F168" s="3" t="s">
        <v>434</v>
      </c>
      <c r="G168" s="3">
        <v>48</v>
      </c>
      <c r="H168" s="3">
        <v>125</v>
      </c>
      <c r="I168" s="3" t="s">
        <v>15</v>
      </c>
    </row>
    <row r="169" spans="1:9" x14ac:dyDescent="0.3">
      <c r="A169" s="3" t="s">
        <v>435</v>
      </c>
      <c r="B169" s="3" t="s">
        <v>72</v>
      </c>
      <c r="C169" s="3" t="s">
        <v>436</v>
      </c>
      <c r="D169" s="3" t="s">
        <v>437</v>
      </c>
      <c r="E169" s="3" t="s">
        <v>438</v>
      </c>
      <c r="F169" s="3" t="s">
        <v>439</v>
      </c>
      <c r="G169" s="3">
        <v>186</v>
      </c>
      <c r="H169" s="3">
        <v>55</v>
      </c>
      <c r="I169" s="3" t="s">
        <v>22</v>
      </c>
    </row>
    <row r="170" spans="1:9" x14ac:dyDescent="0.3">
      <c r="A170" s="3" t="s">
        <v>440</v>
      </c>
      <c r="B170" s="3" t="s">
        <v>78</v>
      </c>
      <c r="C170" s="3" t="s">
        <v>441</v>
      </c>
      <c r="D170" s="3" t="s">
        <v>442</v>
      </c>
      <c r="E170" s="3" t="s">
        <v>443</v>
      </c>
      <c r="F170" s="3" t="s">
        <v>444</v>
      </c>
      <c r="G170" s="3">
        <v>113</v>
      </c>
      <c r="H170" s="3">
        <v>90</v>
      </c>
      <c r="I170" s="3" t="s">
        <v>22</v>
      </c>
    </row>
    <row r="171" spans="1:9" x14ac:dyDescent="0.3">
      <c r="A171" s="3" t="s">
        <v>445</v>
      </c>
      <c r="B171" s="3" t="s">
        <v>84</v>
      </c>
      <c r="C171" s="3" t="s">
        <v>446</v>
      </c>
      <c r="D171" s="3" t="s">
        <v>447</v>
      </c>
      <c r="E171" s="3" t="s">
        <v>448</v>
      </c>
      <c r="F171" s="3" t="s">
        <v>449</v>
      </c>
      <c r="G171" s="3">
        <v>149</v>
      </c>
      <c r="H171" s="3">
        <v>62</v>
      </c>
      <c r="I171" s="3" t="s">
        <v>22</v>
      </c>
    </row>
    <row r="172" spans="1:9" x14ac:dyDescent="0.3">
      <c r="A172" s="3" t="s">
        <v>450</v>
      </c>
      <c r="B172" s="3" t="s">
        <v>90</v>
      </c>
      <c r="C172" s="3" t="s">
        <v>451</v>
      </c>
      <c r="D172" s="3" t="s">
        <v>452</v>
      </c>
      <c r="E172" s="3" t="s">
        <v>453</v>
      </c>
      <c r="F172" s="3" t="s">
        <v>454</v>
      </c>
      <c r="G172" s="3">
        <v>54</v>
      </c>
      <c r="H172" s="3">
        <v>200</v>
      </c>
      <c r="I172" s="3" t="s">
        <v>15</v>
      </c>
    </row>
    <row r="173" spans="1:9" x14ac:dyDescent="0.3">
      <c r="A173" s="3" t="s">
        <v>89</v>
      </c>
      <c r="B173" s="3" t="s">
        <v>96</v>
      </c>
      <c r="C173" s="3" t="s">
        <v>455</v>
      </c>
      <c r="D173" s="3" t="s">
        <v>456</v>
      </c>
      <c r="E173" s="3" t="s">
        <v>457</v>
      </c>
      <c r="F173" s="3" t="s">
        <v>458</v>
      </c>
      <c r="G173" s="3">
        <v>73</v>
      </c>
      <c r="H173" s="3">
        <v>89</v>
      </c>
      <c r="I173" s="3" t="s">
        <v>15</v>
      </c>
    </row>
    <row r="174" spans="1:9" x14ac:dyDescent="0.3">
      <c r="A174" s="3" t="s">
        <v>459</v>
      </c>
      <c r="B174" s="3" t="s">
        <v>102</v>
      </c>
      <c r="C174" s="3" t="s">
        <v>460</v>
      </c>
      <c r="D174" s="3" t="s">
        <v>461</v>
      </c>
      <c r="E174" s="3" t="s">
        <v>404</v>
      </c>
      <c r="F174" s="3" t="s">
        <v>426</v>
      </c>
      <c r="G174" s="3">
        <v>62</v>
      </c>
      <c r="H174" s="3">
        <v>47</v>
      </c>
      <c r="I174" s="3" t="s">
        <v>22</v>
      </c>
    </row>
    <row r="175" spans="1:9" x14ac:dyDescent="0.3">
      <c r="A175" s="3" t="s">
        <v>462</v>
      </c>
      <c r="B175" s="3" t="s">
        <v>106</v>
      </c>
      <c r="C175" s="3" t="s">
        <v>399</v>
      </c>
      <c r="D175" s="3" t="s">
        <v>387</v>
      </c>
      <c r="E175" s="3" t="s">
        <v>431</v>
      </c>
      <c r="F175" s="3" t="s">
        <v>407</v>
      </c>
      <c r="G175" s="3">
        <v>37</v>
      </c>
      <c r="H175" s="3">
        <v>41</v>
      </c>
      <c r="I175" s="3" t="s">
        <v>15</v>
      </c>
    </row>
    <row r="176" spans="1:9" x14ac:dyDescent="0.3">
      <c r="A176" s="3" t="s">
        <v>109</v>
      </c>
      <c r="B176" s="3" t="s">
        <v>108</v>
      </c>
      <c r="C176" s="3" t="s">
        <v>418</v>
      </c>
      <c r="D176" s="3" t="s">
        <v>389</v>
      </c>
      <c r="E176" s="3" t="s">
        <v>412</v>
      </c>
      <c r="F176" s="3" t="s">
        <v>394</v>
      </c>
      <c r="G176" s="3">
        <v>107</v>
      </c>
      <c r="H176" s="3">
        <v>105</v>
      </c>
      <c r="I176" s="3" t="s">
        <v>22</v>
      </c>
    </row>
    <row r="177" spans="1:9" x14ac:dyDescent="0.3">
      <c r="A177" s="3" t="s">
        <v>463</v>
      </c>
      <c r="B177" s="3" t="s">
        <v>110</v>
      </c>
      <c r="C177" s="3" t="s">
        <v>444</v>
      </c>
      <c r="D177" s="3" t="s">
        <v>438</v>
      </c>
      <c r="E177" s="3" t="s">
        <v>416</v>
      </c>
      <c r="F177" s="3" t="s">
        <v>422</v>
      </c>
      <c r="G177" s="3">
        <v>128</v>
      </c>
      <c r="H177" s="3">
        <v>134</v>
      </c>
      <c r="I177" s="3" t="s">
        <v>15</v>
      </c>
    </row>
    <row r="178" spans="1:9" x14ac:dyDescent="0.3">
      <c r="A178" s="3" t="s">
        <v>464</v>
      </c>
      <c r="B178" s="3" t="s">
        <v>112</v>
      </c>
      <c r="C178" s="3" t="s">
        <v>419</v>
      </c>
      <c r="D178" s="3" t="s">
        <v>428</v>
      </c>
      <c r="E178" s="3" t="s">
        <v>393</v>
      </c>
      <c r="F178" s="3" t="s">
        <v>402</v>
      </c>
      <c r="G178" s="3">
        <v>130</v>
      </c>
      <c r="H178" s="3">
        <v>70</v>
      </c>
      <c r="I178" s="3" t="s">
        <v>22</v>
      </c>
    </row>
    <row r="179" spans="1:9" x14ac:dyDescent="0.3">
      <c r="A179" s="3" t="s">
        <v>465</v>
      </c>
      <c r="B179" s="3" t="s">
        <v>114</v>
      </c>
      <c r="C179" s="3" t="s">
        <v>437</v>
      </c>
      <c r="D179" s="3" t="s">
        <v>403</v>
      </c>
      <c r="E179" s="3" t="s">
        <v>447</v>
      </c>
      <c r="F179" s="3" t="s">
        <v>432</v>
      </c>
      <c r="G179" s="3">
        <v>98</v>
      </c>
      <c r="H179" s="3">
        <v>27</v>
      </c>
      <c r="I179" s="3" t="s">
        <v>22</v>
      </c>
    </row>
    <row r="180" spans="1:9" x14ac:dyDescent="0.3">
      <c r="A180" s="3" t="s">
        <v>466</v>
      </c>
      <c r="B180" s="3" t="s">
        <v>116</v>
      </c>
      <c r="C180" s="3" t="s">
        <v>457</v>
      </c>
      <c r="D180" s="3" t="s">
        <v>427</v>
      </c>
      <c r="E180" s="3" t="s">
        <v>452</v>
      </c>
      <c r="F180" s="3" t="s">
        <v>417</v>
      </c>
      <c r="G180" s="3">
        <v>168</v>
      </c>
      <c r="H180" s="3">
        <v>85</v>
      </c>
      <c r="I180" s="3" t="s">
        <v>22</v>
      </c>
    </row>
    <row r="181" spans="1:9" x14ac:dyDescent="0.3">
      <c r="A181" s="3" t="s">
        <v>467</v>
      </c>
      <c r="B181" s="3" t="s">
        <v>118</v>
      </c>
      <c r="C181" s="3" t="s">
        <v>434</v>
      </c>
      <c r="D181" s="3" t="s">
        <v>458</v>
      </c>
      <c r="E181" s="3" t="s">
        <v>397</v>
      </c>
      <c r="F181" s="3" t="s">
        <v>461</v>
      </c>
      <c r="G181" s="3">
        <v>75</v>
      </c>
      <c r="H181" s="3">
        <v>92</v>
      </c>
      <c r="I181" s="3" t="s">
        <v>15</v>
      </c>
    </row>
    <row r="182" spans="1:9" x14ac:dyDescent="0.3">
      <c r="A182" s="3" t="s">
        <v>468</v>
      </c>
      <c r="B182" s="3" t="s">
        <v>120</v>
      </c>
      <c r="C182" s="3" t="s">
        <v>448</v>
      </c>
      <c r="D182" s="3" t="s">
        <v>429</v>
      </c>
      <c r="E182" s="3" t="s">
        <v>423</v>
      </c>
      <c r="F182" s="3" t="s">
        <v>436</v>
      </c>
      <c r="G182" s="3">
        <v>92</v>
      </c>
      <c r="H182" s="3">
        <v>105</v>
      </c>
      <c r="I182" s="3" t="s">
        <v>15</v>
      </c>
    </row>
    <row r="183" spans="1:9" x14ac:dyDescent="0.3">
      <c r="A183" s="3" t="s">
        <v>469</v>
      </c>
      <c r="B183" s="3" t="s">
        <v>122</v>
      </c>
      <c r="C183" s="3" t="s">
        <v>433</v>
      </c>
      <c r="D183" s="3" t="s">
        <v>439</v>
      </c>
      <c r="E183" s="3" t="s">
        <v>396</v>
      </c>
      <c r="F183" s="3" t="s">
        <v>392</v>
      </c>
      <c r="G183" s="3">
        <v>70</v>
      </c>
      <c r="H183" s="3">
        <v>110</v>
      </c>
      <c r="I183" s="3" t="s">
        <v>15</v>
      </c>
    </row>
    <row r="184" spans="1:9" x14ac:dyDescent="0.3">
      <c r="A184" s="3" t="s">
        <v>470</v>
      </c>
      <c r="B184" s="3" t="s">
        <v>124</v>
      </c>
      <c r="C184" s="3" t="s">
        <v>454</v>
      </c>
      <c r="D184" s="3" t="s">
        <v>456</v>
      </c>
      <c r="E184" s="3" t="s">
        <v>421</v>
      </c>
      <c r="F184" s="3" t="s">
        <v>411</v>
      </c>
      <c r="G184" s="3">
        <v>53</v>
      </c>
      <c r="H184" s="3">
        <v>115</v>
      </c>
      <c r="I184" s="3" t="s">
        <v>15</v>
      </c>
    </row>
    <row r="185" spans="1:9" x14ac:dyDescent="0.3">
      <c r="A185" s="3" t="s">
        <v>125</v>
      </c>
      <c r="B185" s="3" t="s">
        <v>126</v>
      </c>
      <c r="C185" s="3" t="s">
        <v>390</v>
      </c>
      <c r="D185" s="3" t="s">
        <v>453</v>
      </c>
      <c r="E185" s="3" t="s">
        <v>408</v>
      </c>
      <c r="F185" s="3" t="s">
        <v>446</v>
      </c>
      <c r="G185" s="3">
        <v>93</v>
      </c>
      <c r="H185" s="3">
        <v>115</v>
      </c>
      <c r="I185" s="3" t="s">
        <v>15</v>
      </c>
    </row>
    <row r="186" spans="1:9" x14ac:dyDescent="0.3">
      <c r="A186" s="3" t="s">
        <v>471</v>
      </c>
      <c r="B186" s="3" t="s">
        <v>128</v>
      </c>
      <c r="C186" s="3" t="s">
        <v>413</v>
      </c>
      <c r="D186" s="3" t="s">
        <v>424</v>
      </c>
      <c r="E186" s="3" t="s">
        <v>460</v>
      </c>
      <c r="F186" s="3" t="s">
        <v>442</v>
      </c>
      <c r="G186" s="3">
        <v>65</v>
      </c>
      <c r="H186" s="3">
        <v>57</v>
      </c>
      <c r="I186" s="3" t="s">
        <v>22</v>
      </c>
    </row>
    <row r="187" spans="1:9" x14ac:dyDescent="0.3">
      <c r="A187" s="3" t="s">
        <v>472</v>
      </c>
      <c r="B187" s="3" t="s">
        <v>130</v>
      </c>
      <c r="C187" s="3" t="s">
        <v>414</v>
      </c>
      <c r="D187" s="3" t="s">
        <v>449</v>
      </c>
      <c r="E187" s="3" t="s">
        <v>401</v>
      </c>
      <c r="F187" s="3" t="s">
        <v>451</v>
      </c>
      <c r="G187" s="3">
        <v>54</v>
      </c>
      <c r="H187" s="3">
        <v>62</v>
      </c>
      <c r="I187" s="3" t="s">
        <v>15</v>
      </c>
    </row>
    <row r="188" spans="1:9" x14ac:dyDescent="0.3">
      <c r="A188" s="3" t="s">
        <v>473</v>
      </c>
      <c r="B188" s="3" t="s">
        <v>131</v>
      </c>
      <c r="C188" s="3" t="s">
        <v>395</v>
      </c>
      <c r="D188" s="3" t="s">
        <v>409</v>
      </c>
      <c r="E188" s="3" t="s">
        <v>388</v>
      </c>
      <c r="F188" s="3" t="s">
        <v>441</v>
      </c>
      <c r="G188" s="3">
        <v>42</v>
      </c>
      <c r="H188" s="3">
        <v>65</v>
      </c>
      <c r="I188" s="3" t="s">
        <v>15</v>
      </c>
    </row>
    <row r="189" spans="1:9" x14ac:dyDescent="0.3">
      <c r="A189" s="3" t="s">
        <v>474</v>
      </c>
      <c r="B189" s="3" t="s">
        <v>133</v>
      </c>
      <c r="C189" s="3" t="s">
        <v>398</v>
      </c>
      <c r="D189" s="3" t="s">
        <v>443</v>
      </c>
      <c r="E189" s="3" t="s">
        <v>455</v>
      </c>
      <c r="F189" s="3" t="s">
        <v>406</v>
      </c>
      <c r="G189" s="3">
        <v>77</v>
      </c>
      <c r="H189" s="3">
        <v>60</v>
      </c>
      <c r="I189" s="3" t="s">
        <v>22</v>
      </c>
    </row>
    <row r="190" spans="1:9" x14ac:dyDescent="0.3">
      <c r="A190" s="3" t="s">
        <v>475</v>
      </c>
      <c r="B190" s="3" t="s">
        <v>135</v>
      </c>
      <c r="C190" s="3" t="s">
        <v>439</v>
      </c>
      <c r="D190" s="3" t="s">
        <v>407</v>
      </c>
      <c r="E190" s="3" t="s">
        <v>461</v>
      </c>
      <c r="F190" s="3" t="s">
        <v>452</v>
      </c>
      <c r="G190" s="3">
        <v>24</v>
      </c>
      <c r="H190" s="3">
        <v>80</v>
      </c>
      <c r="I190" s="3" t="s">
        <v>15</v>
      </c>
    </row>
    <row r="191" spans="1:9" x14ac:dyDescent="0.3">
      <c r="A191" s="3" t="s">
        <v>476</v>
      </c>
      <c r="B191" s="3" t="s">
        <v>137</v>
      </c>
      <c r="C191" s="3" t="s">
        <v>431</v>
      </c>
      <c r="D191" s="3" t="s">
        <v>397</v>
      </c>
      <c r="E191" s="3" t="s">
        <v>427</v>
      </c>
      <c r="F191" s="3" t="s">
        <v>416</v>
      </c>
      <c r="G191" s="3">
        <v>30</v>
      </c>
      <c r="H191" s="3">
        <v>174</v>
      </c>
      <c r="I191" s="3" t="s">
        <v>15</v>
      </c>
    </row>
    <row r="192" spans="1:9" x14ac:dyDescent="0.3">
      <c r="A192" s="3" t="s">
        <v>134</v>
      </c>
      <c r="B192" s="3" t="s">
        <v>139</v>
      </c>
      <c r="C192" s="3" t="s">
        <v>404</v>
      </c>
      <c r="D192" s="3" t="s">
        <v>429</v>
      </c>
      <c r="E192" s="3" t="s">
        <v>456</v>
      </c>
      <c r="F192" s="3" t="s">
        <v>387</v>
      </c>
      <c r="G192" s="3">
        <v>77</v>
      </c>
      <c r="H192" s="3">
        <v>68</v>
      </c>
      <c r="I192" s="3" t="s">
        <v>22</v>
      </c>
    </row>
    <row r="193" spans="1:9" x14ac:dyDescent="0.3">
      <c r="A193" s="3" t="s">
        <v>138</v>
      </c>
      <c r="B193" s="3" t="s">
        <v>141</v>
      </c>
      <c r="C193" s="3" t="s">
        <v>408</v>
      </c>
      <c r="D193" s="3" t="s">
        <v>419</v>
      </c>
      <c r="E193" s="3" t="s">
        <v>426</v>
      </c>
      <c r="F193" s="3" t="s">
        <v>447</v>
      </c>
      <c r="G193" s="3">
        <v>85</v>
      </c>
      <c r="H193" s="3">
        <v>75</v>
      </c>
      <c r="I193" s="3" t="s">
        <v>22</v>
      </c>
    </row>
    <row r="194" spans="1:9" x14ac:dyDescent="0.3">
      <c r="A194" s="3" t="s">
        <v>477</v>
      </c>
      <c r="B194" s="3" t="s">
        <v>143</v>
      </c>
      <c r="C194" s="3" t="s">
        <v>392</v>
      </c>
      <c r="D194" s="3" t="s">
        <v>424</v>
      </c>
      <c r="E194" s="3" t="s">
        <v>436</v>
      </c>
      <c r="F194" s="3" t="s">
        <v>428</v>
      </c>
      <c r="G194" s="3">
        <v>29</v>
      </c>
      <c r="H194" s="3">
        <v>129</v>
      </c>
      <c r="I194" s="3" t="s">
        <v>15</v>
      </c>
    </row>
    <row r="195" spans="1:9" x14ac:dyDescent="0.3">
      <c r="A195" s="3" t="s">
        <v>478</v>
      </c>
      <c r="B195" s="3" t="s">
        <v>145</v>
      </c>
      <c r="C195" s="3" t="s">
        <v>401</v>
      </c>
      <c r="D195" s="3" t="s">
        <v>388</v>
      </c>
      <c r="E195" s="3" t="s">
        <v>413</v>
      </c>
      <c r="F195" s="3" t="s">
        <v>457</v>
      </c>
      <c r="G195" s="3">
        <v>111</v>
      </c>
      <c r="H195" s="3">
        <v>120</v>
      </c>
      <c r="I195" s="3" t="s">
        <v>15</v>
      </c>
    </row>
    <row r="196" spans="1:9" x14ac:dyDescent="0.3">
      <c r="A196" s="3" t="s">
        <v>479</v>
      </c>
      <c r="B196" s="3" t="s">
        <v>147</v>
      </c>
      <c r="C196" s="3" t="s">
        <v>421</v>
      </c>
      <c r="D196" s="3" t="s">
        <v>399</v>
      </c>
      <c r="E196" s="3" t="s">
        <v>448</v>
      </c>
      <c r="F196" s="3" t="s">
        <v>432</v>
      </c>
      <c r="G196" s="3">
        <v>136</v>
      </c>
      <c r="H196" s="3">
        <v>137</v>
      </c>
      <c r="I196" s="3" t="s">
        <v>15</v>
      </c>
    </row>
    <row r="197" spans="1:9" x14ac:dyDescent="0.3">
      <c r="A197" s="3" t="s">
        <v>480</v>
      </c>
      <c r="B197" s="3" t="s">
        <v>149</v>
      </c>
      <c r="C197" s="3" t="s">
        <v>443</v>
      </c>
      <c r="D197" s="3" t="s">
        <v>460</v>
      </c>
      <c r="E197" s="3" t="s">
        <v>411</v>
      </c>
      <c r="F197" s="3" t="s">
        <v>434</v>
      </c>
      <c r="G197" s="3">
        <v>98</v>
      </c>
      <c r="H197" s="3">
        <v>22</v>
      </c>
      <c r="I197" s="3" t="s">
        <v>22</v>
      </c>
    </row>
    <row r="198" spans="1:9" x14ac:dyDescent="0.3">
      <c r="A198" s="3" t="s">
        <v>481</v>
      </c>
      <c r="B198" s="3" t="s">
        <v>151</v>
      </c>
      <c r="C198" s="3" t="s">
        <v>423</v>
      </c>
      <c r="D198" s="3" t="s">
        <v>446</v>
      </c>
      <c r="E198" s="3" t="s">
        <v>455</v>
      </c>
      <c r="F198" s="3" t="s">
        <v>396</v>
      </c>
      <c r="G198" s="3">
        <v>79</v>
      </c>
      <c r="H198" s="3">
        <v>65</v>
      </c>
      <c r="I198" s="3" t="s">
        <v>22</v>
      </c>
    </row>
    <row r="199" spans="1:9" x14ac:dyDescent="0.3">
      <c r="A199" s="3" t="s">
        <v>482</v>
      </c>
      <c r="B199" s="3" t="s">
        <v>153</v>
      </c>
      <c r="C199" s="3" t="s">
        <v>433</v>
      </c>
      <c r="D199" s="3" t="s">
        <v>409</v>
      </c>
      <c r="E199" s="3" t="s">
        <v>451</v>
      </c>
      <c r="F199" s="3" t="s">
        <v>417</v>
      </c>
      <c r="G199" s="3">
        <v>116</v>
      </c>
      <c r="H199" s="3">
        <v>62</v>
      </c>
      <c r="I199" s="3" t="s">
        <v>22</v>
      </c>
    </row>
    <row r="200" spans="1:9" x14ac:dyDescent="0.3">
      <c r="A200" s="3" t="s">
        <v>483</v>
      </c>
      <c r="B200" s="3" t="s">
        <v>155</v>
      </c>
      <c r="C200" s="3" t="s">
        <v>418</v>
      </c>
      <c r="D200" s="3" t="s">
        <v>406</v>
      </c>
      <c r="E200" s="3" t="s">
        <v>393</v>
      </c>
      <c r="F200" s="3" t="s">
        <v>414</v>
      </c>
      <c r="G200" s="3">
        <v>57</v>
      </c>
      <c r="H200" s="3">
        <v>95</v>
      </c>
      <c r="I200" s="3" t="s">
        <v>15</v>
      </c>
    </row>
    <row r="201" spans="1:9" x14ac:dyDescent="0.3">
      <c r="A201" s="3" t="s">
        <v>484</v>
      </c>
      <c r="B201" s="3" t="s">
        <v>157</v>
      </c>
      <c r="C201" s="3" t="s">
        <v>398</v>
      </c>
      <c r="D201" s="3" t="s">
        <v>422</v>
      </c>
      <c r="E201" s="3" t="s">
        <v>437</v>
      </c>
      <c r="F201" s="3" t="s">
        <v>402</v>
      </c>
      <c r="G201" s="3">
        <v>86</v>
      </c>
      <c r="H201" s="3">
        <v>89</v>
      </c>
      <c r="I201" s="3" t="s">
        <v>15</v>
      </c>
    </row>
    <row r="202" spans="1:9" x14ac:dyDescent="0.3">
      <c r="A202" s="3" t="s">
        <v>485</v>
      </c>
      <c r="B202" s="3" t="s">
        <v>159</v>
      </c>
      <c r="C202" s="3" t="s">
        <v>444</v>
      </c>
      <c r="D202" s="3" t="s">
        <v>458</v>
      </c>
      <c r="E202" s="3" t="s">
        <v>395</v>
      </c>
      <c r="F202" s="3" t="s">
        <v>389</v>
      </c>
      <c r="G202" s="3">
        <v>67</v>
      </c>
      <c r="H202" s="3">
        <v>119</v>
      </c>
      <c r="I202" s="3" t="s">
        <v>15</v>
      </c>
    </row>
    <row r="203" spans="1:9" x14ac:dyDescent="0.3">
      <c r="A203" s="3" t="s">
        <v>486</v>
      </c>
      <c r="B203" s="3" t="s">
        <v>161</v>
      </c>
      <c r="C203" s="3" t="s">
        <v>390</v>
      </c>
      <c r="D203" s="3" t="s">
        <v>403</v>
      </c>
      <c r="E203" s="3" t="s">
        <v>449</v>
      </c>
      <c r="F203" s="3" t="s">
        <v>442</v>
      </c>
      <c r="G203" s="3">
        <v>116</v>
      </c>
      <c r="H203" s="3">
        <v>64</v>
      </c>
      <c r="I203" s="3" t="s">
        <v>22</v>
      </c>
    </row>
    <row r="204" spans="1:9" x14ac:dyDescent="0.3">
      <c r="A204" s="3" t="s">
        <v>487</v>
      </c>
      <c r="B204" s="3" t="s">
        <v>163</v>
      </c>
      <c r="C204" s="3" t="s">
        <v>412</v>
      </c>
      <c r="D204" s="3" t="s">
        <v>441</v>
      </c>
      <c r="E204" s="3" t="s">
        <v>438</v>
      </c>
      <c r="F204" s="3" t="s">
        <v>453</v>
      </c>
      <c r="G204" s="3">
        <v>103</v>
      </c>
      <c r="H204" s="3">
        <v>75</v>
      </c>
      <c r="I204" s="3" t="s">
        <v>22</v>
      </c>
    </row>
    <row r="205" spans="1:9" x14ac:dyDescent="0.3">
      <c r="A205" s="3" t="s">
        <v>488</v>
      </c>
      <c r="B205" s="3" t="s">
        <v>165</v>
      </c>
      <c r="C205" s="3" t="s">
        <v>454</v>
      </c>
      <c r="D205" s="3" t="s">
        <v>394</v>
      </c>
      <c r="E205" s="3" t="s">
        <v>443</v>
      </c>
      <c r="F205" s="3" t="s">
        <v>461</v>
      </c>
      <c r="G205" s="3">
        <v>87</v>
      </c>
      <c r="H205" s="3">
        <v>97</v>
      </c>
      <c r="I205" s="3" t="s">
        <v>15</v>
      </c>
    </row>
    <row r="206" spans="1:9" x14ac:dyDescent="0.3">
      <c r="A206" s="3" t="s">
        <v>489</v>
      </c>
      <c r="B206" s="3" t="s">
        <v>167</v>
      </c>
      <c r="C206" s="3" t="s">
        <v>457</v>
      </c>
      <c r="D206" s="3" t="s">
        <v>448</v>
      </c>
      <c r="E206" s="3" t="s">
        <v>460</v>
      </c>
      <c r="F206" s="3" t="s">
        <v>396</v>
      </c>
      <c r="G206" s="3">
        <v>78</v>
      </c>
      <c r="H206" s="3">
        <v>102</v>
      </c>
      <c r="I206" s="3" t="s">
        <v>15</v>
      </c>
    </row>
    <row r="207" spans="1:9" x14ac:dyDescent="0.3">
      <c r="A207" s="3" t="s">
        <v>490</v>
      </c>
      <c r="B207" s="3" t="s">
        <v>169</v>
      </c>
      <c r="C207" s="3" t="s">
        <v>436</v>
      </c>
      <c r="D207" s="3" t="s">
        <v>413</v>
      </c>
      <c r="E207" s="3" t="s">
        <v>418</v>
      </c>
      <c r="F207" s="3" t="s">
        <v>433</v>
      </c>
      <c r="G207" s="3">
        <v>123</v>
      </c>
      <c r="H207" s="3">
        <v>87</v>
      </c>
      <c r="I207" s="3" t="s">
        <v>22</v>
      </c>
    </row>
    <row r="208" spans="1:9" x14ac:dyDescent="0.3">
      <c r="A208" s="3" t="s">
        <v>491</v>
      </c>
      <c r="B208" s="3" t="s">
        <v>171</v>
      </c>
      <c r="C208" s="3" t="s">
        <v>393</v>
      </c>
      <c r="D208" s="3" t="s">
        <v>451</v>
      </c>
      <c r="E208" s="3" t="s">
        <v>437</v>
      </c>
      <c r="F208" s="3" t="s">
        <v>446</v>
      </c>
      <c r="G208" s="3">
        <v>27</v>
      </c>
      <c r="H208" s="3">
        <v>130</v>
      </c>
      <c r="I208" s="3" t="s">
        <v>15</v>
      </c>
    </row>
    <row r="209" spans="1:9" x14ac:dyDescent="0.3">
      <c r="A209" s="3" t="s">
        <v>174</v>
      </c>
      <c r="B209" s="3" t="s">
        <v>173</v>
      </c>
      <c r="C209" s="3" t="s">
        <v>395</v>
      </c>
      <c r="D209" s="3" t="s">
        <v>417</v>
      </c>
      <c r="E209" s="3" t="s">
        <v>401</v>
      </c>
      <c r="F209" s="3" t="s">
        <v>422</v>
      </c>
      <c r="G209" s="3">
        <v>112</v>
      </c>
      <c r="H209" s="3">
        <v>125</v>
      </c>
      <c r="I209" s="3" t="s">
        <v>15</v>
      </c>
    </row>
    <row r="210" spans="1:9" x14ac:dyDescent="0.3">
      <c r="A210" s="3" t="s">
        <v>176</v>
      </c>
      <c r="B210" s="3" t="s">
        <v>175</v>
      </c>
      <c r="C210" s="3" t="s">
        <v>392</v>
      </c>
      <c r="D210" s="3" t="s">
        <v>452</v>
      </c>
      <c r="E210" s="3" t="s">
        <v>398</v>
      </c>
      <c r="F210" s="3" t="s">
        <v>390</v>
      </c>
      <c r="G210" s="3">
        <v>47</v>
      </c>
      <c r="H210" s="3">
        <v>53</v>
      </c>
      <c r="I210" s="3" t="s">
        <v>15</v>
      </c>
    </row>
    <row r="211" spans="1:9" x14ac:dyDescent="0.3">
      <c r="A211" s="3" t="s">
        <v>492</v>
      </c>
      <c r="B211" s="3" t="s">
        <v>177</v>
      </c>
      <c r="C211" s="3" t="s">
        <v>408</v>
      </c>
      <c r="D211" s="3" t="s">
        <v>412</v>
      </c>
      <c r="E211" s="3" t="s">
        <v>429</v>
      </c>
      <c r="F211" s="3" t="s">
        <v>397</v>
      </c>
      <c r="G211" s="3">
        <v>100</v>
      </c>
      <c r="H211" s="3">
        <v>71</v>
      </c>
      <c r="I211" s="3" t="s">
        <v>22</v>
      </c>
    </row>
    <row r="212" spans="1:9" x14ac:dyDescent="0.3">
      <c r="A212" s="3" t="s">
        <v>493</v>
      </c>
      <c r="B212" s="3" t="s">
        <v>179</v>
      </c>
      <c r="C212" s="3" t="s">
        <v>453</v>
      </c>
      <c r="D212" s="3" t="s">
        <v>419</v>
      </c>
      <c r="E212" s="3" t="s">
        <v>427</v>
      </c>
      <c r="F212" s="3" t="s">
        <v>444</v>
      </c>
      <c r="G212" s="3">
        <v>109</v>
      </c>
      <c r="H212" s="3">
        <v>109</v>
      </c>
      <c r="I212" s="3" t="s">
        <v>494</v>
      </c>
    </row>
    <row r="213" spans="1:9" x14ac:dyDescent="0.3">
      <c r="A213" s="3" t="s">
        <v>495</v>
      </c>
      <c r="B213" s="3" t="s">
        <v>181</v>
      </c>
      <c r="C213" s="3" t="s">
        <v>428</v>
      </c>
      <c r="D213" s="3" t="s">
        <v>406</v>
      </c>
      <c r="E213" s="3" t="s">
        <v>431</v>
      </c>
      <c r="F213" s="3" t="s">
        <v>441</v>
      </c>
      <c r="G213" s="3">
        <v>100</v>
      </c>
      <c r="H213" s="3">
        <v>70</v>
      </c>
      <c r="I213" s="3" t="s">
        <v>22</v>
      </c>
    </row>
    <row r="214" spans="1:9" x14ac:dyDescent="0.3">
      <c r="A214" s="3" t="s">
        <v>496</v>
      </c>
      <c r="B214" s="3" t="s">
        <v>183</v>
      </c>
      <c r="C214" s="3" t="s">
        <v>442</v>
      </c>
      <c r="D214" s="3" t="s">
        <v>416</v>
      </c>
      <c r="E214" s="3" t="s">
        <v>407</v>
      </c>
      <c r="F214" s="3" t="s">
        <v>404</v>
      </c>
      <c r="G214" s="3">
        <v>80</v>
      </c>
      <c r="H214" s="3">
        <v>60</v>
      </c>
      <c r="I214" s="3" t="s">
        <v>22</v>
      </c>
    </row>
    <row r="215" spans="1:9" x14ac:dyDescent="0.3">
      <c r="A215" s="3" t="s">
        <v>497</v>
      </c>
      <c r="B215" s="3" t="s">
        <v>185</v>
      </c>
      <c r="C215" s="3" t="s">
        <v>449</v>
      </c>
      <c r="D215" s="3" t="s">
        <v>402</v>
      </c>
      <c r="E215" s="3" t="s">
        <v>421</v>
      </c>
      <c r="F215" s="3" t="s">
        <v>426</v>
      </c>
      <c r="G215" s="3">
        <v>51</v>
      </c>
      <c r="H215" s="3">
        <v>168</v>
      </c>
      <c r="I215" s="3" t="s">
        <v>15</v>
      </c>
    </row>
    <row r="216" spans="1:9" x14ac:dyDescent="0.3">
      <c r="A216" s="3" t="s">
        <v>184</v>
      </c>
      <c r="B216" s="3" t="s">
        <v>187</v>
      </c>
      <c r="C216" s="3" t="s">
        <v>394</v>
      </c>
      <c r="D216" s="3" t="s">
        <v>423</v>
      </c>
      <c r="E216" s="3" t="s">
        <v>403</v>
      </c>
      <c r="F216" s="3" t="s">
        <v>458</v>
      </c>
      <c r="G216" s="3">
        <v>64</v>
      </c>
      <c r="H216" s="3">
        <v>60</v>
      </c>
      <c r="I216" s="3" t="s">
        <v>22</v>
      </c>
    </row>
    <row r="217" spans="1:9" x14ac:dyDescent="0.3">
      <c r="A217" s="3" t="s">
        <v>498</v>
      </c>
      <c r="B217" s="3" t="s">
        <v>189</v>
      </c>
      <c r="C217" s="3" t="s">
        <v>432</v>
      </c>
      <c r="D217" s="3" t="s">
        <v>455</v>
      </c>
      <c r="E217" s="3" t="s">
        <v>424</v>
      </c>
      <c r="F217" s="3" t="s">
        <v>387</v>
      </c>
      <c r="G217" s="3">
        <v>63</v>
      </c>
      <c r="H217" s="3">
        <v>106</v>
      </c>
      <c r="I217" s="3" t="s">
        <v>15</v>
      </c>
    </row>
    <row r="218" spans="1:9" x14ac:dyDescent="0.3">
      <c r="A218" s="3" t="s">
        <v>499</v>
      </c>
      <c r="B218" s="3" t="s">
        <v>191</v>
      </c>
      <c r="C218" s="3" t="s">
        <v>439</v>
      </c>
      <c r="D218" s="3" t="s">
        <v>434</v>
      </c>
      <c r="E218" s="3" t="s">
        <v>456</v>
      </c>
      <c r="F218" s="3" t="s">
        <v>388</v>
      </c>
      <c r="G218" s="3">
        <v>56</v>
      </c>
      <c r="H218" s="3">
        <v>56</v>
      </c>
      <c r="I218" s="3" t="s">
        <v>494</v>
      </c>
    </row>
    <row r="219" spans="1:9" x14ac:dyDescent="0.3">
      <c r="A219" s="3" t="s">
        <v>500</v>
      </c>
      <c r="B219" s="3" t="s">
        <v>193</v>
      </c>
      <c r="C219" s="3" t="s">
        <v>438</v>
      </c>
      <c r="D219" s="3" t="s">
        <v>411</v>
      </c>
      <c r="E219" s="3" t="s">
        <v>409</v>
      </c>
      <c r="F219" s="3" t="s">
        <v>447</v>
      </c>
      <c r="G219" s="3">
        <v>77</v>
      </c>
      <c r="H219" s="3">
        <v>63</v>
      </c>
      <c r="I219" s="3" t="s">
        <v>22</v>
      </c>
    </row>
    <row r="220" spans="1:9" x14ac:dyDescent="0.3">
      <c r="A220" s="3" t="s">
        <v>501</v>
      </c>
      <c r="B220" s="3" t="s">
        <v>195</v>
      </c>
      <c r="C220" s="3" t="s">
        <v>389</v>
      </c>
      <c r="D220" s="3" t="s">
        <v>414</v>
      </c>
      <c r="E220" s="3" t="s">
        <v>399</v>
      </c>
      <c r="F220" s="3" t="s">
        <v>454</v>
      </c>
      <c r="G220" s="3">
        <v>98</v>
      </c>
      <c r="H220" s="3">
        <v>37</v>
      </c>
      <c r="I220" s="3" t="s">
        <v>22</v>
      </c>
    </row>
    <row r="221" spans="1:9" x14ac:dyDescent="0.3">
      <c r="A221" s="3" t="s">
        <v>502</v>
      </c>
      <c r="B221" s="3" t="s">
        <v>197</v>
      </c>
      <c r="C221" s="3" t="s">
        <v>444</v>
      </c>
      <c r="D221" s="3" t="s">
        <v>417</v>
      </c>
      <c r="E221" s="3" t="s">
        <v>437</v>
      </c>
      <c r="F221" s="3" t="s">
        <v>392</v>
      </c>
      <c r="G221" s="3">
        <v>57</v>
      </c>
      <c r="H221" s="3">
        <v>99</v>
      </c>
      <c r="I221" s="3" t="s">
        <v>15</v>
      </c>
    </row>
    <row r="222" spans="1:9" x14ac:dyDescent="0.3">
      <c r="A222" s="3" t="s">
        <v>503</v>
      </c>
      <c r="B222" s="3" t="s">
        <v>199</v>
      </c>
      <c r="C222" s="3" t="s">
        <v>428</v>
      </c>
      <c r="D222" s="3" t="s">
        <v>418</v>
      </c>
      <c r="E222" s="3" t="s">
        <v>408</v>
      </c>
      <c r="F222" s="3" t="s">
        <v>422</v>
      </c>
      <c r="G222" s="3">
        <v>123</v>
      </c>
      <c r="H222" s="3">
        <v>80</v>
      </c>
      <c r="I222" s="3" t="s">
        <v>22</v>
      </c>
    </row>
    <row r="223" spans="1:9" x14ac:dyDescent="0.3">
      <c r="A223" s="3" t="s">
        <v>504</v>
      </c>
      <c r="B223" s="3" t="s">
        <v>201</v>
      </c>
      <c r="C223" s="3" t="s">
        <v>403</v>
      </c>
      <c r="D223" s="3" t="s">
        <v>421</v>
      </c>
      <c r="E223" s="3" t="s">
        <v>419</v>
      </c>
      <c r="F223" s="3" t="s">
        <v>431</v>
      </c>
      <c r="G223" s="3">
        <v>135</v>
      </c>
      <c r="H223" s="3">
        <v>42</v>
      </c>
      <c r="I223" s="3" t="s">
        <v>22</v>
      </c>
    </row>
    <row r="224" spans="1:9" x14ac:dyDescent="0.3">
      <c r="A224" s="3" t="s">
        <v>505</v>
      </c>
      <c r="B224" s="3" t="s">
        <v>203</v>
      </c>
      <c r="C224" s="3" t="s">
        <v>442</v>
      </c>
      <c r="D224" s="3" t="s">
        <v>433</v>
      </c>
      <c r="E224" s="3" t="s">
        <v>446</v>
      </c>
      <c r="F224" s="3" t="s">
        <v>401</v>
      </c>
      <c r="G224" s="3">
        <v>72</v>
      </c>
      <c r="H224" s="3">
        <v>132</v>
      </c>
      <c r="I224" s="3" t="s">
        <v>15</v>
      </c>
    </row>
    <row r="225" spans="1:9" x14ac:dyDescent="0.3">
      <c r="A225" s="3" t="s">
        <v>204</v>
      </c>
      <c r="B225" s="3" t="s">
        <v>205</v>
      </c>
      <c r="C225" s="3" t="s">
        <v>426</v>
      </c>
      <c r="D225" s="3" t="s">
        <v>416</v>
      </c>
      <c r="E225" s="3" t="s">
        <v>406</v>
      </c>
      <c r="F225" s="3" t="s">
        <v>412</v>
      </c>
      <c r="G225" s="3">
        <v>135</v>
      </c>
      <c r="H225" s="3">
        <v>22</v>
      </c>
      <c r="I225" s="3" t="s">
        <v>22</v>
      </c>
    </row>
    <row r="226" spans="1:9" x14ac:dyDescent="0.3">
      <c r="A226" s="3" t="s">
        <v>506</v>
      </c>
      <c r="B226" s="3" t="s">
        <v>207</v>
      </c>
      <c r="C226" s="3" t="s">
        <v>451</v>
      </c>
      <c r="D226" s="3" t="s">
        <v>434</v>
      </c>
      <c r="E226" s="3" t="s">
        <v>457</v>
      </c>
      <c r="F226" s="3" t="s">
        <v>407</v>
      </c>
      <c r="G226" s="3">
        <v>49</v>
      </c>
      <c r="H226" s="3">
        <v>114</v>
      </c>
      <c r="I226" s="3" t="s">
        <v>15</v>
      </c>
    </row>
    <row r="227" spans="1:9" x14ac:dyDescent="0.3">
      <c r="A227" s="3" t="s">
        <v>507</v>
      </c>
      <c r="B227" s="3" t="s">
        <v>209</v>
      </c>
      <c r="C227" s="3" t="s">
        <v>397</v>
      </c>
      <c r="D227" s="3" t="s">
        <v>448</v>
      </c>
      <c r="E227" s="3" t="s">
        <v>409</v>
      </c>
      <c r="F227" s="3" t="s">
        <v>456</v>
      </c>
      <c r="G227" s="3">
        <v>82</v>
      </c>
      <c r="H227" s="3">
        <v>62</v>
      </c>
      <c r="I227" s="3" t="s">
        <v>22</v>
      </c>
    </row>
    <row r="228" spans="1:9" x14ac:dyDescent="0.3">
      <c r="A228" s="3" t="s">
        <v>508</v>
      </c>
      <c r="B228" s="3" t="s">
        <v>211</v>
      </c>
      <c r="C228" s="3" t="s">
        <v>461</v>
      </c>
      <c r="D228" s="3" t="s">
        <v>453</v>
      </c>
      <c r="E228" s="3" t="s">
        <v>389</v>
      </c>
      <c r="F228" s="3" t="s">
        <v>424</v>
      </c>
      <c r="G228" s="3">
        <v>97</v>
      </c>
      <c r="H228" s="3">
        <v>65</v>
      </c>
      <c r="I228" s="3" t="s">
        <v>22</v>
      </c>
    </row>
    <row r="229" spans="1:9" x14ac:dyDescent="0.3">
      <c r="A229" s="3" t="s">
        <v>509</v>
      </c>
      <c r="B229" s="3" t="s">
        <v>213</v>
      </c>
      <c r="C229" s="3" t="s">
        <v>411</v>
      </c>
      <c r="D229" s="3" t="s">
        <v>452</v>
      </c>
      <c r="E229" s="3" t="s">
        <v>455</v>
      </c>
      <c r="F229" s="3" t="s">
        <v>394</v>
      </c>
      <c r="G229" s="3">
        <v>82</v>
      </c>
      <c r="H229" s="3">
        <v>115</v>
      </c>
      <c r="I229" s="3" t="s">
        <v>15</v>
      </c>
    </row>
    <row r="230" spans="1:9" x14ac:dyDescent="0.3">
      <c r="A230" s="3" t="s">
        <v>510</v>
      </c>
      <c r="B230" s="3" t="s">
        <v>215</v>
      </c>
      <c r="C230" s="3" t="s">
        <v>396</v>
      </c>
      <c r="D230" s="3" t="s">
        <v>432</v>
      </c>
      <c r="E230" s="3" t="s">
        <v>427</v>
      </c>
      <c r="F230" s="3" t="s">
        <v>402</v>
      </c>
      <c r="G230" s="3">
        <v>67</v>
      </c>
      <c r="H230" s="3">
        <v>88</v>
      </c>
      <c r="I230" s="3" t="s">
        <v>15</v>
      </c>
    </row>
    <row r="231" spans="1:9" x14ac:dyDescent="0.3">
      <c r="A231" s="3" t="s">
        <v>511</v>
      </c>
      <c r="B231" s="3" t="s">
        <v>217</v>
      </c>
      <c r="C231" s="3" t="s">
        <v>404</v>
      </c>
      <c r="D231" s="3" t="s">
        <v>449</v>
      </c>
      <c r="E231" s="3" t="s">
        <v>438</v>
      </c>
      <c r="F231" s="3" t="s">
        <v>413</v>
      </c>
      <c r="G231" s="3">
        <v>97</v>
      </c>
      <c r="H231" s="3">
        <v>119</v>
      </c>
      <c r="I231" s="3" t="s">
        <v>15</v>
      </c>
    </row>
    <row r="232" spans="1:9" x14ac:dyDescent="0.3">
      <c r="A232" s="3" t="s">
        <v>512</v>
      </c>
      <c r="B232" s="3" t="s">
        <v>219</v>
      </c>
      <c r="C232" s="3" t="s">
        <v>395</v>
      </c>
      <c r="D232" s="3" t="s">
        <v>436</v>
      </c>
      <c r="E232" s="3" t="s">
        <v>387</v>
      </c>
      <c r="F232" s="3" t="s">
        <v>443</v>
      </c>
      <c r="G232" s="3">
        <v>90</v>
      </c>
      <c r="H232" s="3">
        <v>46</v>
      </c>
      <c r="I232" s="3" t="s">
        <v>22</v>
      </c>
    </row>
    <row r="233" spans="1:9" x14ac:dyDescent="0.3">
      <c r="A233" s="3" t="s">
        <v>513</v>
      </c>
      <c r="B233" s="3" t="s">
        <v>221</v>
      </c>
      <c r="C233" s="3" t="s">
        <v>390</v>
      </c>
      <c r="D233" s="3" t="s">
        <v>414</v>
      </c>
      <c r="E233" s="3" t="s">
        <v>441</v>
      </c>
      <c r="F233" s="3" t="s">
        <v>458</v>
      </c>
      <c r="G233" s="3">
        <v>107</v>
      </c>
      <c r="H233" s="3">
        <v>72</v>
      </c>
      <c r="I233" s="3" t="s">
        <v>22</v>
      </c>
    </row>
    <row r="234" spans="1:9" x14ac:dyDescent="0.3">
      <c r="A234" s="3" t="s">
        <v>514</v>
      </c>
      <c r="B234" s="3" t="s">
        <v>223</v>
      </c>
      <c r="C234" s="3" t="s">
        <v>393</v>
      </c>
      <c r="D234" s="3" t="s">
        <v>399</v>
      </c>
      <c r="E234" s="3" t="s">
        <v>423</v>
      </c>
      <c r="F234" s="3" t="s">
        <v>439</v>
      </c>
      <c r="G234" s="3">
        <v>114</v>
      </c>
      <c r="H234" s="3">
        <v>106</v>
      </c>
      <c r="I234" s="3" t="s">
        <v>22</v>
      </c>
    </row>
    <row r="235" spans="1:9" x14ac:dyDescent="0.3">
      <c r="A235" s="3" t="s">
        <v>515</v>
      </c>
      <c r="B235" s="3" t="s">
        <v>225</v>
      </c>
      <c r="C235" s="3" t="s">
        <v>460</v>
      </c>
      <c r="D235" s="3" t="s">
        <v>447</v>
      </c>
      <c r="E235" s="3" t="s">
        <v>398</v>
      </c>
      <c r="F235" s="3" t="s">
        <v>388</v>
      </c>
      <c r="G235" s="3">
        <v>81</v>
      </c>
      <c r="H235" s="3">
        <v>74</v>
      </c>
      <c r="I235" s="3" t="s">
        <v>22</v>
      </c>
    </row>
    <row r="236" spans="1:9" x14ac:dyDescent="0.3">
      <c r="A236" s="3" t="s">
        <v>516</v>
      </c>
      <c r="B236" s="3" t="s">
        <v>227</v>
      </c>
      <c r="C236" s="3" t="s">
        <v>429</v>
      </c>
      <c r="D236" s="3" t="s">
        <v>454</v>
      </c>
      <c r="E236" s="3" t="s">
        <v>401</v>
      </c>
      <c r="F236" s="3" t="s">
        <v>418</v>
      </c>
      <c r="G236" s="3">
        <v>150</v>
      </c>
      <c r="H236" s="3">
        <v>71</v>
      </c>
      <c r="I236" s="3" t="s">
        <v>22</v>
      </c>
    </row>
    <row r="237" spans="1:9" x14ac:dyDescent="0.3">
      <c r="A237" s="3" t="s">
        <v>517</v>
      </c>
      <c r="B237" s="3" t="s">
        <v>229</v>
      </c>
      <c r="C237" s="3" t="s">
        <v>461</v>
      </c>
      <c r="D237" s="3" t="s">
        <v>451</v>
      </c>
      <c r="E237" s="3" t="s">
        <v>428</v>
      </c>
      <c r="F237" s="3" t="s">
        <v>411</v>
      </c>
      <c r="G237" s="3">
        <v>54</v>
      </c>
      <c r="H237" s="3">
        <v>95</v>
      </c>
      <c r="I237" s="3" t="s">
        <v>15</v>
      </c>
    </row>
    <row r="238" spans="1:9" x14ac:dyDescent="0.3">
      <c r="A238" s="3" t="s">
        <v>518</v>
      </c>
      <c r="B238" s="3" t="s">
        <v>231</v>
      </c>
      <c r="C238" s="3" t="s">
        <v>413</v>
      </c>
      <c r="D238" s="3" t="s">
        <v>456</v>
      </c>
      <c r="E238" s="3" t="s">
        <v>406</v>
      </c>
      <c r="F238" s="3" t="s">
        <v>446</v>
      </c>
      <c r="G238" s="3">
        <v>39</v>
      </c>
      <c r="H238" s="3">
        <v>223</v>
      </c>
      <c r="I238" s="3" t="s">
        <v>15</v>
      </c>
    </row>
    <row r="239" spans="1:9" x14ac:dyDescent="0.3">
      <c r="A239" s="3" t="s">
        <v>519</v>
      </c>
      <c r="B239" s="3" t="s">
        <v>233</v>
      </c>
      <c r="C239" s="3" t="s">
        <v>389</v>
      </c>
      <c r="D239" s="3" t="s">
        <v>438</v>
      </c>
      <c r="E239" s="3" t="s">
        <v>431</v>
      </c>
      <c r="F239" s="3" t="s">
        <v>452</v>
      </c>
      <c r="G239" s="3">
        <v>120</v>
      </c>
      <c r="H239" s="3">
        <v>37</v>
      </c>
      <c r="I239" s="3" t="s">
        <v>22</v>
      </c>
    </row>
    <row r="240" spans="1:9" x14ac:dyDescent="0.3">
      <c r="A240" s="3" t="s">
        <v>520</v>
      </c>
      <c r="B240" s="3" t="s">
        <v>235</v>
      </c>
      <c r="C240" s="3" t="s">
        <v>387</v>
      </c>
      <c r="D240" s="3" t="s">
        <v>402</v>
      </c>
      <c r="E240" s="3" t="s">
        <v>457</v>
      </c>
      <c r="F240" s="3" t="s">
        <v>408</v>
      </c>
      <c r="G240" s="3">
        <v>84</v>
      </c>
      <c r="H240" s="3">
        <v>93</v>
      </c>
      <c r="I240" s="3" t="s">
        <v>15</v>
      </c>
    </row>
    <row r="241" spans="1:9" x14ac:dyDescent="0.3">
      <c r="A241" s="3" t="s">
        <v>521</v>
      </c>
      <c r="B241" s="3" t="s">
        <v>237</v>
      </c>
      <c r="C241" s="3" t="s">
        <v>409</v>
      </c>
      <c r="D241" s="3" t="s">
        <v>396</v>
      </c>
      <c r="E241" s="3" t="s">
        <v>444</v>
      </c>
      <c r="F241" s="3" t="s">
        <v>436</v>
      </c>
      <c r="G241" s="3">
        <v>74</v>
      </c>
      <c r="H241" s="3">
        <v>104</v>
      </c>
      <c r="I241" s="3" t="s">
        <v>15</v>
      </c>
    </row>
    <row r="242" spans="1:9" x14ac:dyDescent="0.3">
      <c r="A242" s="3" t="s">
        <v>522</v>
      </c>
      <c r="B242" s="3" t="s">
        <v>239</v>
      </c>
      <c r="C242" s="3" t="s">
        <v>423</v>
      </c>
      <c r="D242" s="3" t="s">
        <v>426</v>
      </c>
      <c r="E242" s="3" t="s">
        <v>442</v>
      </c>
      <c r="F242" s="3" t="s">
        <v>437</v>
      </c>
      <c r="G242" s="3">
        <v>80</v>
      </c>
      <c r="H242" s="3">
        <v>109</v>
      </c>
      <c r="I242" s="3" t="s">
        <v>15</v>
      </c>
    </row>
    <row r="243" spans="1:9" x14ac:dyDescent="0.3">
      <c r="A243" s="3" t="s">
        <v>240</v>
      </c>
      <c r="B243" s="3" t="s">
        <v>241</v>
      </c>
      <c r="C243" s="3" t="s">
        <v>449</v>
      </c>
      <c r="D243" s="3" t="s">
        <v>424</v>
      </c>
      <c r="E243" s="3" t="s">
        <v>439</v>
      </c>
      <c r="F243" s="3" t="s">
        <v>417</v>
      </c>
      <c r="G243" s="3">
        <v>111</v>
      </c>
      <c r="H243" s="3">
        <v>39</v>
      </c>
      <c r="I243" s="3" t="s">
        <v>22</v>
      </c>
    </row>
    <row r="244" spans="1:9" x14ac:dyDescent="0.3">
      <c r="A244" s="3" t="s">
        <v>523</v>
      </c>
      <c r="B244" s="3" t="s">
        <v>243</v>
      </c>
      <c r="C244" s="3" t="s">
        <v>404</v>
      </c>
      <c r="D244" s="3" t="s">
        <v>388</v>
      </c>
      <c r="E244" s="3" t="s">
        <v>399</v>
      </c>
      <c r="F244" s="3" t="s">
        <v>453</v>
      </c>
      <c r="G244" s="3">
        <v>74</v>
      </c>
      <c r="H244" s="3">
        <v>123</v>
      </c>
      <c r="I244" s="3" t="s">
        <v>15</v>
      </c>
    </row>
    <row r="245" spans="1:9" x14ac:dyDescent="0.3">
      <c r="A245" s="3" t="s">
        <v>244</v>
      </c>
      <c r="B245" s="3" t="s">
        <v>245</v>
      </c>
      <c r="C245" s="3" t="s">
        <v>394</v>
      </c>
      <c r="D245" s="3" t="s">
        <v>422</v>
      </c>
      <c r="E245" s="3" t="s">
        <v>390</v>
      </c>
      <c r="F245" s="3" t="s">
        <v>434</v>
      </c>
      <c r="G245" s="3">
        <v>106</v>
      </c>
      <c r="H245" s="3">
        <v>41</v>
      </c>
      <c r="I245" s="3" t="s">
        <v>22</v>
      </c>
    </row>
    <row r="246" spans="1:9" x14ac:dyDescent="0.3">
      <c r="A246" s="3" t="s">
        <v>246</v>
      </c>
      <c r="B246" s="3" t="s">
        <v>247</v>
      </c>
      <c r="C246" s="3" t="s">
        <v>427</v>
      </c>
      <c r="D246" s="3" t="s">
        <v>443</v>
      </c>
      <c r="E246" s="3" t="s">
        <v>448</v>
      </c>
      <c r="F246" s="3" t="s">
        <v>392</v>
      </c>
      <c r="G246" s="3">
        <v>87</v>
      </c>
      <c r="H246" s="3">
        <v>104</v>
      </c>
      <c r="I246" s="3" t="s">
        <v>15</v>
      </c>
    </row>
    <row r="247" spans="1:9" x14ac:dyDescent="0.3">
      <c r="A247" s="3" t="s">
        <v>248</v>
      </c>
      <c r="B247" s="3" t="s">
        <v>249</v>
      </c>
      <c r="C247" s="3" t="s">
        <v>412</v>
      </c>
      <c r="D247" s="3" t="s">
        <v>432</v>
      </c>
      <c r="E247" s="3" t="s">
        <v>419</v>
      </c>
      <c r="F247" s="3" t="s">
        <v>454</v>
      </c>
      <c r="G247" s="3">
        <v>58</v>
      </c>
      <c r="H247" s="3">
        <v>120</v>
      </c>
      <c r="I247" s="3" t="s">
        <v>15</v>
      </c>
    </row>
    <row r="248" spans="1:9" x14ac:dyDescent="0.3">
      <c r="A248" s="3" t="s">
        <v>524</v>
      </c>
      <c r="B248" s="3" t="s">
        <v>251</v>
      </c>
      <c r="C248" s="3" t="s">
        <v>447</v>
      </c>
      <c r="D248" s="3" t="s">
        <v>458</v>
      </c>
      <c r="E248" s="3" t="s">
        <v>421</v>
      </c>
      <c r="F248" s="3" t="s">
        <v>433</v>
      </c>
      <c r="G248" s="3">
        <v>83</v>
      </c>
      <c r="H248" s="3">
        <v>138</v>
      </c>
      <c r="I248" s="3" t="s">
        <v>15</v>
      </c>
    </row>
    <row r="249" spans="1:9" x14ac:dyDescent="0.3">
      <c r="A249" s="3" t="s">
        <v>252</v>
      </c>
      <c r="B249" s="3" t="s">
        <v>253</v>
      </c>
      <c r="C249" s="3" t="s">
        <v>407</v>
      </c>
      <c r="D249" s="3" t="s">
        <v>414</v>
      </c>
      <c r="E249" s="3" t="s">
        <v>395</v>
      </c>
      <c r="F249" s="3" t="s">
        <v>429</v>
      </c>
      <c r="G249" s="3">
        <v>103</v>
      </c>
      <c r="H249" s="3">
        <v>80</v>
      </c>
      <c r="I249" s="3" t="s">
        <v>22</v>
      </c>
    </row>
    <row r="250" spans="1:9" x14ac:dyDescent="0.3">
      <c r="A250" s="3" t="s">
        <v>254</v>
      </c>
      <c r="B250" s="3" t="s">
        <v>255</v>
      </c>
      <c r="C250" s="3" t="s">
        <v>393</v>
      </c>
      <c r="D250" s="3" t="s">
        <v>398</v>
      </c>
      <c r="E250" s="3" t="s">
        <v>416</v>
      </c>
      <c r="F250" s="3" t="s">
        <v>403</v>
      </c>
      <c r="G250" s="3">
        <v>83</v>
      </c>
      <c r="H250" s="3">
        <v>52</v>
      </c>
      <c r="I250" s="3" t="s">
        <v>22</v>
      </c>
    </row>
    <row r="251" spans="1:9" x14ac:dyDescent="0.3">
      <c r="A251" s="3" t="s">
        <v>256</v>
      </c>
      <c r="B251" s="3" t="s">
        <v>257</v>
      </c>
      <c r="C251" s="3" t="s">
        <v>441</v>
      </c>
      <c r="D251" s="3" t="s">
        <v>455</v>
      </c>
      <c r="E251" s="3" t="s">
        <v>460</v>
      </c>
      <c r="F251" s="3" t="s">
        <v>397</v>
      </c>
      <c r="G251" s="3">
        <v>85</v>
      </c>
      <c r="H251" s="3">
        <v>40</v>
      </c>
      <c r="I251" s="3" t="s">
        <v>22</v>
      </c>
    </row>
    <row r="252" spans="1:9" x14ac:dyDescent="0.3">
      <c r="A252" s="3" t="s">
        <v>258</v>
      </c>
      <c r="B252" s="3" t="s">
        <v>259</v>
      </c>
      <c r="C252" s="3" t="s">
        <v>389</v>
      </c>
      <c r="D252" s="3" t="s">
        <v>442</v>
      </c>
      <c r="E252" s="3" t="s">
        <v>417</v>
      </c>
      <c r="F252" s="3" t="s">
        <v>406</v>
      </c>
      <c r="G252" s="3">
        <v>95</v>
      </c>
      <c r="H252" s="3">
        <v>60</v>
      </c>
      <c r="I252" s="3" t="s">
        <v>22</v>
      </c>
    </row>
    <row r="253" spans="1:9" x14ac:dyDescent="0.3">
      <c r="A253" s="3" t="s">
        <v>260</v>
      </c>
      <c r="B253" s="3" t="s">
        <v>261</v>
      </c>
      <c r="C253" s="3" t="s">
        <v>446</v>
      </c>
      <c r="D253" s="3" t="s">
        <v>439</v>
      </c>
      <c r="E253" s="3" t="s">
        <v>411</v>
      </c>
      <c r="F253" s="3" t="s">
        <v>418</v>
      </c>
      <c r="G253" s="3">
        <v>103</v>
      </c>
      <c r="H253" s="3">
        <v>37</v>
      </c>
      <c r="I253" s="3" t="s">
        <v>22</v>
      </c>
    </row>
    <row r="254" spans="1:9" x14ac:dyDescent="0.3">
      <c r="A254" s="3" t="s">
        <v>525</v>
      </c>
      <c r="B254" s="3" t="s">
        <v>263</v>
      </c>
      <c r="C254" s="3" t="s">
        <v>401</v>
      </c>
      <c r="D254" s="3" t="s">
        <v>399</v>
      </c>
      <c r="E254" s="3" t="s">
        <v>438</v>
      </c>
      <c r="F254" s="3" t="s">
        <v>392</v>
      </c>
      <c r="G254" s="3">
        <v>118</v>
      </c>
      <c r="H254" s="3">
        <v>64</v>
      </c>
      <c r="I254" s="3" t="s">
        <v>22</v>
      </c>
    </row>
    <row r="255" spans="1:9" x14ac:dyDescent="0.3">
      <c r="A255" s="3" t="s">
        <v>526</v>
      </c>
      <c r="B255" s="3" t="s">
        <v>265</v>
      </c>
      <c r="C255" s="3" t="s">
        <v>388</v>
      </c>
      <c r="D255" s="3" t="s">
        <v>426</v>
      </c>
      <c r="E255" s="3" t="s">
        <v>454</v>
      </c>
      <c r="F255" s="3" t="s">
        <v>424</v>
      </c>
      <c r="G255" s="3">
        <v>92</v>
      </c>
      <c r="H255" s="3">
        <v>54</v>
      </c>
      <c r="I255" s="3" t="s">
        <v>22</v>
      </c>
    </row>
    <row r="256" spans="1:9" x14ac:dyDescent="0.3">
      <c r="A256" s="3" t="s">
        <v>527</v>
      </c>
      <c r="B256" s="3" t="s">
        <v>267</v>
      </c>
      <c r="C256" s="3" t="s">
        <v>423</v>
      </c>
      <c r="D256" s="3" t="s">
        <v>443</v>
      </c>
      <c r="E256" s="3" t="s">
        <v>402</v>
      </c>
      <c r="F256" s="3" t="s">
        <v>452</v>
      </c>
      <c r="G256" s="3">
        <v>85</v>
      </c>
      <c r="H256" s="3">
        <v>40</v>
      </c>
      <c r="I256" s="3" t="s">
        <v>22</v>
      </c>
    </row>
    <row r="257" spans="1:9" x14ac:dyDescent="0.3">
      <c r="A257" s="3" t="s">
        <v>528</v>
      </c>
      <c r="B257" s="3" t="s">
        <v>269</v>
      </c>
      <c r="C257" s="3" t="s">
        <v>461</v>
      </c>
      <c r="D257" s="3" t="s">
        <v>427</v>
      </c>
      <c r="E257" s="3" t="s">
        <v>456</v>
      </c>
      <c r="F257" s="3" t="s">
        <v>449</v>
      </c>
      <c r="G257" s="3">
        <v>130</v>
      </c>
      <c r="H257" s="3">
        <v>25</v>
      </c>
      <c r="I257" s="3" t="s">
        <v>22</v>
      </c>
    </row>
    <row r="258" spans="1:9" x14ac:dyDescent="0.3">
      <c r="A258" s="3" t="s">
        <v>529</v>
      </c>
      <c r="B258" s="3" t="s">
        <v>271</v>
      </c>
      <c r="C258" s="3" t="s">
        <v>395</v>
      </c>
      <c r="D258" s="3" t="s">
        <v>421</v>
      </c>
      <c r="E258" s="3" t="s">
        <v>428</v>
      </c>
      <c r="F258" s="3" t="s">
        <v>390</v>
      </c>
      <c r="G258" s="3">
        <v>87</v>
      </c>
      <c r="H258" s="3">
        <v>53</v>
      </c>
      <c r="I258" s="3" t="s">
        <v>22</v>
      </c>
    </row>
    <row r="259" spans="1:9" x14ac:dyDescent="0.3">
      <c r="A259" s="3" t="s">
        <v>530</v>
      </c>
      <c r="B259" s="3" t="s">
        <v>273</v>
      </c>
      <c r="C259" s="3" t="s">
        <v>408</v>
      </c>
      <c r="D259" s="3" t="s">
        <v>434</v>
      </c>
      <c r="E259" s="3" t="s">
        <v>393</v>
      </c>
      <c r="F259" s="3" t="s">
        <v>404</v>
      </c>
      <c r="G259" s="3">
        <v>100</v>
      </c>
      <c r="H259" s="3">
        <v>87</v>
      </c>
      <c r="I259" s="3" t="s">
        <v>22</v>
      </c>
    </row>
    <row r="260" spans="1:9" x14ac:dyDescent="0.3">
      <c r="A260" s="3" t="s">
        <v>531</v>
      </c>
      <c r="B260" s="3" t="s">
        <v>275</v>
      </c>
      <c r="C260" s="3" t="s">
        <v>409</v>
      </c>
      <c r="D260" s="3" t="s">
        <v>437</v>
      </c>
      <c r="E260" s="3" t="s">
        <v>458</v>
      </c>
      <c r="F260" s="3" t="s">
        <v>387</v>
      </c>
      <c r="G260" s="3">
        <v>97</v>
      </c>
      <c r="H260" s="3">
        <v>79</v>
      </c>
      <c r="I260" s="3" t="s">
        <v>22</v>
      </c>
    </row>
    <row r="261" spans="1:9" x14ac:dyDescent="0.3">
      <c r="A261" s="3" t="s">
        <v>532</v>
      </c>
      <c r="B261" s="3" t="s">
        <v>277</v>
      </c>
      <c r="C261" s="3" t="s">
        <v>396</v>
      </c>
      <c r="D261" s="3" t="s">
        <v>413</v>
      </c>
      <c r="E261" s="3" t="s">
        <v>429</v>
      </c>
      <c r="F261" s="3" t="s">
        <v>419</v>
      </c>
      <c r="G261" s="3">
        <v>84</v>
      </c>
      <c r="H261" s="3">
        <v>86</v>
      </c>
      <c r="I261" s="3" t="s">
        <v>15</v>
      </c>
    </row>
    <row r="262" spans="1:9" x14ac:dyDescent="0.3">
      <c r="A262" s="3" t="s">
        <v>278</v>
      </c>
      <c r="B262" s="3" t="s">
        <v>279</v>
      </c>
      <c r="C262" s="3" t="s">
        <v>431</v>
      </c>
      <c r="D262" s="3" t="s">
        <v>457</v>
      </c>
      <c r="E262" s="3" t="s">
        <v>398</v>
      </c>
      <c r="F262" s="3" t="s">
        <v>394</v>
      </c>
      <c r="G262" s="3">
        <v>102</v>
      </c>
      <c r="H262" s="3">
        <v>105</v>
      </c>
      <c r="I262" s="3" t="s">
        <v>15</v>
      </c>
    </row>
    <row r="263" spans="1:9" x14ac:dyDescent="0.3">
      <c r="A263" s="3" t="s">
        <v>282</v>
      </c>
      <c r="B263" s="3" t="s">
        <v>281</v>
      </c>
      <c r="C263" s="3" t="s">
        <v>436</v>
      </c>
      <c r="D263" s="3" t="s">
        <v>460</v>
      </c>
      <c r="E263" s="3" t="s">
        <v>412</v>
      </c>
      <c r="F263" s="3" t="s">
        <v>451</v>
      </c>
      <c r="G263" s="3">
        <v>148</v>
      </c>
      <c r="H263" s="3">
        <v>86</v>
      </c>
      <c r="I263" s="3" t="s">
        <v>22</v>
      </c>
    </row>
    <row r="264" spans="1:9" x14ac:dyDescent="0.3">
      <c r="A264" s="3" t="s">
        <v>533</v>
      </c>
      <c r="B264" s="3" t="s">
        <v>283</v>
      </c>
      <c r="C264" s="3" t="s">
        <v>453</v>
      </c>
      <c r="D264" s="3" t="s">
        <v>416</v>
      </c>
      <c r="E264" s="3" t="s">
        <v>447</v>
      </c>
      <c r="F264" s="3" t="s">
        <v>414</v>
      </c>
      <c r="G264" s="3">
        <v>89</v>
      </c>
      <c r="H264" s="3">
        <v>77</v>
      </c>
      <c r="I264" s="3" t="s">
        <v>22</v>
      </c>
    </row>
    <row r="265" spans="1:9" x14ac:dyDescent="0.3">
      <c r="A265" s="3" t="s">
        <v>534</v>
      </c>
      <c r="B265" s="3" t="s">
        <v>285</v>
      </c>
      <c r="C265" s="3" t="s">
        <v>448</v>
      </c>
      <c r="D265" s="3" t="s">
        <v>422</v>
      </c>
      <c r="E265" s="3" t="s">
        <v>403</v>
      </c>
      <c r="F265" s="3" t="s">
        <v>441</v>
      </c>
      <c r="G265" s="3">
        <v>42</v>
      </c>
      <c r="H265" s="3">
        <v>75</v>
      </c>
      <c r="I265" s="3" t="s">
        <v>15</v>
      </c>
    </row>
    <row r="266" spans="1:9" x14ac:dyDescent="0.3">
      <c r="A266" s="3" t="s">
        <v>288</v>
      </c>
      <c r="B266" s="3" t="s">
        <v>287</v>
      </c>
      <c r="C266" s="3" t="s">
        <v>444</v>
      </c>
      <c r="D266" s="3" t="s">
        <v>397</v>
      </c>
      <c r="E266" s="3" t="s">
        <v>432</v>
      </c>
      <c r="F266" s="3" t="s">
        <v>407</v>
      </c>
      <c r="G266" s="3">
        <v>85</v>
      </c>
      <c r="H266" s="3">
        <v>92</v>
      </c>
      <c r="I266" s="3" t="s">
        <v>15</v>
      </c>
    </row>
    <row r="267" spans="1:9" x14ac:dyDescent="0.3">
      <c r="A267" s="3" t="s">
        <v>290</v>
      </c>
      <c r="B267" s="3" t="s">
        <v>289</v>
      </c>
      <c r="C267" s="3" t="s">
        <v>433</v>
      </c>
      <c r="D267" s="3" t="s">
        <v>455</v>
      </c>
      <c r="E267" s="3" t="s">
        <v>408</v>
      </c>
      <c r="F267" s="3" t="s">
        <v>427</v>
      </c>
      <c r="G267" s="3">
        <v>98</v>
      </c>
      <c r="H267" s="3">
        <v>92</v>
      </c>
      <c r="I267" s="3" t="s">
        <v>22</v>
      </c>
    </row>
    <row r="268" spans="1:9" x14ac:dyDescent="0.3">
      <c r="A268" s="3" t="s">
        <v>535</v>
      </c>
      <c r="B268" s="3" t="s">
        <v>291</v>
      </c>
      <c r="C268" s="3" t="s">
        <v>409</v>
      </c>
      <c r="D268" s="3" t="s">
        <v>390</v>
      </c>
      <c r="E268" s="3" t="s">
        <v>443</v>
      </c>
      <c r="F268" s="3" t="s">
        <v>399</v>
      </c>
      <c r="G268" s="3">
        <v>65</v>
      </c>
      <c r="H268" s="3">
        <v>106</v>
      </c>
      <c r="I268" s="3" t="s">
        <v>15</v>
      </c>
    </row>
    <row r="269" spans="1:9" x14ac:dyDescent="0.3">
      <c r="A269" s="3" t="s">
        <v>536</v>
      </c>
      <c r="B269" s="3" t="s">
        <v>293</v>
      </c>
      <c r="C269" s="3" t="s">
        <v>446</v>
      </c>
      <c r="D269" s="3" t="s">
        <v>417</v>
      </c>
      <c r="E269" s="3" t="s">
        <v>394</v>
      </c>
      <c r="F269" s="3" t="s">
        <v>388</v>
      </c>
      <c r="G269" s="3">
        <v>143</v>
      </c>
      <c r="H269" s="3">
        <v>60</v>
      </c>
      <c r="I269" s="3" t="s">
        <v>22</v>
      </c>
    </row>
    <row r="270" spans="1:9" x14ac:dyDescent="0.3">
      <c r="A270" s="3" t="s">
        <v>537</v>
      </c>
      <c r="B270" s="3" t="s">
        <v>295</v>
      </c>
      <c r="C270" s="3" t="s">
        <v>456</v>
      </c>
      <c r="D270" s="3" t="s">
        <v>418</v>
      </c>
      <c r="E270" s="3" t="s">
        <v>460</v>
      </c>
      <c r="F270" s="3" t="s">
        <v>437</v>
      </c>
      <c r="G270" s="3">
        <v>69</v>
      </c>
      <c r="H270" s="3">
        <v>131</v>
      </c>
      <c r="I270" s="3" t="s">
        <v>15</v>
      </c>
    </row>
    <row r="271" spans="1:9" x14ac:dyDescent="0.3">
      <c r="A271" s="3" t="s">
        <v>538</v>
      </c>
      <c r="B271" s="3" t="s">
        <v>297</v>
      </c>
      <c r="C271" s="3" t="s">
        <v>438</v>
      </c>
      <c r="D271" s="3" t="s">
        <v>414</v>
      </c>
      <c r="E271" s="3" t="s">
        <v>434</v>
      </c>
      <c r="F271" s="3" t="s">
        <v>421</v>
      </c>
      <c r="G271" s="3">
        <v>90</v>
      </c>
      <c r="H271" s="3">
        <v>112</v>
      </c>
      <c r="I271" s="3" t="s">
        <v>15</v>
      </c>
    </row>
    <row r="272" spans="1:9" x14ac:dyDescent="0.3">
      <c r="A272" s="3" t="s">
        <v>539</v>
      </c>
      <c r="B272" s="3" t="s">
        <v>299</v>
      </c>
      <c r="C272" s="3" t="s">
        <v>422</v>
      </c>
      <c r="D272" s="3" t="s">
        <v>442</v>
      </c>
      <c r="E272" s="3" t="s">
        <v>453</v>
      </c>
      <c r="F272" s="3" t="s">
        <v>396</v>
      </c>
      <c r="G272" s="3">
        <v>80</v>
      </c>
      <c r="H272" s="3">
        <v>80</v>
      </c>
      <c r="I272" s="3" t="s">
        <v>494</v>
      </c>
    </row>
    <row r="273" spans="1:9" x14ac:dyDescent="0.3">
      <c r="A273" s="3" t="s">
        <v>540</v>
      </c>
      <c r="B273" s="3" t="s">
        <v>301</v>
      </c>
      <c r="C273" s="3" t="s">
        <v>424</v>
      </c>
      <c r="D273" s="3" t="s">
        <v>447</v>
      </c>
      <c r="E273" s="3" t="s">
        <v>397</v>
      </c>
      <c r="F273" s="3" t="s">
        <v>395</v>
      </c>
      <c r="G273" s="3">
        <v>103</v>
      </c>
      <c r="H273" s="3">
        <v>45</v>
      </c>
      <c r="I273" s="3" t="s">
        <v>22</v>
      </c>
    </row>
    <row r="274" spans="1:9" x14ac:dyDescent="0.3">
      <c r="A274" s="3" t="s">
        <v>541</v>
      </c>
      <c r="B274" s="3" t="s">
        <v>303</v>
      </c>
      <c r="C274" s="3" t="s">
        <v>429</v>
      </c>
      <c r="D274" s="3" t="s">
        <v>452</v>
      </c>
      <c r="E274" s="3" t="s">
        <v>406</v>
      </c>
      <c r="F274" s="3" t="s">
        <v>403</v>
      </c>
      <c r="G274" s="3">
        <v>83</v>
      </c>
      <c r="H274" s="3">
        <v>70</v>
      </c>
      <c r="I274" s="3" t="s">
        <v>22</v>
      </c>
    </row>
    <row r="275" spans="1:9" x14ac:dyDescent="0.3">
      <c r="A275" s="3" t="s">
        <v>542</v>
      </c>
      <c r="B275" s="3" t="s">
        <v>305</v>
      </c>
      <c r="C275" s="3" t="s">
        <v>428</v>
      </c>
      <c r="D275" s="3" t="s">
        <v>404</v>
      </c>
      <c r="E275" s="3" t="s">
        <v>412</v>
      </c>
      <c r="F275" s="3" t="s">
        <v>433</v>
      </c>
      <c r="G275" s="3">
        <v>93</v>
      </c>
      <c r="H275" s="3">
        <v>55</v>
      </c>
      <c r="I275" s="3" t="s">
        <v>22</v>
      </c>
    </row>
    <row r="276" spans="1:9" x14ac:dyDescent="0.3">
      <c r="A276" s="3" t="s">
        <v>543</v>
      </c>
      <c r="B276" s="3" t="s">
        <v>307</v>
      </c>
      <c r="C276" s="3" t="s">
        <v>441</v>
      </c>
      <c r="D276" s="3" t="s">
        <v>419</v>
      </c>
      <c r="E276" s="3" t="s">
        <v>461</v>
      </c>
      <c r="F276" s="3" t="s">
        <v>387</v>
      </c>
      <c r="G276" s="3">
        <v>37</v>
      </c>
      <c r="H276" s="3">
        <v>92</v>
      </c>
      <c r="I276" s="3" t="s">
        <v>15</v>
      </c>
    </row>
    <row r="277" spans="1:9" x14ac:dyDescent="0.3">
      <c r="A277" s="3" t="s">
        <v>544</v>
      </c>
      <c r="B277" s="3" t="s">
        <v>309</v>
      </c>
      <c r="C277" s="3" t="s">
        <v>389</v>
      </c>
      <c r="D277" s="3" t="s">
        <v>457</v>
      </c>
      <c r="E277" s="3" t="s">
        <v>449</v>
      </c>
      <c r="F277" s="3" t="s">
        <v>416</v>
      </c>
      <c r="G277" s="3">
        <v>95</v>
      </c>
      <c r="H277" s="3">
        <v>112</v>
      </c>
      <c r="I277" s="3" t="s">
        <v>15</v>
      </c>
    </row>
    <row r="278" spans="1:9" x14ac:dyDescent="0.3">
      <c r="A278" s="3" t="s">
        <v>545</v>
      </c>
      <c r="B278" s="3" t="s">
        <v>311</v>
      </c>
      <c r="C278" s="3" t="s">
        <v>398</v>
      </c>
      <c r="D278" s="3" t="s">
        <v>444</v>
      </c>
      <c r="E278" s="3" t="s">
        <v>423</v>
      </c>
      <c r="F278" s="3" t="s">
        <v>451</v>
      </c>
      <c r="G278" s="3">
        <v>168</v>
      </c>
      <c r="H278" s="3">
        <v>48</v>
      </c>
      <c r="I278" s="3" t="s">
        <v>22</v>
      </c>
    </row>
    <row r="279" spans="1:9" x14ac:dyDescent="0.3">
      <c r="A279" s="3" t="s">
        <v>546</v>
      </c>
      <c r="B279" s="3" t="s">
        <v>313</v>
      </c>
      <c r="C279" s="3" t="s">
        <v>392</v>
      </c>
      <c r="D279" s="3" t="s">
        <v>432</v>
      </c>
      <c r="E279" s="3" t="s">
        <v>413</v>
      </c>
      <c r="F279" s="3" t="s">
        <v>426</v>
      </c>
      <c r="G279" s="3">
        <v>52</v>
      </c>
      <c r="H279" s="3">
        <v>62</v>
      </c>
      <c r="I279" s="3" t="s">
        <v>15</v>
      </c>
    </row>
    <row r="280" spans="1:9" x14ac:dyDescent="0.3">
      <c r="A280" s="3" t="s">
        <v>312</v>
      </c>
      <c r="B280" s="3" t="s">
        <v>315</v>
      </c>
      <c r="C280" s="3" t="s">
        <v>458</v>
      </c>
      <c r="D280" s="3" t="s">
        <v>411</v>
      </c>
      <c r="E280" s="3" t="s">
        <v>393</v>
      </c>
      <c r="F280" s="3" t="s">
        <v>436</v>
      </c>
      <c r="G280" s="3">
        <v>79</v>
      </c>
      <c r="H280" s="3">
        <v>111</v>
      </c>
      <c r="I280" s="3" t="s">
        <v>15</v>
      </c>
    </row>
    <row r="281" spans="1:9" x14ac:dyDescent="0.3">
      <c r="A281" s="3" t="s">
        <v>314</v>
      </c>
      <c r="B281" s="3" t="s">
        <v>317</v>
      </c>
      <c r="C281" s="3" t="s">
        <v>431</v>
      </c>
      <c r="D281" s="3" t="s">
        <v>454</v>
      </c>
      <c r="E281" s="3" t="s">
        <v>439</v>
      </c>
      <c r="F281" s="3" t="s">
        <v>402</v>
      </c>
      <c r="G281" s="3">
        <v>62</v>
      </c>
      <c r="H281" s="3">
        <v>22</v>
      </c>
      <c r="I281" s="3" t="s">
        <v>22</v>
      </c>
    </row>
    <row r="282" spans="1:9" x14ac:dyDescent="0.3">
      <c r="A282" s="3" t="s">
        <v>547</v>
      </c>
      <c r="B282" s="3" t="s">
        <v>319</v>
      </c>
      <c r="C282" s="3" t="s">
        <v>407</v>
      </c>
      <c r="D282" s="3" t="s">
        <v>401</v>
      </c>
      <c r="E282" s="3" t="s">
        <v>448</v>
      </c>
      <c r="F282" s="3" t="s">
        <v>455</v>
      </c>
      <c r="G282" s="3">
        <v>94</v>
      </c>
      <c r="H282" s="3">
        <v>70</v>
      </c>
      <c r="I282" s="3" t="s">
        <v>22</v>
      </c>
    </row>
    <row r="283" spans="1:9" x14ac:dyDescent="0.3">
      <c r="A283" s="3" t="s">
        <v>318</v>
      </c>
      <c r="B283" s="3" t="s">
        <v>321</v>
      </c>
      <c r="C283" s="3" t="s">
        <v>443</v>
      </c>
      <c r="D283" s="3" t="s">
        <v>412</v>
      </c>
      <c r="E283" s="3" t="s">
        <v>446</v>
      </c>
      <c r="F283" s="3" t="s">
        <v>422</v>
      </c>
      <c r="G283" s="3">
        <v>80</v>
      </c>
      <c r="H283" s="3">
        <v>123</v>
      </c>
      <c r="I283" s="3" t="s">
        <v>15</v>
      </c>
    </row>
    <row r="284" spans="1:9" x14ac:dyDescent="0.3">
      <c r="A284" s="3" t="s">
        <v>320</v>
      </c>
      <c r="B284" s="3" t="s">
        <v>323</v>
      </c>
      <c r="C284" s="3" t="s">
        <v>424</v>
      </c>
      <c r="D284" s="3" t="s">
        <v>429</v>
      </c>
      <c r="E284" s="3" t="s">
        <v>438</v>
      </c>
      <c r="F284" s="3" t="s">
        <v>390</v>
      </c>
      <c r="G284" s="3">
        <v>70</v>
      </c>
      <c r="H284" s="3">
        <v>47</v>
      </c>
      <c r="I284" s="3" t="s">
        <v>22</v>
      </c>
    </row>
    <row r="285" spans="1:9" x14ac:dyDescent="0.3">
      <c r="A285" s="3" t="s">
        <v>548</v>
      </c>
      <c r="B285" s="3" t="s">
        <v>325</v>
      </c>
      <c r="C285" s="3" t="s">
        <v>452</v>
      </c>
      <c r="D285" s="3" t="s">
        <v>416</v>
      </c>
      <c r="E285" s="3" t="s">
        <v>409</v>
      </c>
      <c r="F285" s="3" t="s">
        <v>460</v>
      </c>
      <c r="G285" s="3">
        <v>62</v>
      </c>
      <c r="H285" s="3">
        <v>105</v>
      </c>
      <c r="I285" s="3" t="s">
        <v>15</v>
      </c>
    </row>
    <row r="286" spans="1:9" x14ac:dyDescent="0.3">
      <c r="A286" s="3" t="s">
        <v>549</v>
      </c>
      <c r="B286" s="3" t="s">
        <v>327</v>
      </c>
      <c r="C286" s="3" t="s">
        <v>397</v>
      </c>
      <c r="D286" s="3" t="s">
        <v>421</v>
      </c>
      <c r="E286" s="3" t="s">
        <v>392</v>
      </c>
      <c r="F286" s="3" t="s">
        <v>451</v>
      </c>
      <c r="G286" s="3">
        <v>109</v>
      </c>
      <c r="H286" s="3">
        <v>87</v>
      </c>
      <c r="I286" s="3" t="s">
        <v>22</v>
      </c>
    </row>
    <row r="287" spans="1:9" x14ac:dyDescent="0.3">
      <c r="A287" s="3" t="s">
        <v>550</v>
      </c>
      <c r="B287" s="3" t="s">
        <v>329</v>
      </c>
      <c r="C287" s="3" t="s">
        <v>419</v>
      </c>
      <c r="D287" s="3" t="s">
        <v>398</v>
      </c>
      <c r="E287" s="3" t="s">
        <v>442</v>
      </c>
      <c r="F287" s="3" t="s">
        <v>456</v>
      </c>
      <c r="G287" s="3">
        <v>60</v>
      </c>
      <c r="H287" s="3">
        <v>80</v>
      </c>
      <c r="I287" s="3" t="s">
        <v>15</v>
      </c>
    </row>
    <row r="288" spans="1:9" x14ac:dyDescent="0.3">
      <c r="A288" s="3" t="s">
        <v>551</v>
      </c>
      <c r="B288" s="3" t="s">
        <v>331</v>
      </c>
      <c r="C288" s="3" t="s">
        <v>441</v>
      </c>
      <c r="D288" s="3" t="s">
        <v>427</v>
      </c>
      <c r="E288" s="3" t="s">
        <v>389</v>
      </c>
      <c r="F288" s="3" t="s">
        <v>393</v>
      </c>
      <c r="G288" s="3">
        <v>98</v>
      </c>
      <c r="H288" s="3">
        <v>90</v>
      </c>
      <c r="I288" s="3" t="s">
        <v>22</v>
      </c>
    </row>
    <row r="289" spans="1:9" x14ac:dyDescent="0.3">
      <c r="A289" s="3" t="s">
        <v>552</v>
      </c>
      <c r="B289" s="3" t="s">
        <v>333</v>
      </c>
      <c r="C289" s="3" t="s">
        <v>448</v>
      </c>
      <c r="D289" s="3" t="s">
        <v>388</v>
      </c>
      <c r="E289" s="3" t="s">
        <v>414</v>
      </c>
      <c r="F289" s="3" t="s">
        <v>461</v>
      </c>
      <c r="G289" s="3">
        <v>83</v>
      </c>
      <c r="H289" s="3">
        <v>87</v>
      </c>
      <c r="I289" s="3" t="s">
        <v>15</v>
      </c>
    </row>
    <row r="290" spans="1:9" x14ac:dyDescent="0.3">
      <c r="A290" s="3" t="s">
        <v>553</v>
      </c>
      <c r="B290" s="3" t="s">
        <v>335</v>
      </c>
      <c r="C290" s="3" t="s">
        <v>418</v>
      </c>
      <c r="D290" s="3" t="s">
        <v>449</v>
      </c>
      <c r="E290" s="3" t="s">
        <v>434</v>
      </c>
      <c r="F290" s="3" t="s">
        <v>444</v>
      </c>
      <c r="G290" s="3">
        <v>31</v>
      </c>
      <c r="H290" s="3">
        <v>90</v>
      </c>
      <c r="I290" s="3" t="s">
        <v>15</v>
      </c>
    </row>
    <row r="291" spans="1:9" x14ac:dyDescent="0.3">
      <c r="A291" s="3" t="s">
        <v>554</v>
      </c>
      <c r="B291" s="3" t="s">
        <v>337</v>
      </c>
      <c r="C291" s="3" t="s">
        <v>406</v>
      </c>
      <c r="D291" s="3" t="s">
        <v>423</v>
      </c>
      <c r="E291" s="3" t="s">
        <v>433</v>
      </c>
      <c r="F291" s="3" t="s">
        <v>457</v>
      </c>
      <c r="G291" s="3">
        <v>43</v>
      </c>
      <c r="H291" s="3">
        <v>105</v>
      </c>
      <c r="I291" s="3" t="s">
        <v>15</v>
      </c>
    </row>
    <row r="292" spans="1:9" x14ac:dyDescent="0.3">
      <c r="A292" s="3" t="s">
        <v>555</v>
      </c>
      <c r="B292" s="3" t="s">
        <v>339</v>
      </c>
      <c r="C292" s="3" t="s">
        <v>407</v>
      </c>
      <c r="D292" s="3" t="s">
        <v>454</v>
      </c>
      <c r="E292" s="3" t="s">
        <v>417</v>
      </c>
      <c r="F292" s="3" t="s">
        <v>447</v>
      </c>
      <c r="G292" s="3">
        <v>63</v>
      </c>
      <c r="H292" s="3">
        <v>20</v>
      </c>
      <c r="I292" s="3" t="s">
        <v>22</v>
      </c>
    </row>
    <row r="293" spans="1:9" x14ac:dyDescent="0.3">
      <c r="A293" s="3" t="s">
        <v>556</v>
      </c>
      <c r="B293" s="3" t="s">
        <v>341</v>
      </c>
      <c r="C293" s="3" t="s">
        <v>402</v>
      </c>
      <c r="D293" s="3" t="s">
        <v>453</v>
      </c>
      <c r="E293" s="3" t="s">
        <v>436</v>
      </c>
      <c r="F293" s="3" t="s">
        <v>455</v>
      </c>
      <c r="G293" s="3">
        <v>130</v>
      </c>
      <c r="H293" s="3">
        <v>83</v>
      </c>
      <c r="I293" s="3" t="s">
        <v>22</v>
      </c>
    </row>
    <row r="294" spans="1:9" x14ac:dyDescent="0.3">
      <c r="A294" s="3" t="s">
        <v>557</v>
      </c>
      <c r="B294" s="3" t="s">
        <v>343</v>
      </c>
      <c r="C294" s="3" t="s">
        <v>408</v>
      </c>
      <c r="D294" s="3" t="s">
        <v>403</v>
      </c>
      <c r="E294" s="3" t="s">
        <v>399</v>
      </c>
      <c r="F294" s="3" t="s">
        <v>413</v>
      </c>
      <c r="G294" s="3">
        <v>92</v>
      </c>
      <c r="H294" s="3">
        <v>59</v>
      </c>
      <c r="I294" s="3" t="s">
        <v>22</v>
      </c>
    </row>
    <row r="295" spans="1:9" x14ac:dyDescent="0.3">
      <c r="A295" s="3" t="s">
        <v>558</v>
      </c>
      <c r="B295" s="3" t="s">
        <v>345</v>
      </c>
      <c r="C295" s="3" t="s">
        <v>458</v>
      </c>
      <c r="D295" s="3" t="s">
        <v>428</v>
      </c>
      <c r="E295" s="3" t="s">
        <v>439</v>
      </c>
      <c r="F295" s="3" t="s">
        <v>432</v>
      </c>
      <c r="G295" s="3">
        <v>129</v>
      </c>
      <c r="H295" s="3">
        <v>59</v>
      </c>
      <c r="I295" s="3" t="s">
        <v>22</v>
      </c>
    </row>
    <row r="296" spans="1:9" x14ac:dyDescent="0.3">
      <c r="A296" s="3" t="s">
        <v>559</v>
      </c>
      <c r="B296" s="3" t="s">
        <v>347</v>
      </c>
      <c r="C296" s="3" t="s">
        <v>404</v>
      </c>
      <c r="D296" s="3" t="s">
        <v>396</v>
      </c>
      <c r="E296" s="3" t="s">
        <v>395</v>
      </c>
      <c r="F296" s="3" t="s">
        <v>431</v>
      </c>
      <c r="G296" s="3">
        <v>71</v>
      </c>
      <c r="H296" s="3">
        <v>63</v>
      </c>
      <c r="I296" s="3" t="s">
        <v>22</v>
      </c>
    </row>
    <row r="297" spans="1:9" x14ac:dyDescent="0.3">
      <c r="A297" s="3" t="s">
        <v>560</v>
      </c>
      <c r="B297" s="3" t="s">
        <v>349</v>
      </c>
      <c r="C297" s="3" t="s">
        <v>387</v>
      </c>
      <c r="D297" s="3" t="s">
        <v>411</v>
      </c>
      <c r="E297" s="3" t="s">
        <v>401</v>
      </c>
      <c r="F297" s="3" t="s">
        <v>426</v>
      </c>
      <c r="G297" s="3">
        <v>84</v>
      </c>
      <c r="H297" s="3">
        <v>127</v>
      </c>
      <c r="I297" s="3" t="s">
        <v>15</v>
      </c>
    </row>
    <row r="298" spans="1:9" x14ac:dyDescent="0.3">
      <c r="A298" s="3" t="s">
        <v>561</v>
      </c>
      <c r="B298" s="3" t="s">
        <v>351</v>
      </c>
      <c r="C298" s="3" t="s">
        <v>394</v>
      </c>
      <c r="D298" s="3" t="s">
        <v>437</v>
      </c>
      <c r="E298" s="3" t="s">
        <v>397</v>
      </c>
      <c r="F298" s="3" t="s">
        <v>433</v>
      </c>
      <c r="G298" s="3">
        <v>80</v>
      </c>
      <c r="H298" s="3">
        <v>96</v>
      </c>
      <c r="I298" s="3" t="s">
        <v>15</v>
      </c>
    </row>
    <row r="299" spans="1:9" x14ac:dyDescent="0.3">
      <c r="A299" s="3" t="s">
        <v>562</v>
      </c>
      <c r="B299" s="3" t="s">
        <v>353</v>
      </c>
      <c r="C299" s="3" t="s">
        <v>446</v>
      </c>
      <c r="D299" s="3" t="s">
        <v>389</v>
      </c>
      <c r="E299" s="3" t="s">
        <v>416</v>
      </c>
      <c r="F299" s="3" t="s">
        <v>429</v>
      </c>
      <c r="G299" s="3">
        <v>163</v>
      </c>
      <c r="H299" s="3">
        <v>65</v>
      </c>
      <c r="I299" s="3" t="s">
        <v>22</v>
      </c>
    </row>
    <row r="300" spans="1:9" x14ac:dyDescent="0.3">
      <c r="A300" s="3" t="s">
        <v>563</v>
      </c>
      <c r="B300" s="3" t="s">
        <v>355</v>
      </c>
      <c r="C300" s="3" t="s">
        <v>428</v>
      </c>
      <c r="D300" s="3" t="s">
        <v>441</v>
      </c>
      <c r="E300" s="3" t="s">
        <v>437</v>
      </c>
      <c r="F300" s="3" t="s">
        <v>461</v>
      </c>
      <c r="G300" s="3">
        <v>103</v>
      </c>
      <c r="H300" s="3">
        <v>80</v>
      </c>
      <c r="I300" s="3" t="s">
        <v>22</v>
      </c>
    </row>
    <row r="301" spans="1:9" x14ac:dyDescent="0.3">
      <c r="A301" s="3" t="s">
        <v>564</v>
      </c>
      <c r="B301" s="3" t="s">
        <v>357</v>
      </c>
      <c r="C301" s="3" t="s">
        <v>436</v>
      </c>
      <c r="D301" s="3" t="s">
        <v>460</v>
      </c>
      <c r="E301" s="3" t="s">
        <v>408</v>
      </c>
      <c r="F301" s="3" t="s">
        <v>387</v>
      </c>
      <c r="G301" s="3">
        <v>103</v>
      </c>
      <c r="H301" s="3">
        <v>87</v>
      </c>
      <c r="I301" s="3" t="s">
        <v>22</v>
      </c>
    </row>
    <row r="302" spans="1:9" x14ac:dyDescent="0.3">
      <c r="A302" s="3" t="s">
        <v>565</v>
      </c>
      <c r="B302" s="3" t="s">
        <v>359</v>
      </c>
      <c r="C302" s="3" t="s">
        <v>398</v>
      </c>
      <c r="D302" s="3" t="s">
        <v>426</v>
      </c>
      <c r="E302" s="3" t="s">
        <v>421</v>
      </c>
      <c r="F302" s="3" t="s">
        <v>427</v>
      </c>
      <c r="G302" s="3">
        <v>65</v>
      </c>
      <c r="H302" s="3">
        <v>100</v>
      </c>
      <c r="I302" s="3" t="s">
        <v>15</v>
      </c>
    </row>
    <row r="303" spans="1:9" x14ac:dyDescent="0.3">
      <c r="A303" s="3" t="s">
        <v>566</v>
      </c>
      <c r="B303" s="3" t="s">
        <v>361</v>
      </c>
      <c r="C303" s="3" t="s">
        <v>446</v>
      </c>
      <c r="D303" s="3" t="s">
        <v>389</v>
      </c>
      <c r="E303" s="3" t="s">
        <v>428</v>
      </c>
      <c r="F303" s="3" t="s">
        <v>441</v>
      </c>
      <c r="G303" s="3">
        <v>105</v>
      </c>
      <c r="H303" s="3">
        <v>90</v>
      </c>
      <c r="I303" s="3" t="s">
        <v>22</v>
      </c>
    </row>
    <row r="304" spans="1:9" x14ac:dyDescent="0.3">
      <c r="A304" s="3" t="s">
        <v>567</v>
      </c>
      <c r="B304" s="3" t="s">
        <v>363</v>
      </c>
      <c r="C304" s="3" t="s">
        <v>436</v>
      </c>
      <c r="D304" s="3" t="s">
        <v>460</v>
      </c>
      <c r="E304" s="3" t="s">
        <v>421</v>
      </c>
      <c r="F304" s="3" t="s">
        <v>427</v>
      </c>
      <c r="G304" s="3">
        <v>85</v>
      </c>
      <c r="H304" s="3">
        <v>128</v>
      </c>
      <c r="I304" s="3" t="s">
        <v>15</v>
      </c>
    </row>
    <row r="305" spans="1:9" x14ac:dyDescent="0.3">
      <c r="A305" s="3" t="s">
        <v>568</v>
      </c>
      <c r="B305" s="3" t="s">
        <v>365</v>
      </c>
      <c r="C305" s="3" t="s">
        <v>446</v>
      </c>
      <c r="D305" s="3" t="s">
        <v>389</v>
      </c>
      <c r="E305" s="3" t="s">
        <v>421</v>
      </c>
      <c r="F305" s="3" t="s">
        <v>427</v>
      </c>
      <c r="G305" s="3">
        <v>158</v>
      </c>
      <c r="H305" s="3">
        <v>90</v>
      </c>
      <c r="I305" s="3" t="s">
        <v>22</v>
      </c>
    </row>
    <row r="306" spans="1:9" x14ac:dyDescent="0.3">
      <c r="A306" s="3" t="s">
        <v>569</v>
      </c>
      <c r="B306" s="3" t="s">
        <v>367</v>
      </c>
      <c r="C306" s="3" t="s">
        <v>446</v>
      </c>
      <c r="D306" s="3" t="s">
        <v>389</v>
      </c>
      <c r="E306" s="3" t="s">
        <v>421</v>
      </c>
      <c r="F306" s="3" t="s">
        <v>427</v>
      </c>
      <c r="G306" s="3">
        <v>105</v>
      </c>
      <c r="H306" s="3">
        <v>97</v>
      </c>
      <c r="I306" s="3" t="s">
        <v>22</v>
      </c>
    </row>
    <row r="307" spans="1:9" x14ac:dyDescent="0.3">
      <c r="A307" s="3" t="s">
        <v>570</v>
      </c>
      <c r="B307" s="3" t="s">
        <v>371</v>
      </c>
      <c r="C307" s="3" t="s">
        <v>446</v>
      </c>
      <c r="D307" s="3" t="s">
        <v>389</v>
      </c>
      <c r="E307" s="3" t="s">
        <v>395</v>
      </c>
      <c r="F307" s="3" t="s">
        <v>394</v>
      </c>
      <c r="G307" s="3">
        <v>160</v>
      </c>
      <c r="H307" s="3">
        <v>54</v>
      </c>
      <c r="I307" s="3" t="s">
        <v>22</v>
      </c>
    </row>
    <row r="308" spans="1:9" x14ac:dyDescent="0.3">
      <c r="A308" s="3" t="s">
        <v>571</v>
      </c>
      <c r="B308" s="3" t="s">
        <v>373</v>
      </c>
      <c r="C308" s="3" t="s">
        <v>453</v>
      </c>
      <c r="D308" s="3" t="s">
        <v>392</v>
      </c>
      <c r="E308" s="3" t="s">
        <v>416</v>
      </c>
      <c r="F308" s="3" t="s">
        <v>429</v>
      </c>
      <c r="G308" s="3">
        <v>0</v>
      </c>
      <c r="H308" s="3">
        <v>115</v>
      </c>
      <c r="I308" s="3" t="s">
        <v>15</v>
      </c>
    </row>
    <row r="309" spans="1:9" x14ac:dyDescent="0.3">
      <c r="A309" s="3" t="s">
        <v>572</v>
      </c>
      <c r="B309" s="3" t="s">
        <v>375</v>
      </c>
      <c r="C309" s="3" t="s">
        <v>428</v>
      </c>
      <c r="D309" s="3" t="s">
        <v>441</v>
      </c>
      <c r="E309" s="3" t="s">
        <v>401</v>
      </c>
      <c r="F309" s="3" t="s">
        <v>407</v>
      </c>
      <c r="G309" s="3">
        <v>140</v>
      </c>
      <c r="H309" s="3">
        <v>55</v>
      </c>
      <c r="I309" s="3" t="s">
        <v>22</v>
      </c>
    </row>
    <row r="310" spans="1:9" x14ac:dyDescent="0.3">
      <c r="A310" s="3" t="s">
        <v>573</v>
      </c>
      <c r="B310" s="3" t="s">
        <v>377</v>
      </c>
      <c r="C310" s="3" t="s">
        <v>437</v>
      </c>
      <c r="D310" s="3" t="s">
        <v>461</v>
      </c>
      <c r="E310" s="3" t="s">
        <v>403</v>
      </c>
      <c r="F310" s="3" t="s">
        <v>393</v>
      </c>
      <c r="G310" s="3">
        <v>121</v>
      </c>
      <c r="H310" s="3">
        <v>72</v>
      </c>
      <c r="I310" s="3" t="s">
        <v>22</v>
      </c>
    </row>
    <row r="311" spans="1:9" x14ac:dyDescent="0.3">
      <c r="A311" s="3" t="s">
        <v>574</v>
      </c>
      <c r="B311" s="3" t="s">
        <v>379</v>
      </c>
      <c r="C311" s="3" t="s">
        <v>436</v>
      </c>
      <c r="D311" s="3" t="s">
        <v>460</v>
      </c>
      <c r="E311" s="3" t="s">
        <v>419</v>
      </c>
      <c r="F311" s="3" t="s">
        <v>396</v>
      </c>
      <c r="G311" s="3">
        <v>84</v>
      </c>
      <c r="H311" s="3">
        <v>60</v>
      </c>
      <c r="I311" s="3" t="s">
        <v>22</v>
      </c>
    </row>
    <row r="312" spans="1:9" x14ac:dyDescent="0.3">
      <c r="A312" s="3" t="s">
        <v>575</v>
      </c>
      <c r="B312" s="3" t="s">
        <v>381</v>
      </c>
      <c r="C312" s="3" t="s">
        <v>414</v>
      </c>
      <c r="D312" s="3" t="s">
        <v>457</v>
      </c>
      <c r="E312" s="3" t="s">
        <v>408</v>
      </c>
      <c r="F312" s="3" t="s">
        <v>387</v>
      </c>
      <c r="G312" s="3">
        <v>0</v>
      </c>
      <c r="H312" s="3">
        <v>72</v>
      </c>
      <c r="I312" s="3" t="s">
        <v>15</v>
      </c>
    </row>
    <row r="313" spans="1:9" x14ac:dyDescent="0.3">
      <c r="A313" s="3" t="s">
        <v>576</v>
      </c>
      <c r="B313" s="3" t="s">
        <v>383</v>
      </c>
      <c r="C313" s="3" t="s">
        <v>398</v>
      </c>
      <c r="D313" s="3" t="s">
        <v>426</v>
      </c>
      <c r="E313" s="3" t="s">
        <v>423</v>
      </c>
      <c r="F313" s="3" t="s">
        <v>397</v>
      </c>
      <c r="G313" s="3">
        <v>158</v>
      </c>
      <c r="H313" s="3">
        <v>0</v>
      </c>
      <c r="I313" s="3" t="s">
        <v>22</v>
      </c>
    </row>
    <row r="314" spans="1:9" x14ac:dyDescent="0.3">
      <c r="A314" s="3" t="s">
        <v>577</v>
      </c>
      <c r="B314" s="3" t="s">
        <v>385</v>
      </c>
      <c r="C314" s="3" t="s">
        <v>421</v>
      </c>
      <c r="D314" s="3" t="s">
        <v>427</v>
      </c>
      <c r="E314" s="3" t="s">
        <v>422</v>
      </c>
      <c r="F314" s="3" t="s">
        <v>433</v>
      </c>
      <c r="G314" s="3">
        <v>168</v>
      </c>
      <c r="H314" s="3">
        <v>100</v>
      </c>
      <c r="I314" s="3" t="s">
        <v>22</v>
      </c>
    </row>
    <row r="315" spans="1:9" x14ac:dyDescent="0.3">
      <c r="A315" s="6" t="s">
        <v>580</v>
      </c>
      <c r="B315" s="6" t="s">
        <v>365</v>
      </c>
      <c r="C315" s="6" t="s">
        <v>446</v>
      </c>
      <c r="D315" s="6" t="s">
        <v>389</v>
      </c>
      <c r="E315" s="6" t="s">
        <v>27</v>
      </c>
      <c r="F315" s="6" t="s">
        <v>43</v>
      </c>
      <c r="G315" s="6">
        <v>138</v>
      </c>
      <c r="H315" s="6">
        <v>77</v>
      </c>
      <c r="I315" s="6" t="s">
        <v>22</v>
      </c>
    </row>
    <row r="316" spans="1:9" x14ac:dyDescent="0.3">
      <c r="A316" s="6" t="s">
        <v>581</v>
      </c>
      <c r="B316" s="6" t="s">
        <v>367</v>
      </c>
      <c r="C316" s="6" t="s">
        <v>446</v>
      </c>
      <c r="D316" s="6" t="s">
        <v>389</v>
      </c>
      <c r="E316" s="6" t="s">
        <v>27</v>
      </c>
      <c r="F316" s="6" t="s">
        <v>43</v>
      </c>
      <c r="G316" s="6">
        <v>129</v>
      </c>
      <c r="H316" s="6">
        <v>89</v>
      </c>
      <c r="I316" s="6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95D60E-E710-421A-A877-1B962251BC32}">
  <dimension ref="A1:W1261"/>
  <sheetViews>
    <sheetView topLeftCell="H1" workbookViewId="0">
      <selection activeCell="U1" sqref="U1:W561"/>
    </sheetView>
  </sheetViews>
  <sheetFormatPr defaultRowHeight="14.4" x14ac:dyDescent="0.3"/>
  <sheetData>
    <row r="1" spans="1:23" x14ac:dyDescent="0.3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6</v>
      </c>
      <c r="G1" s="1" t="s">
        <v>7</v>
      </c>
      <c r="H1" s="1" t="s">
        <v>7</v>
      </c>
      <c r="K1" s="1" t="s">
        <v>583</v>
      </c>
      <c r="L1" s="1" t="s">
        <v>584</v>
      </c>
      <c r="N1" t="s">
        <v>585</v>
      </c>
      <c r="O1" t="s">
        <v>586</v>
      </c>
      <c r="P1" t="s">
        <v>584</v>
      </c>
      <c r="R1" t="s">
        <v>583</v>
      </c>
      <c r="S1" t="s">
        <v>584</v>
      </c>
      <c r="U1" t="s">
        <v>585</v>
      </c>
      <c r="V1" t="s">
        <v>586</v>
      </c>
      <c r="W1" t="s">
        <v>584</v>
      </c>
    </row>
    <row r="2" spans="1:23" x14ac:dyDescent="0.3">
      <c r="A2" s="2" t="s">
        <v>11</v>
      </c>
      <c r="B2" s="2" t="s">
        <v>12</v>
      </c>
      <c r="C2" s="2" t="s">
        <v>13</v>
      </c>
      <c r="D2" s="2" t="s">
        <v>14</v>
      </c>
      <c r="E2" s="2">
        <v>59</v>
      </c>
      <c r="F2" s="2">
        <v>59</v>
      </c>
      <c r="G2" s="2">
        <v>107</v>
      </c>
      <c r="H2" s="2">
        <v>107</v>
      </c>
      <c r="K2" t="str" cm="1">
        <f t="array" ref="K2:K1261">_xlfn.TOCOL(A2:D316)</f>
        <v>938G</v>
      </c>
      <c r="L2" cm="1">
        <f t="array" ref="L2:L1261">_xlfn.TOCOL(E2:H316)</f>
        <v>59</v>
      </c>
      <c r="N2" t="str" cm="1">
        <f t="array" ref="N2:N316">_xlfn.TOCOL(A2:A316)</f>
        <v>938G</v>
      </c>
      <c r="O2" t="str" cm="1">
        <f t="array" ref="O2:O316">_xlfn.TOCOL(B2:B316)</f>
        <v>10Z</v>
      </c>
      <c r="P2" cm="1">
        <f t="array" ref="P2:P316">_xlfn.TOCOL(E2:E316)</f>
        <v>59</v>
      </c>
      <c r="R2" t="str" cm="1">
        <f t="array" ref="R2:R1121">_xlfn.TOCOL(A320:D599)</f>
        <v>938G</v>
      </c>
      <c r="S2" cm="1">
        <f t="array" ref="S2:S1121">_xlfn.TOCOL(E320:H599)</f>
        <v>59</v>
      </c>
      <c r="U2" t="str" cm="1">
        <f t="array" ref="U2:U281">_xlfn.TOCOL(A320:A599)</f>
        <v>938G</v>
      </c>
      <c r="V2" t="str" cm="1">
        <f t="array" ref="V2:V281">_xlfn.TOCOL(B320:B599)</f>
        <v>10Z</v>
      </c>
      <c r="W2" cm="1">
        <f t="array" ref="W2:W281">_xlfn.TOCOL(E320:E599)</f>
        <v>59</v>
      </c>
    </row>
    <row r="3" spans="1:23" x14ac:dyDescent="0.3">
      <c r="A3" s="2" t="s">
        <v>18</v>
      </c>
      <c r="B3" s="2" t="s">
        <v>19</v>
      </c>
      <c r="C3" s="2" t="s">
        <v>20</v>
      </c>
      <c r="D3" s="2" t="s">
        <v>21</v>
      </c>
      <c r="E3" s="2">
        <v>135</v>
      </c>
      <c r="F3" s="2">
        <v>135</v>
      </c>
      <c r="G3" s="2">
        <v>56</v>
      </c>
      <c r="H3" s="2">
        <v>56</v>
      </c>
      <c r="K3" t="str">
        <v>10Z</v>
      </c>
      <c r="L3">
        <v>59</v>
      </c>
      <c r="N3" t="str">
        <v>10009A</v>
      </c>
      <c r="O3" t="str">
        <v>98225F</v>
      </c>
      <c r="P3">
        <v>135</v>
      </c>
      <c r="R3" t="str">
        <v>10Z</v>
      </c>
      <c r="S3">
        <v>59</v>
      </c>
      <c r="U3" t="str">
        <v>10009A</v>
      </c>
      <c r="V3" t="str">
        <v>98225F</v>
      </c>
      <c r="W3">
        <v>135</v>
      </c>
    </row>
    <row r="4" spans="1:23" x14ac:dyDescent="0.3">
      <c r="A4" s="2" t="s">
        <v>25</v>
      </c>
      <c r="B4" s="2" t="s">
        <v>26</v>
      </c>
      <c r="C4" s="2" t="s">
        <v>27</v>
      </c>
      <c r="D4" s="2" t="s">
        <v>28</v>
      </c>
      <c r="E4" s="2">
        <v>48</v>
      </c>
      <c r="F4" s="2">
        <v>48</v>
      </c>
      <c r="G4" s="2">
        <v>122</v>
      </c>
      <c r="H4" s="2">
        <v>122</v>
      </c>
      <c r="K4" t="str">
        <v>10B</v>
      </c>
      <c r="L4">
        <v>107</v>
      </c>
      <c r="N4" t="str">
        <v>938P</v>
      </c>
      <c r="O4" t="str">
        <v>98225J</v>
      </c>
      <c r="P4">
        <v>48</v>
      </c>
      <c r="R4" t="str">
        <v>10B</v>
      </c>
      <c r="S4">
        <v>107</v>
      </c>
      <c r="U4" t="str">
        <v>938P</v>
      </c>
      <c r="V4" t="str">
        <v>98225J</v>
      </c>
      <c r="W4">
        <v>48</v>
      </c>
    </row>
    <row r="5" spans="1:23" x14ac:dyDescent="0.3">
      <c r="A5" s="2" t="s">
        <v>31</v>
      </c>
      <c r="B5" s="2" t="s">
        <v>32</v>
      </c>
      <c r="C5" s="2" t="s">
        <v>33</v>
      </c>
      <c r="D5" s="2" t="s">
        <v>34</v>
      </c>
      <c r="E5" s="2">
        <v>72</v>
      </c>
      <c r="F5" s="2">
        <v>72</v>
      </c>
      <c r="G5" s="2">
        <v>115</v>
      </c>
      <c r="H5" s="2">
        <v>115</v>
      </c>
      <c r="K5" t="str">
        <v>5233J</v>
      </c>
      <c r="L5">
        <v>107</v>
      </c>
      <c r="N5" t="str">
        <v>2605B</v>
      </c>
      <c r="O5" t="str">
        <v>5327S</v>
      </c>
      <c r="P5">
        <v>72</v>
      </c>
      <c r="R5" t="str">
        <v>5233J</v>
      </c>
      <c r="S5">
        <v>107</v>
      </c>
      <c r="U5" t="str">
        <v>2605B</v>
      </c>
      <c r="V5" t="str">
        <v>5327S</v>
      </c>
      <c r="W5">
        <v>72</v>
      </c>
    </row>
    <row r="6" spans="1:23" x14ac:dyDescent="0.3">
      <c r="A6" s="2" t="s">
        <v>37</v>
      </c>
      <c r="B6" s="2" t="s">
        <v>38</v>
      </c>
      <c r="C6" s="2" t="s">
        <v>39</v>
      </c>
      <c r="D6" s="2" t="s">
        <v>40</v>
      </c>
      <c r="E6" s="2">
        <v>14</v>
      </c>
      <c r="F6" s="2">
        <v>14</v>
      </c>
      <c r="G6" s="2">
        <v>144</v>
      </c>
      <c r="H6" s="2">
        <v>144</v>
      </c>
      <c r="K6" t="str">
        <v>10009A</v>
      </c>
      <c r="L6">
        <v>135</v>
      </c>
      <c r="N6" t="str">
        <v>7899A</v>
      </c>
      <c r="O6" t="str">
        <v>938J</v>
      </c>
      <c r="P6">
        <v>14</v>
      </c>
      <c r="R6" t="str">
        <v>10009A</v>
      </c>
      <c r="S6">
        <v>135</v>
      </c>
      <c r="U6" t="str">
        <v>7899A</v>
      </c>
      <c r="V6" t="str">
        <v>938J</v>
      </c>
      <c r="W6">
        <v>14</v>
      </c>
    </row>
    <row r="7" spans="1:23" x14ac:dyDescent="0.3">
      <c r="A7" s="2" t="s">
        <v>43</v>
      </c>
      <c r="B7" s="2" t="s">
        <v>44</v>
      </c>
      <c r="C7" s="2" t="s">
        <v>45</v>
      </c>
      <c r="D7" s="2" t="s">
        <v>46</v>
      </c>
      <c r="E7" s="2">
        <v>113</v>
      </c>
      <c r="F7" s="2">
        <v>113</v>
      </c>
      <c r="G7" s="2">
        <v>30</v>
      </c>
      <c r="H7" s="2">
        <v>30</v>
      </c>
      <c r="K7" t="str">
        <v>98225F</v>
      </c>
      <c r="L7">
        <v>135</v>
      </c>
      <c r="N7" t="str">
        <v>11101B</v>
      </c>
      <c r="O7" t="str">
        <v>99621H</v>
      </c>
      <c r="P7">
        <v>113</v>
      </c>
      <c r="R7" t="str">
        <v>98225F</v>
      </c>
      <c r="S7">
        <v>135</v>
      </c>
      <c r="U7" t="str">
        <v>11101B</v>
      </c>
      <c r="V7" t="str">
        <v>99621H</v>
      </c>
      <c r="W7">
        <v>113</v>
      </c>
    </row>
    <row r="8" spans="1:23" x14ac:dyDescent="0.3">
      <c r="A8" s="2" t="s">
        <v>49</v>
      </c>
      <c r="B8" s="2" t="s">
        <v>50</v>
      </c>
      <c r="C8" s="2" t="s">
        <v>51</v>
      </c>
      <c r="D8" s="2" t="s">
        <v>52</v>
      </c>
      <c r="E8" s="2">
        <v>110</v>
      </c>
      <c r="F8" s="2">
        <v>110</v>
      </c>
      <c r="G8" s="2">
        <v>65</v>
      </c>
      <c r="H8" s="2">
        <v>65</v>
      </c>
      <c r="K8" t="str">
        <v>12516A</v>
      </c>
      <c r="L8">
        <v>56</v>
      </c>
      <c r="N8" t="str">
        <v>99621B</v>
      </c>
      <c r="O8" t="str">
        <v>9364H</v>
      </c>
      <c r="P8">
        <v>110</v>
      </c>
      <c r="R8" t="str">
        <v>12516A</v>
      </c>
      <c r="S8">
        <v>56</v>
      </c>
      <c r="U8" t="str">
        <v>99621B</v>
      </c>
      <c r="V8" t="str">
        <v>9364H</v>
      </c>
      <c r="W8">
        <v>110</v>
      </c>
    </row>
    <row r="9" spans="1:23" x14ac:dyDescent="0.3">
      <c r="A9" s="2" t="s">
        <v>55</v>
      </c>
      <c r="B9" s="2" t="s">
        <v>56</v>
      </c>
      <c r="C9" s="2" t="s">
        <v>57</v>
      </c>
      <c r="D9" s="2" t="s">
        <v>58</v>
      </c>
      <c r="E9" s="2">
        <v>78</v>
      </c>
      <c r="F9" s="2">
        <v>78</v>
      </c>
      <c r="G9" s="2">
        <v>82</v>
      </c>
      <c r="H9" s="2">
        <v>82</v>
      </c>
      <c r="K9" t="str">
        <v>84141B</v>
      </c>
      <c r="L9">
        <v>56</v>
      </c>
      <c r="N9" t="str">
        <v>938M</v>
      </c>
      <c r="O9" t="str">
        <v>502X</v>
      </c>
      <c r="P9">
        <v>78</v>
      </c>
      <c r="R9" t="str">
        <v>84141B</v>
      </c>
      <c r="S9">
        <v>56</v>
      </c>
      <c r="U9" t="str">
        <v>938M</v>
      </c>
      <c r="V9" t="str">
        <v>502X</v>
      </c>
      <c r="W9">
        <v>78</v>
      </c>
    </row>
    <row r="10" spans="1:23" x14ac:dyDescent="0.3">
      <c r="A10" s="2" t="s">
        <v>61</v>
      </c>
      <c r="B10" s="2" t="s">
        <v>62</v>
      </c>
      <c r="C10" s="2" t="s">
        <v>63</v>
      </c>
      <c r="D10" s="2" t="s">
        <v>64</v>
      </c>
      <c r="E10" s="2">
        <v>47</v>
      </c>
      <c r="F10" s="2">
        <v>47</v>
      </c>
      <c r="G10" s="2">
        <v>73</v>
      </c>
      <c r="H10" s="2">
        <v>73</v>
      </c>
      <c r="K10" t="str">
        <v>938P</v>
      </c>
      <c r="L10">
        <v>48</v>
      </c>
      <c r="N10" t="str">
        <v>47874A</v>
      </c>
      <c r="O10" t="str">
        <v>884A</v>
      </c>
      <c r="P10">
        <v>47</v>
      </c>
      <c r="R10" t="str">
        <v>938P</v>
      </c>
      <c r="S10">
        <v>48</v>
      </c>
      <c r="U10" t="str">
        <v>47874A</v>
      </c>
      <c r="V10" t="str">
        <v>884A</v>
      </c>
      <c r="W10">
        <v>47</v>
      </c>
    </row>
    <row r="11" spans="1:23" x14ac:dyDescent="0.3">
      <c r="A11" s="2" t="s">
        <v>67</v>
      </c>
      <c r="B11" s="2" t="s">
        <v>68</v>
      </c>
      <c r="C11" s="2" t="s">
        <v>69</v>
      </c>
      <c r="D11" s="2" t="s">
        <v>70</v>
      </c>
      <c r="E11" s="2">
        <v>53</v>
      </c>
      <c r="F11" s="2">
        <v>53</v>
      </c>
      <c r="G11" s="2">
        <v>116</v>
      </c>
      <c r="H11" s="2">
        <v>116</v>
      </c>
      <c r="K11" t="str">
        <v>98225J</v>
      </c>
      <c r="L11">
        <v>48</v>
      </c>
      <c r="N11" t="str">
        <v>10E</v>
      </c>
      <c r="O11" t="str">
        <v>938B</v>
      </c>
      <c r="P11">
        <v>53</v>
      </c>
      <c r="R11" t="str">
        <v>98225J</v>
      </c>
      <c r="S11">
        <v>48</v>
      </c>
      <c r="U11" t="str">
        <v>10E</v>
      </c>
      <c r="V11" t="str">
        <v>938B</v>
      </c>
      <c r="W11">
        <v>53</v>
      </c>
    </row>
    <row r="12" spans="1:23" x14ac:dyDescent="0.3">
      <c r="A12" s="2" t="s">
        <v>73</v>
      </c>
      <c r="B12" s="2" t="s">
        <v>74</v>
      </c>
      <c r="C12" s="2" t="s">
        <v>75</v>
      </c>
      <c r="D12" s="2" t="s">
        <v>76</v>
      </c>
      <c r="E12" s="2">
        <v>118</v>
      </c>
      <c r="F12" s="2">
        <v>118</v>
      </c>
      <c r="G12" s="2">
        <v>70</v>
      </c>
      <c r="H12" s="2">
        <v>70</v>
      </c>
      <c r="K12" t="str">
        <v>1010W</v>
      </c>
      <c r="L12">
        <v>122</v>
      </c>
      <c r="N12" t="str">
        <v>1091A</v>
      </c>
      <c r="O12" t="str">
        <v>1469A</v>
      </c>
      <c r="P12">
        <v>118</v>
      </c>
      <c r="R12" t="str">
        <v>1010W</v>
      </c>
      <c r="S12">
        <v>122</v>
      </c>
      <c r="U12" t="str">
        <v>1091A</v>
      </c>
      <c r="V12" t="str">
        <v>1469A</v>
      </c>
      <c r="W12">
        <v>118</v>
      </c>
    </row>
    <row r="13" spans="1:23" x14ac:dyDescent="0.3">
      <c r="A13" s="2" t="s">
        <v>79</v>
      </c>
      <c r="B13" s="2" t="s">
        <v>80</v>
      </c>
      <c r="C13" s="2" t="s">
        <v>81</v>
      </c>
      <c r="D13" s="2" t="s">
        <v>82</v>
      </c>
      <c r="E13" s="2">
        <v>110</v>
      </c>
      <c r="F13" s="2">
        <v>110</v>
      </c>
      <c r="G13" s="2">
        <v>87</v>
      </c>
      <c r="H13" s="2">
        <v>87</v>
      </c>
      <c r="K13" t="str">
        <v>51581S</v>
      </c>
      <c r="L13">
        <v>122</v>
      </c>
      <c r="N13" t="str">
        <v>6526E</v>
      </c>
      <c r="O13" t="str">
        <v>604X</v>
      </c>
      <c r="P13">
        <v>110</v>
      </c>
      <c r="R13" t="str">
        <v>51581S</v>
      </c>
      <c r="S13">
        <v>122</v>
      </c>
      <c r="U13" t="str">
        <v>6526E</v>
      </c>
      <c r="V13" t="str">
        <v>604X</v>
      </c>
      <c r="W13">
        <v>110</v>
      </c>
    </row>
    <row r="14" spans="1:23" x14ac:dyDescent="0.3">
      <c r="A14" s="2" t="s">
        <v>85</v>
      </c>
      <c r="B14" s="2" t="s">
        <v>86</v>
      </c>
      <c r="C14" s="2" t="s">
        <v>87</v>
      </c>
      <c r="D14" s="2" t="s">
        <v>88</v>
      </c>
      <c r="E14" s="2">
        <v>88</v>
      </c>
      <c r="F14" s="2">
        <v>88</v>
      </c>
      <c r="G14" s="2">
        <v>47</v>
      </c>
      <c r="H14" s="2">
        <v>47</v>
      </c>
      <c r="K14" t="str">
        <v>2605B</v>
      </c>
      <c r="L14">
        <v>72</v>
      </c>
      <c r="N14" t="str">
        <v>299Y</v>
      </c>
      <c r="O14" t="str">
        <v>80001B</v>
      </c>
      <c r="P14">
        <v>88</v>
      </c>
      <c r="R14" t="str">
        <v>2605B</v>
      </c>
      <c r="S14">
        <v>72</v>
      </c>
      <c r="U14" t="str">
        <v>299Y</v>
      </c>
      <c r="V14" t="str">
        <v>80001B</v>
      </c>
      <c r="W14">
        <v>88</v>
      </c>
    </row>
    <row r="15" spans="1:23" x14ac:dyDescent="0.3">
      <c r="A15" s="2" t="s">
        <v>91</v>
      </c>
      <c r="B15" s="2" t="s">
        <v>92</v>
      </c>
      <c r="C15" s="2" t="s">
        <v>93</v>
      </c>
      <c r="D15" s="2" t="s">
        <v>94</v>
      </c>
      <c r="E15" s="2">
        <v>80</v>
      </c>
      <c r="F15" s="2">
        <v>80</v>
      </c>
      <c r="G15" s="2">
        <v>78</v>
      </c>
      <c r="H15" s="2">
        <v>78</v>
      </c>
      <c r="K15" t="str">
        <v>5327S</v>
      </c>
      <c r="L15">
        <v>72</v>
      </c>
      <c r="N15" t="str">
        <v>1248X</v>
      </c>
      <c r="O15" t="str">
        <v>10N</v>
      </c>
      <c r="P15">
        <v>80</v>
      </c>
      <c r="R15" t="str">
        <v>5327S</v>
      </c>
      <c r="S15">
        <v>72</v>
      </c>
      <c r="U15" t="str">
        <v>1248X</v>
      </c>
      <c r="V15" t="str">
        <v>10N</v>
      </c>
      <c r="W15">
        <v>80</v>
      </c>
    </row>
    <row r="16" spans="1:23" x14ac:dyDescent="0.3">
      <c r="A16" s="2" t="s">
        <v>97</v>
      </c>
      <c r="B16" s="2" t="s">
        <v>98</v>
      </c>
      <c r="C16" s="2" t="s">
        <v>99</v>
      </c>
      <c r="D16" s="2" t="s">
        <v>100</v>
      </c>
      <c r="E16" s="2">
        <v>122</v>
      </c>
      <c r="F16" s="2">
        <v>122</v>
      </c>
      <c r="G16" s="2">
        <v>15</v>
      </c>
      <c r="H16" s="2">
        <v>15</v>
      </c>
      <c r="K16" t="str">
        <v>886N</v>
      </c>
      <c r="L16">
        <v>115</v>
      </c>
      <c r="N16" t="str">
        <v>39313Z</v>
      </c>
      <c r="O16" t="str">
        <v>16689D</v>
      </c>
      <c r="P16">
        <v>122</v>
      </c>
      <c r="R16" t="str">
        <v>886N</v>
      </c>
      <c r="S16">
        <v>115</v>
      </c>
      <c r="U16" t="str">
        <v>39313Z</v>
      </c>
      <c r="V16" t="str">
        <v>16689D</v>
      </c>
      <c r="W16">
        <v>122</v>
      </c>
    </row>
    <row r="17" spans="1:23" x14ac:dyDescent="0.3">
      <c r="A17" s="2" t="s">
        <v>103</v>
      </c>
      <c r="B17" s="2" t="s">
        <v>104</v>
      </c>
      <c r="C17" s="2" t="s">
        <v>49</v>
      </c>
      <c r="D17" s="2" t="s">
        <v>13</v>
      </c>
      <c r="E17" s="2">
        <v>70</v>
      </c>
      <c r="F17" s="2">
        <v>70</v>
      </c>
      <c r="G17" s="2">
        <v>120</v>
      </c>
      <c r="H17" s="2">
        <v>120</v>
      </c>
      <c r="K17" t="str">
        <v>8931R</v>
      </c>
      <c r="L17">
        <v>115</v>
      </c>
      <c r="N17" t="str">
        <v>16689X</v>
      </c>
      <c r="O17" t="str">
        <v>8675R</v>
      </c>
      <c r="P17">
        <v>70</v>
      </c>
      <c r="R17" t="str">
        <v>8931R</v>
      </c>
      <c r="S17">
        <v>115</v>
      </c>
      <c r="U17" t="str">
        <v>16689X</v>
      </c>
      <c r="V17" t="str">
        <v>8675R</v>
      </c>
      <c r="W17">
        <v>70</v>
      </c>
    </row>
    <row r="18" spans="1:23" x14ac:dyDescent="0.3">
      <c r="A18" s="2" t="s">
        <v>27</v>
      </c>
      <c r="B18" s="2" t="s">
        <v>58</v>
      </c>
      <c r="C18" s="2" t="s">
        <v>68</v>
      </c>
      <c r="D18" s="2" t="s">
        <v>37</v>
      </c>
      <c r="E18" s="2">
        <v>108</v>
      </c>
      <c r="F18" s="2">
        <v>108</v>
      </c>
      <c r="G18" s="2">
        <v>25</v>
      </c>
      <c r="H18" s="2">
        <v>25</v>
      </c>
      <c r="K18" t="str">
        <v>7899A</v>
      </c>
      <c r="L18">
        <v>14</v>
      </c>
      <c r="N18" t="str">
        <v>1010W</v>
      </c>
      <c r="O18" t="str">
        <v>61002G</v>
      </c>
      <c r="P18">
        <v>108</v>
      </c>
      <c r="R18" t="str">
        <v>7899A</v>
      </c>
      <c r="S18">
        <v>14</v>
      </c>
      <c r="U18" t="str">
        <v>1010W</v>
      </c>
      <c r="V18" t="str">
        <v>61002G</v>
      </c>
      <c r="W18">
        <v>108</v>
      </c>
    </row>
    <row r="19" spans="1:23" x14ac:dyDescent="0.3">
      <c r="A19" s="2" t="s">
        <v>69</v>
      </c>
      <c r="B19" s="2" t="s">
        <v>75</v>
      </c>
      <c r="C19" s="2" t="s">
        <v>50</v>
      </c>
      <c r="D19" s="2" t="s">
        <v>63</v>
      </c>
      <c r="E19" s="2">
        <v>63</v>
      </c>
      <c r="F19" s="2">
        <v>63</v>
      </c>
      <c r="G19" s="2">
        <v>111</v>
      </c>
      <c r="H19" s="2">
        <v>111</v>
      </c>
      <c r="K19" t="str">
        <v>938J</v>
      </c>
      <c r="L19">
        <v>14</v>
      </c>
      <c r="N19" t="str">
        <v>3512D</v>
      </c>
      <c r="O19" t="str">
        <v>44244S</v>
      </c>
      <c r="P19">
        <v>63</v>
      </c>
      <c r="R19" t="str">
        <v>938J</v>
      </c>
      <c r="S19">
        <v>14</v>
      </c>
      <c r="U19" t="str">
        <v>3512D</v>
      </c>
      <c r="V19" t="str">
        <v>44244S</v>
      </c>
      <c r="W19">
        <v>63</v>
      </c>
    </row>
    <row r="20" spans="1:23" x14ac:dyDescent="0.3">
      <c r="A20" s="2" t="s">
        <v>51</v>
      </c>
      <c r="B20" s="2" t="s">
        <v>55</v>
      </c>
      <c r="C20" s="2" t="s">
        <v>43</v>
      </c>
      <c r="D20" s="2" t="s">
        <v>67</v>
      </c>
      <c r="E20" s="2">
        <v>27</v>
      </c>
      <c r="F20" s="2">
        <v>27</v>
      </c>
      <c r="G20" s="2">
        <v>117</v>
      </c>
      <c r="H20" s="2">
        <v>117</v>
      </c>
      <c r="K20" t="str">
        <v>47874R</v>
      </c>
      <c r="L20">
        <v>144</v>
      </c>
      <c r="N20" t="str">
        <v>920B</v>
      </c>
      <c r="O20" t="str">
        <v>938M</v>
      </c>
      <c r="P20">
        <v>27</v>
      </c>
      <c r="R20" t="str">
        <v>47874R</v>
      </c>
      <c r="S20">
        <v>144</v>
      </c>
      <c r="U20" t="str">
        <v>920B</v>
      </c>
      <c r="V20" t="str">
        <v>938M</v>
      </c>
      <c r="W20">
        <v>27</v>
      </c>
    </row>
    <row r="21" spans="1:23" x14ac:dyDescent="0.3">
      <c r="A21" s="2" t="s">
        <v>32</v>
      </c>
      <c r="B21" s="2" t="s">
        <v>62</v>
      </c>
      <c r="C21" s="2" t="s">
        <v>73</v>
      </c>
      <c r="D21" s="2" t="s">
        <v>44</v>
      </c>
      <c r="E21" s="2">
        <v>128</v>
      </c>
      <c r="F21" s="2">
        <v>128</v>
      </c>
      <c r="G21" s="2">
        <v>72</v>
      </c>
      <c r="H21" s="2">
        <v>72</v>
      </c>
      <c r="K21" t="str">
        <v>949Z</v>
      </c>
      <c r="L21">
        <v>144</v>
      </c>
      <c r="N21" t="str">
        <v>5327S</v>
      </c>
      <c r="O21" t="str">
        <v>884A</v>
      </c>
      <c r="P21">
        <v>128</v>
      </c>
      <c r="R21" t="str">
        <v>949Z</v>
      </c>
      <c r="S21">
        <v>144</v>
      </c>
      <c r="U21" t="str">
        <v>5327S</v>
      </c>
      <c r="V21" t="str">
        <v>884A</v>
      </c>
      <c r="W21">
        <v>128</v>
      </c>
    </row>
    <row r="22" spans="1:23" x14ac:dyDescent="0.3">
      <c r="A22" s="2" t="s">
        <v>45</v>
      </c>
      <c r="B22" s="2" t="s">
        <v>85</v>
      </c>
      <c r="C22" s="2" t="s">
        <v>38</v>
      </c>
      <c r="D22" s="2" t="s">
        <v>92</v>
      </c>
      <c r="E22" s="2">
        <v>84</v>
      </c>
      <c r="F22" s="2">
        <v>84</v>
      </c>
      <c r="G22" s="2">
        <v>77</v>
      </c>
      <c r="H22" s="2">
        <v>77</v>
      </c>
      <c r="K22" t="str">
        <v>11101B</v>
      </c>
      <c r="L22">
        <v>113</v>
      </c>
      <c r="N22" t="str">
        <v>7700P</v>
      </c>
      <c r="O22" t="str">
        <v>299Y</v>
      </c>
      <c r="P22">
        <v>84</v>
      </c>
      <c r="R22" t="str">
        <v>11101B</v>
      </c>
      <c r="S22">
        <v>113</v>
      </c>
      <c r="U22" t="str">
        <v>7700P</v>
      </c>
      <c r="V22" t="str">
        <v>299Y</v>
      </c>
      <c r="W22">
        <v>84</v>
      </c>
    </row>
    <row r="23" spans="1:23" x14ac:dyDescent="0.3">
      <c r="A23" s="2" t="s">
        <v>40</v>
      </c>
      <c r="B23" s="2" t="s">
        <v>34</v>
      </c>
      <c r="C23" s="2" t="s">
        <v>74</v>
      </c>
      <c r="D23" s="2" t="s">
        <v>11</v>
      </c>
      <c r="E23" s="2">
        <v>125</v>
      </c>
      <c r="F23" s="2">
        <v>125</v>
      </c>
      <c r="G23" s="2">
        <v>59</v>
      </c>
      <c r="H23" s="2">
        <v>59</v>
      </c>
      <c r="K23" t="str">
        <v>99621H</v>
      </c>
      <c r="L23">
        <v>113</v>
      </c>
      <c r="N23" t="str">
        <v>949Z</v>
      </c>
      <c r="O23" t="str">
        <v>8931R</v>
      </c>
      <c r="P23">
        <v>125</v>
      </c>
      <c r="R23" t="str">
        <v>99621H</v>
      </c>
      <c r="S23">
        <v>113</v>
      </c>
      <c r="U23" t="str">
        <v>949Z</v>
      </c>
      <c r="V23" t="str">
        <v>8931R</v>
      </c>
      <c r="W23">
        <v>125</v>
      </c>
    </row>
    <row r="24" spans="1:23" x14ac:dyDescent="0.3">
      <c r="A24" s="2" t="s">
        <v>76</v>
      </c>
      <c r="B24" s="2" t="s">
        <v>46</v>
      </c>
      <c r="C24" s="2" t="s">
        <v>99</v>
      </c>
      <c r="D24" s="2" t="s">
        <v>21</v>
      </c>
      <c r="E24" s="2">
        <v>62</v>
      </c>
      <c r="F24" s="2">
        <v>62</v>
      </c>
      <c r="G24" s="2">
        <v>78</v>
      </c>
      <c r="H24" s="2">
        <v>78</v>
      </c>
      <c r="K24" t="str">
        <v>7700P</v>
      </c>
      <c r="L24">
        <v>30</v>
      </c>
      <c r="N24" t="str">
        <v>3484X</v>
      </c>
      <c r="O24" t="str">
        <v>7700E</v>
      </c>
      <c r="P24">
        <v>62</v>
      </c>
      <c r="R24" t="str">
        <v>7700P</v>
      </c>
      <c r="S24">
        <v>30</v>
      </c>
      <c r="U24" t="str">
        <v>3484X</v>
      </c>
      <c r="V24" t="str">
        <v>7700E</v>
      </c>
      <c r="W24">
        <v>62</v>
      </c>
    </row>
    <row r="25" spans="1:23" x14ac:dyDescent="0.3">
      <c r="A25" s="2" t="s">
        <v>70</v>
      </c>
      <c r="B25" s="2" t="s">
        <v>64</v>
      </c>
      <c r="C25" s="2" t="s">
        <v>87</v>
      </c>
      <c r="D25" s="2" t="s">
        <v>81</v>
      </c>
      <c r="E25" s="2">
        <v>96</v>
      </c>
      <c r="F25" s="2">
        <v>96</v>
      </c>
      <c r="G25" s="2">
        <v>58</v>
      </c>
      <c r="H25" s="2">
        <v>58</v>
      </c>
      <c r="K25" t="str">
        <v>7700E</v>
      </c>
      <c r="L25">
        <v>30</v>
      </c>
      <c r="N25" t="str">
        <v>9364D</v>
      </c>
      <c r="O25" t="str">
        <v>93199G</v>
      </c>
      <c r="P25">
        <v>96</v>
      </c>
      <c r="R25" t="str">
        <v>7700E</v>
      </c>
      <c r="S25">
        <v>30</v>
      </c>
      <c r="U25" t="str">
        <v>9364D</v>
      </c>
      <c r="V25" t="str">
        <v>93199G</v>
      </c>
      <c r="W25">
        <v>96</v>
      </c>
    </row>
    <row r="26" spans="1:23" x14ac:dyDescent="0.3">
      <c r="A26" s="2" t="s">
        <v>94</v>
      </c>
      <c r="B26" s="2" t="s">
        <v>14</v>
      </c>
      <c r="C26" s="2" t="s">
        <v>26</v>
      </c>
      <c r="D26" s="2" t="s">
        <v>31</v>
      </c>
      <c r="E26" s="2">
        <v>80</v>
      </c>
      <c r="F26" s="2">
        <v>80</v>
      </c>
      <c r="G26" s="2">
        <v>102</v>
      </c>
      <c r="H26" s="2">
        <v>102</v>
      </c>
      <c r="K26" t="str">
        <v>99621B</v>
      </c>
      <c r="L26">
        <v>110</v>
      </c>
      <c r="N26" t="str">
        <v>10K</v>
      </c>
      <c r="O26" t="str">
        <v>5233J</v>
      </c>
      <c r="P26">
        <v>80</v>
      </c>
      <c r="R26" t="str">
        <v>99621B</v>
      </c>
      <c r="S26">
        <v>110</v>
      </c>
      <c r="U26" t="str">
        <v>10K</v>
      </c>
      <c r="V26" t="str">
        <v>5233J</v>
      </c>
      <c r="W26">
        <v>80</v>
      </c>
    </row>
    <row r="27" spans="1:23" x14ac:dyDescent="0.3">
      <c r="A27" s="2" t="s">
        <v>33</v>
      </c>
      <c r="B27" s="2" t="s">
        <v>93</v>
      </c>
      <c r="C27" s="2" t="s">
        <v>61</v>
      </c>
      <c r="D27" s="2" t="s">
        <v>25</v>
      </c>
      <c r="E27" s="2">
        <v>153</v>
      </c>
      <c r="F27" s="2">
        <v>153</v>
      </c>
      <c r="G27" s="2">
        <v>36</v>
      </c>
      <c r="H27" s="2">
        <v>36</v>
      </c>
      <c r="K27" t="str">
        <v>9364H</v>
      </c>
      <c r="L27">
        <v>110</v>
      </c>
      <c r="N27" t="str">
        <v>886N</v>
      </c>
      <c r="O27" t="str">
        <v>10G</v>
      </c>
      <c r="P27">
        <v>153</v>
      </c>
      <c r="R27" t="str">
        <v>9364H</v>
      </c>
      <c r="S27">
        <v>110</v>
      </c>
      <c r="U27" t="str">
        <v>886N</v>
      </c>
      <c r="V27" t="str">
        <v>10G</v>
      </c>
      <c r="W27">
        <v>153</v>
      </c>
    </row>
    <row r="28" spans="1:23" x14ac:dyDescent="0.3">
      <c r="A28" s="2" t="s">
        <v>52</v>
      </c>
      <c r="B28" s="2" t="s">
        <v>19</v>
      </c>
      <c r="C28" s="2" t="s">
        <v>103</v>
      </c>
      <c r="D28" s="2" t="s">
        <v>91</v>
      </c>
      <c r="E28" s="2">
        <v>100</v>
      </c>
      <c r="F28" s="2">
        <v>100</v>
      </c>
      <c r="G28" s="2">
        <v>47</v>
      </c>
      <c r="H28" s="2">
        <v>47</v>
      </c>
      <c r="K28" t="str">
        <v>920B</v>
      </c>
      <c r="L28">
        <v>65</v>
      </c>
      <c r="N28" t="str">
        <v>90385R</v>
      </c>
      <c r="O28" t="str">
        <v>98225F</v>
      </c>
      <c r="P28">
        <v>100</v>
      </c>
      <c r="R28" t="str">
        <v>920B</v>
      </c>
      <c r="S28">
        <v>65</v>
      </c>
      <c r="U28" t="str">
        <v>90385R</v>
      </c>
      <c r="V28" t="str">
        <v>98225F</v>
      </c>
      <c r="W28">
        <v>100</v>
      </c>
    </row>
    <row r="29" spans="1:23" x14ac:dyDescent="0.3">
      <c r="A29" s="2" t="s">
        <v>88</v>
      </c>
      <c r="B29" s="2" t="s">
        <v>57</v>
      </c>
      <c r="C29" s="2" t="s">
        <v>104</v>
      </c>
      <c r="D29" s="2" t="s">
        <v>98</v>
      </c>
      <c r="E29" s="2">
        <v>170</v>
      </c>
      <c r="F29" s="2">
        <v>170</v>
      </c>
      <c r="G29" s="2">
        <v>65</v>
      </c>
      <c r="H29" s="2">
        <v>65</v>
      </c>
      <c r="K29" t="str">
        <v>90385R</v>
      </c>
      <c r="L29">
        <v>65</v>
      </c>
      <c r="N29" t="str">
        <v>3583A</v>
      </c>
      <c r="O29" t="str">
        <v>10W</v>
      </c>
      <c r="P29">
        <v>170</v>
      </c>
      <c r="R29" t="str">
        <v>90385R</v>
      </c>
      <c r="S29">
        <v>65</v>
      </c>
      <c r="U29" t="str">
        <v>3583A</v>
      </c>
      <c r="V29" t="str">
        <v>10W</v>
      </c>
      <c r="W29">
        <v>170</v>
      </c>
    </row>
    <row r="30" spans="1:23" x14ac:dyDescent="0.3">
      <c r="A30" s="2" t="s">
        <v>39</v>
      </c>
      <c r="B30" s="2" t="s">
        <v>12</v>
      </c>
      <c r="C30" s="2" t="s">
        <v>79</v>
      </c>
      <c r="D30" s="2" t="s">
        <v>18</v>
      </c>
      <c r="E30" s="2">
        <v>115</v>
      </c>
      <c r="F30" s="2">
        <v>115</v>
      </c>
      <c r="G30" s="2">
        <v>108</v>
      </c>
      <c r="H30" s="2">
        <v>108</v>
      </c>
      <c r="K30" t="str">
        <v>938M</v>
      </c>
      <c r="L30">
        <v>78</v>
      </c>
      <c r="N30" t="str">
        <v>47874R</v>
      </c>
      <c r="O30" t="str">
        <v>10Z</v>
      </c>
      <c r="P30">
        <v>115</v>
      </c>
      <c r="R30" t="str">
        <v>938M</v>
      </c>
      <c r="S30">
        <v>78</v>
      </c>
      <c r="U30" t="str">
        <v>47874R</v>
      </c>
      <c r="V30" t="str">
        <v>10Z</v>
      </c>
      <c r="W30">
        <v>115</v>
      </c>
    </row>
    <row r="31" spans="1:23" x14ac:dyDescent="0.3">
      <c r="A31" s="2" t="s">
        <v>82</v>
      </c>
      <c r="B31" s="2" t="s">
        <v>100</v>
      </c>
      <c r="C31" s="2" t="s">
        <v>56</v>
      </c>
      <c r="D31" s="2" t="s">
        <v>86</v>
      </c>
      <c r="E31" s="2">
        <v>98</v>
      </c>
      <c r="F31" s="2">
        <v>98</v>
      </c>
      <c r="G31" s="2">
        <v>136</v>
      </c>
      <c r="H31" s="2">
        <v>136</v>
      </c>
      <c r="K31" t="str">
        <v>502X</v>
      </c>
      <c r="L31">
        <v>78</v>
      </c>
      <c r="N31" t="str">
        <v>10S</v>
      </c>
      <c r="O31" t="str">
        <v>938W</v>
      </c>
      <c r="P31">
        <v>98</v>
      </c>
      <c r="R31" t="str">
        <v>502X</v>
      </c>
      <c r="S31">
        <v>78</v>
      </c>
      <c r="U31" t="str">
        <v>10S</v>
      </c>
      <c r="V31" t="str">
        <v>938W</v>
      </c>
      <c r="W31">
        <v>98</v>
      </c>
    </row>
    <row r="32" spans="1:23" x14ac:dyDescent="0.3">
      <c r="A32" s="2" t="s">
        <v>20</v>
      </c>
      <c r="B32" s="2" t="s">
        <v>28</v>
      </c>
      <c r="C32" s="2" t="s">
        <v>80</v>
      </c>
      <c r="D32" s="2" t="s">
        <v>97</v>
      </c>
      <c r="E32" s="2">
        <v>35</v>
      </c>
      <c r="F32" s="2">
        <v>35</v>
      </c>
      <c r="G32" s="2">
        <v>63</v>
      </c>
      <c r="H32" s="2">
        <v>63</v>
      </c>
      <c r="K32" t="str">
        <v>10W</v>
      </c>
      <c r="L32">
        <v>82</v>
      </c>
      <c r="N32" t="str">
        <v>12516A</v>
      </c>
      <c r="O32" t="str">
        <v>51581S</v>
      </c>
      <c r="P32">
        <v>35</v>
      </c>
      <c r="R32" t="str">
        <v>10W</v>
      </c>
      <c r="S32">
        <v>82</v>
      </c>
      <c r="U32" t="str">
        <v>12516A</v>
      </c>
      <c r="V32" t="str">
        <v>51581S</v>
      </c>
      <c r="W32">
        <v>35</v>
      </c>
    </row>
    <row r="33" spans="1:23" x14ac:dyDescent="0.3">
      <c r="A33" s="2" t="s">
        <v>63</v>
      </c>
      <c r="B33" s="2" t="s">
        <v>21</v>
      </c>
      <c r="C33" s="2" t="s">
        <v>43</v>
      </c>
      <c r="D33" s="2" t="s">
        <v>92</v>
      </c>
      <c r="E33" s="2">
        <v>42</v>
      </c>
      <c r="F33" s="2">
        <v>42</v>
      </c>
      <c r="G33" s="2">
        <v>133</v>
      </c>
      <c r="H33" s="2">
        <v>133</v>
      </c>
      <c r="K33" t="str">
        <v>61002G</v>
      </c>
      <c r="L33">
        <v>82</v>
      </c>
      <c r="N33" t="str">
        <v>938T</v>
      </c>
      <c r="O33" t="str">
        <v>84141B</v>
      </c>
      <c r="P33">
        <v>42</v>
      </c>
      <c r="R33" t="str">
        <v>61002G</v>
      </c>
      <c r="S33">
        <v>82</v>
      </c>
      <c r="U33" t="str">
        <v>938T</v>
      </c>
      <c r="V33" t="str">
        <v>84141B</v>
      </c>
      <c r="W33">
        <v>42</v>
      </c>
    </row>
    <row r="34" spans="1:23" x14ac:dyDescent="0.3">
      <c r="A34" s="2" t="s">
        <v>68</v>
      </c>
      <c r="B34" s="2" t="s">
        <v>75</v>
      </c>
      <c r="C34" s="2" t="s">
        <v>62</v>
      </c>
      <c r="D34" s="2" t="s">
        <v>45</v>
      </c>
      <c r="E34" s="2">
        <v>82</v>
      </c>
      <c r="F34" s="2">
        <v>82</v>
      </c>
      <c r="G34" s="2">
        <v>75</v>
      </c>
      <c r="H34" s="2">
        <v>75</v>
      </c>
      <c r="K34" t="str">
        <v>47874A</v>
      </c>
      <c r="L34">
        <v>47</v>
      </c>
      <c r="N34" t="str">
        <v>938B</v>
      </c>
      <c r="O34" t="str">
        <v>44244S</v>
      </c>
      <c r="P34">
        <v>82</v>
      </c>
      <c r="R34" t="str">
        <v>47874A</v>
      </c>
      <c r="S34">
        <v>47</v>
      </c>
      <c r="U34" t="str">
        <v>938B</v>
      </c>
      <c r="V34" t="str">
        <v>44244S</v>
      </c>
      <c r="W34">
        <v>82</v>
      </c>
    </row>
    <row r="35" spans="1:23" x14ac:dyDescent="0.3">
      <c r="A35" s="2" t="s">
        <v>26</v>
      </c>
      <c r="B35" s="2" t="s">
        <v>67</v>
      </c>
      <c r="C35" s="2" t="s">
        <v>76</v>
      </c>
      <c r="D35" s="2" t="s">
        <v>52</v>
      </c>
      <c r="E35" s="2">
        <v>40</v>
      </c>
      <c r="F35" s="2">
        <v>40</v>
      </c>
      <c r="G35" s="2">
        <v>74</v>
      </c>
      <c r="H35" s="2">
        <v>74</v>
      </c>
      <c r="K35" t="str">
        <v>884A</v>
      </c>
      <c r="L35">
        <v>47</v>
      </c>
      <c r="N35" t="str">
        <v>98225J</v>
      </c>
      <c r="O35" t="str">
        <v>10E</v>
      </c>
      <c r="P35">
        <v>40</v>
      </c>
      <c r="R35" t="str">
        <v>884A</v>
      </c>
      <c r="S35">
        <v>47</v>
      </c>
      <c r="U35" t="str">
        <v>98225J</v>
      </c>
      <c r="V35" t="str">
        <v>10E</v>
      </c>
      <c r="W35">
        <v>40</v>
      </c>
    </row>
    <row r="36" spans="1:23" x14ac:dyDescent="0.3">
      <c r="A36" s="2" t="s">
        <v>57</v>
      </c>
      <c r="B36" s="2" t="s">
        <v>69</v>
      </c>
      <c r="C36" s="2" t="s">
        <v>61</v>
      </c>
      <c r="D36" s="2" t="s">
        <v>73</v>
      </c>
      <c r="E36" s="2">
        <v>58</v>
      </c>
      <c r="F36" s="2">
        <v>58</v>
      </c>
      <c r="G36" s="2">
        <v>91</v>
      </c>
      <c r="H36" s="2">
        <v>91</v>
      </c>
      <c r="K36" t="str">
        <v>938T</v>
      </c>
      <c r="L36">
        <v>73</v>
      </c>
      <c r="N36" t="str">
        <v>10W</v>
      </c>
      <c r="O36" t="str">
        <v>3512D</v>
      </c>
      <c r="P36">
        <v>58</v>
      </c>
      <c r="R36" t="str">
        <v>938T</v>
      </c>
      <c r="S36">
        <v>73</v>
      </c>
      <c r="U36" t="str">
        <v>10W</v>
      </c>
      <c r="V36" t="str">
        <v>3512D</v>
      </c>
      <c r="W36">
        <v>58</v>
      </c>
    </row>
    <row r="37" spans="1:23" x14ac:dyDescent="0.3">
      <c r="A37" s="2" t="s">
        <v>70</v>
      </c>
      <c r="B37" s="2" t="s">
        <v>74</v>
      </c>
      <c r="C37" s="2" t="s">
        <v>25</v>
      </c>
      <c r="D37" s="2" t="s">
        <v>14</v>
      </c>
      <c r="E37" s="2">
        <v>147</v>
      </c>
      <c r="F37" s="2">
        <v>147</v>
      </c>
      <c r="G37" s="2">
        <v>7</v>
      </c>
      <c r="H37" s="2">
        <v>7</v>
      </c>
      <c r="K37" t="str">
        <v>93199G</v>
      </c>
      <c r="L37">
        <v>73</v>
      </c>
      <c r="N37" t="str">
        <v>9364D</v>
      </c>
      <c r="O37" t="str">
        <v>1469A</v>
      </c>
      <c r="P37">
        <v>147</v>
      </c>
      <c r="R37" t="str">
        <v>93199G</v>
      </c>
      <c r="S37">
        <v>73</v>
      </c>
      <c r="U37" t="str">
        <v>9364D</v>
      </c>
      <c r="V37" t="str">
        <v>1469A</v>
      </c>
      <c r="W37">
        <v>147</v>
      </c>
    </row>
    <row r="38" spans="1:23" x14ac:dyDescent="0.3">
      <c r="A38" s="2" t="s">
        <v>82</v>
      </c>
      <c r="B38" s="2" t="s">
        <v>34</v>
      </c>
      <c r="C38" s="2" t="s">
        <v>91</v>
      </c>
      <c r="D38" s="2" t="s">
        <v>39</v>
      </c>
      <c r="E38" s="2">
        <v>62</v>
      </c>
      <c r="F38" s="2">
        <v>62</v>
      </c>
      <c r="G38" s="2">
        <v>38</v>
      </c>
      <c r="H38" s="2">
        <v>38</v>
      </c>
      <c r="K38" t="str">
        <v>10E</v>
      </c>
      <c r="L38">
        <v>53</v>
      </c>
      <c r="N38" t="str">
        <v>10S</v>
      </c>
      <c r="O38" t="str">
        <v>8931R</v>
      </c>
      <c r="P38">
        <v>62</v>
      </c>
      <c r="R38" t="str">
        <v>10E</v>
      </c>
      <c r="S38">
        <v>53</v>
      </c>
      <c r="U38" t="str">
        <v>10S</v>
      </c>
      <c r="V38" t="str">
        <v>8931R</v>
      </c>
      <c r="W38">
        <v>62</v>
      </c>
    </row>
    <row r="39" spans="1:23" x14ac:dyDescent="0.3">
      <c r="A39" s="2" t="s">
        <v>13</v>
      </c>
      <c r="B39" s="2" t="s">
        <v>86</v>
      </c>
      <c r="C39" s="2" t="s">
        <v>64</v>
      </c>
      <c r="D39" s="2" t="s">
        <v>93</v>
      </c>
      <c r="E39" s="2">
        <v>140</v>
      </c>
      <c r="F39" s="2">
        <v>140</v>
      </c>
      <c r="G39" s="2">
        <v>30</v>
      </c>
      <c r="H39" s="2">
        <v>30</v>
      </c>
      <c r="K39" t="str">
        <v>938B</v>
      </c>
      <c r="L39">
        <v>53</v>
      </c>
      <c r="N39" t="str">
        <v>10B</v>
      </c>
      <c r="O39" t="str">
        <v>80001B</v>
      </c>
      <c r="P39">
        <v>140</v>
      </c>
      <c r="R39" t="str">
        <v>938B</v>
      </c>
      <c r="S39">
        <v>53</v>
      </c>
      <c r="U39" t="str">
        <v>10B</v>
      </c>
      <c r="V39" t="str">
        <v>80001B</v>
      </c>
      <c r="W39">
        <v>140</v>
      </c>
    </row>
    <row r="40" spans="1:23" x14ac:dyDescent="0.3">
      <c r="A40" s="2" t="s">
        <v>33</v>
      </c>
      <c r="B40" s="2" t="s">
        <v>58</v>
      </c>
      <c r="C40" s="2" t="s">
        <v>85</v>
      </c>
      <c r="D40" s="2" t="s">
        <v>80</v>
      </c>
      <c r="E40" s="2">
        <v>111</v>
      </c>
      <c r="F40" s="2">
        <v>111</v>
      </c>
      <c r="G40" s="2">
        <v>39</v>
      </c>
      <c r="H40" s="2">
        <v>39</v>
      </c>
      <c r="K40" t="str">
        <v>3512D</v>
      </c>
      <c r="L40">
        <v>116</v>
      </c>
      <c r="N40" t="str">
        <v>886N</v>
      </c>
      <c r="O40" t="str">
        <v>61002G</v>
      </c>
      <c r="P40">
        <v>111</v>
      </c>
      <c r="R40" t="str">
        <v>3512D</v>
      </c>
      <c r="S40">
        <v>116</v>
      </c>
      <c r="U40" t="str">
        <v>886N</v>
      </c>
      <c r="V40" t="str">
        <v>61002G</v>
      </c>
      <c r="W40">
        <v>111</v>
      </c>
    </row>
    <row r="41" spans="1:23" x14ac:dyDescent="0.3">
      <c r="A41" s="2" t="s">
        <v>98</v>
      </c>
      <c r="B41" s="2" t="s">
        <v>51</v>
      </c>
      <c r="C41" s="2" t="s">
        <v>28</v>
      </c>
      <c r="D41" s="2" t="s">
        <v>94</v>
      </c>
      <c r="E41" s="2">
        <v>55</v>
      </c>
      <c r="F41" s="2">
        <v>55</v>
      </c>
      <c r="G41" s="2">
        <v>107</v>
      </c>
      <c r="H41" s="2">
        <v>107</v>
      </c>
      <c r="K41" t="str">
        <v>9364D</v>
      </c>
      <c r="L41">
        <v>116</v>
      </c>
      <c r="N41" t="str">
        <v>16689D</v>
      </c>
      <c r="O41" t="str">
        <v>920B</v>
      </c>
      <c r="P41">
        <v>55</v>
      </c>
      <c r="R41" t="str">
        <v>9364D</v>
      </c>
      <c r="S41">
        <v>116</v>
      </c>
      <c r="U41" t="str">
        <v>16689D</v>
      </c>
      <c r="V41" t="str">
        <v>920B</v>
      </c>
      <c r="W41">
        <v>55</v>
      </c>
    </row>
    <row r="42" spans="1:23" x14ac:dyDescent="0.3">
      <c r="A42" s="2" t="s">
        <v>79</v>
      </c>
      <c r="B42" s="2" t="s">
        <v>44</v>
      </c>
      <c r="C42" s="2" t="s">
        <v>50</v>
      </c>
      <c r="D42" s="2" t="s">
        <v>20</v>
      </c>
      <c r="E42" s="2">
        <v>30</v>
      </c>
      <c r="F42" s="2">
        <v>30</v>
      </c>
      <c r="G42" s="2">
        <v>93</v>
      </c>
      <c r="H42" s="2">
        <v>93</v>
      </c>
      <c r="K42" t="str">
        <v>1091A</v>
      </c>
      <c r="L42">
        <v>118</v>
      </c>
      <c r="N42" t="str">
        <v>6526E</v>
      </c>
      <c r="O42" t="str">
        <v>99621H</v>
      </c>
      <c r="P42">
        <v>30</v>
      </c>
      <c r="R42" t="str">
        <v>1091A</v>
      </c>
      <c r="S42">
        <v>118</v>
      </c>
      <c r="U42" t="str">
        <v>6526E</v>
      </c>
      <c r="V42" t="str">
        <v>99621H</v>
      </c>
      <c r="W42">
        <v>30</v>
      </c>
    </row>
    <row r="43" spans="1:23" x14ac:dyDescent="0.3">
      <c r="A43" s="2" t="s">
        <v>99</v>
      </c>
      <c r="B43" s="2" t="s">
        <v>103</v>
      </c>
      <c r="C43" s="2" t="s">
        <v>11</v>
      </c>
      <c r="D43" s="2" t="s">
        <v>56</v>
      </c>
      <c r="E43" s="2">
        <v>22</v>
      </c>
      <c r="F43" s="2">
        <v>22</v>
      </c>
      <c r="G43" s="2">
        <v>133</v>
      </c>
      <c r="H43" s="2">
        <v>133</v>
      </c>
      <c r="K43" t="str">
        <v>1469A</v>
      </c>
      <c r="L43">
        <v>118</v>
      </c>
      <c r="N43" t="str">
        <v>938E</v>
      </c>
      <c r="O43" t="str">
        <v>16689X</v>
      </c>
      <c r="P43">
        <v>22</v>
      </c>
      <c r="R43" t="str">
        <v>1469A</v>
      </c>
      <c r="S43">
        <v>118</v>
      </c>
      <c r="U43" t="str">
        <v>938E</v>
      </c>
      <c r="V43" t="str">
        <v>16689X</v>
      </c>
      <c r="W43">
        <v>22</v>
      </c>
    </row>
    <row r="44" spans="1:23" x14ac:dyDescent="0.3">
      <c r="A44" s="2" t="s">
        <v>87</v>
      </c>
      <c r="B44" s="2" t="s">
        <v>31</v>
      </c>
      <c r="C44" s="2" t="s">
        <v>104</v>
      </c>
      <c r="D44" s="2" t="s">
        <v>40</v>
      </c>
      <c r="E44" s="2">
        <v>77</v>
      </c>
      <c r="F44" s="2">
        <v>77</v>
      </c>
      <c r="G44" s="2">
        <v>118</v>
      </c>
      <c r="H44" s="2">
        <v>118</v>
      </c>
      <c r="K44" t="str">
        <v>44244S</v>
      </c>
      <c r="L44">
        <v>70</v>
      </c>
      <c r="N44" t="str">
        <v>609B</v>
      </c>
      <c r="O44" t="str">
        <v>2605B</v>
      </c>
      <c r="P44">
        <v>77</v>
      </c>
      <c r="R44" t="str">
        <v>44244S</v>
      </c>
      <c r="S44">
        <v>70</v>
      </c>
      <c r="U44" t="str">
        <v>609B</v>
      </c>
      <c r="V44" t="str">
        <v>2605B</v>
      </c>
      <c r="W44">
        <v>77</v>
      </c>
    </row>
    <row r="45" spans="1:23" x14ac:dyDescent="0.3">
      <c r="A45" s="2" t="s">
        <v>19</v>
      </c>
      <c r="B45" s="2" t="s">
        <v>38</v>
      </c>
      <c r="C45" s="2" t="s">
        <v>12</v>
      </c>
      <c r="D45" s="2" t="s">
        <v>55</v>
      </c>
      <c r="E45" s="2">
        <v>84</v>
      </c>
      <c r="F45" s="2">
        <v>84</v>
      </c>
      <c r="G45" s="2">
        <v>67</v>
      </c>
      <c r="H45" s="2">
        <v>67</v>
      </c>
      <c r="K45" t="str">
        <v>3484X</v>
      </c>
      <c r="L45">
        <v>70</v>
      </c>
      <c r="N45" t="str">
        <v>98225F</v>
      </c>
      <c r="O45" t="str">
        <v>938J</v>
      </c>
      <c r="P45">
        <v>84</v>
      </c>
      <c r="R45" t="str">
        <v>3484X</v>
      </c>
      <c r="S45">
        <v>70</v>
      </c>
      <c r="U45" t="str">
        <v>98225F</v>
      </c>
      <c r="V45" t="str">
        <v>938J</v>
      </c>
      <c r="W45">
        <v>84</v>
      </c>
    </row>
    <row r="46" spans="1:23" x14ac:dyDescent="0.3">
      <c r="A46" s="2" t="s">
        <v>81</v>
      </c>
      <c r="B46" s="2" t="s">
        <v>37</v>
      </c>
      <c r="C46" s="2" t="s">
        <v>32</v>
      </c>
      <c r="D46" s="2" t="s">
        <v>46</v>
      </c>
      <c r="E46" s="2">
        <v>53</v>
      </c>
      <c r="F46" s="2">
        <v>53</v>
      </c>
      <c r="G46" s="2">
        <v>105</v>
      </c>
      <c r="H46" s="2">
        <v>105</v>
      </c>
      <c r="K46" t="str">
        <v>6526E</v>
      </c>
      <c r="L46">
        <v>110</v>
      </c>
      <c r="N46" t="str">
        <v>98548C</v>
      </c>
      <c r="O46" t="str">
        <v>7899A</v>
      </c>
      <c r="P46">
        <v>53</v>
      </c>
      <c r="R46" t="str">
        <v>6526E</v>
      </c>
      <c r="S46">
        <v>110</v>
      </c>
      <c r="U46" t="str">
        <v>98548C</v>
      </c>
      <c r="V46" t="str">
        <v>7899A</v>
      </c>
      <c r="W46">
        <v>53</v>
      </c>
    </row>
    <row r="47" spans="1:23" x14ac:dyDescent="0.3">
      <c r="A47" s="2" t="s">
        <v>49</v>
      </c>
      <c r="B47" s="2" t="s">
        <v>27</v>
      </c>
      <c r="C47" s="2" t="s">
        <v>88</v>
      </c>
      <c r="D47" s="2" t="s">
        <v>100</v>
      </c>
      <c r="E47" s="2">
        <v>95</v>
      </c>
      <c r="F47" s="2">
        <v>95</v>
      </c>
      <c r="G47" s="2">
        <v>97</v>
      </c>
      <c r="H47" s="2">
        <v>97</v>
      </c>
      <c r="K47" t="str">
        <v>604X</v>
      </c>
      <c r="L47">
        <v>110</v>
      </c>
      <c r="N47" t="str">
        <v>99621B</v>
      </c>
      <c r="O47" t="str">
        <v>1010W</v>
      </c>
      <c r="P47">
        <v>95</v>
      </c>
      <c r="R47" t="str">
        <v>604X</v>
      </c>
      <c r="S47">
        <v>110</v>
      </c>
      <c r="U47" t="str">
        <v>99621B</v>
      </c>
      <c r="V47" t="str">
        <v>1010W</v>
      </c>
      <c r="W47">
        <v>95</v>
      </c>
    </row>
    <row r="48" spans="1:23" x14ac:dyDescent="0.3">
      <c r="A48" s="2" t="s">
        <v>18</v>
      </c>
      <c r="B48" s="2" t="s">
        <v>97</v>
      </c>
      <c r="C48" s="2" t="s">
        <v>64</v>
      </c>
      <c r="D48" s="2" t="s">
        <v>67</v>
      </c>
      <c r="E48" s="2">
        <v>88</v>
      </c>
      <c r="F48" s="2">
        <v>88</v>
      </c>
      <c r="G48" s="2">
        <v>26</v>
      </c>
      <c r="H48" s="2">
        <v>26</v>
      </c>
      <c r="K48" t="str">
        <v>98548C</v>
      </c>
      <c r="L48">
        <v>87</v>
      </c>
      <c r="N48" t="str">
        <v>10009A</v>
      </c>
      <c r="O48" t="str">
        <v>39313Z</v>
      </c>
      <c r="P48">
        <v>88</v>
      </c>
      <c r="R48" t="str">
        <v>98548C</v>
      </c>
      <c r="S48">
        <v>87</v>
      </c>
      <c r="U48" t="str">
        <v>10009A</v>
      </c>
      <c r="V48" t="str">
        <v>39313Z</v>
      </c>
      <c r="W48">
        <v>88</v>
      </c>
    </row>
    <row r="49" spans="1:23" x14ac:dyDescent="0.3">
      <c r="A49" s="2" t="s">
        <v>76</v>
      </c>
      <c r="B49" s="2" t="s">
        <v>58</v>
      </c>
      <c r="C49" s="2" t="s">
        <v>98</v>
      </c>
      <c r="D49" s="2" t="s">
        <v>82</v>
      </c>
      <c r="E49" s="2">
        <v>67</v>
      </c>
      <c r="F49" s="2">
        <v>67</v>
      </c>
      <c r="G49" s="2">
        <v>49</v>
      </c>
      <c r="H49" s="2">
        <v>49</v>
      </c>
      <c r="K49" t="str">
        <v>10S</v>
      </c>
      <c r="L49">
        <v>87</v>
      </c>
      <c r="N49" t="str">
        <v>3484X</v>
      </c>
      <c r="O49" t="str">
        <v>61002G</v>
      </c>
      <c r="P49">
        <v>67</v>
      </c>
      <c r="R49" t="str">
        <v>10S</v>
      </c>
      <c r="S49">
        <v>87</v>
      </c>
      <c r="U49" t="str">
        <v>3484X</v>
      </c>
      <c r="V49" t="str">
        <v>61002G</v>
      </c>
      <c r="W49">
        <v>67</v>
      </c>
    </row>
    <row r="50" spans="1:23" x14ac:dyDescent="0.3">
      <c r="A50" s="2" t="s">
        <v>39</v>
      </c>
      <c r="B50" s="2" t="s">
        <v>99</v>
      </c>
      <c r="C50" s="2" t="s">
        <v>33</v>
      </c>
      <c r="D50" s="2" t="s">
        <v>63</v>
      </c>
      <c r="E50" s="2">
        <v>71</v>
      </c>
      <c r="F50" s="2">
        <v>71</v>
      </c>
      <c r="G50" s="2">
        <v>138</v>
      </c>
      <c r="H50" s="2">
        <v>138</v>
      </c>
      <c r="K50" t="str">
        <v>299Y</v>
      </c>
      <c r="L50">
        <v>88</v>
      </c>
      <c r="N50" t="str">
        <v>47874R</v>
      </c>
      <c r="O50" t="str">
        <v>938E</v>
      </c>
      <c r="P50">
        <v>71</v>
      </c>
      <c r="R50" t="str">
        <v>299Y</v>
      </c>
      <c r="S50">
        <v>88</v>
      </c>
      <c r="U50" t="str">
        <v>47874R</v>
      </c>
      <c r="V50" t="str">
        <v>938E</v>
      </c>
      <c r="W50">
        <v>71</v>
      </c>
    </row>
    <row r="51" spans="1:23" x14ac:dyDescent="0.3">
      <c r="A51" s="2" t="s">
        <v>31</v>
      </c>
      <c r="B51" s="2" t="s">
        <v>79</v>
      </c>
      <c r="C51" s="2" t="s">
        <v>68</v>
      </c>
      <c r="D51" s="2" t="s">
        <v>57</v>
      </c>
      <c r="E51" s="2">
        <v>63</v>
      </c>
      <c r="F51" s="2">
        <v>63</v>
      </c>
      <c r="G51" s="2">
        <v>78</v>
      </c>
      <c r="H51" s="2">
        <v>78</v>
      </c>
      <c r="K51" t="str">
        <v>80001B</v>
      </c>
      <c r="L51">
        <v>88</v>
      </c>
      <c r="N51" t="str">
        <v>2605B</v>
      </c>
      <c r="O51" t="str">
        <v>6526E</v>
      </c>
      <c r="P51">
        <v>63</v>
      </c>
      <c r="R51" t="str">
        <v>80001B</v>
      </c>
      <c r="S51">
        <v>88</v>
      </c>
      <c r="U51" t="str">
        <v>2605B</v>
      </c>
      <c r="V51" t="str">
        <v>6526E</v>
      </c>
      <c r="W51">
        <v>63</v>
      </c>
    </row>
    <row r="52" spans="1:23" x14ac:dyDescent="0.3">
      <c r="A52" s="2" t="s">
        <v>94</v>
      </c>
      <c r="B52" s="2" t="s">
        <v>104</v>
      </c>
      <c r="C52" s="2" t="s">
        <v>45</v>
      </c>
      <c r="D52" s="2" t="s">
        <v>34</v>
      </c>
      <c r="E52" s="2">
        <v>140</v>
      </c>
      <c r="F52" s="2">
        <v>140</v>
      </c>
      <c r="G52" s="2">
        <v>81</v>
      </c>
      <c r="H52" s="2">
        <v>81</v>
      </c>
      <c r="K52" t="str">
        <v>609B</v>
      </c>
      <c r="L52">
        <v>47</v>
      </c>
      <c r="N52" t="str">
        <v>10K</v>
      </c>
      <c r="O52" t="str">
        <v>8675R</v>
      </c>
      <c r="P52">
        <v>140</v>
      </c>
      <c r="R52" t="str">
        <v>609B</v>
      </c>
      <c r="S52">
        <v>47</v>
      </c>
      <c r="U52" t="str">
        <v>10K</v>
      </c>
      <c r="V52" t="str">
        <v>8675R</v>
      </c>
      <c r="W52">
        <v>140</v>
      </c>
    </row>
    <row r="53" spans="1:23" x14ac:dyDescent="0.3">
      <c r="A53" s="2" t="s">
        <v>28</v>
      </c>
      <c r="B53" s="2" t="s">
        <v>91</v>
      </c>
      <c r="C53" s="2" t="s">
        <v>55</v>
      </c>
      <c r="D53" s="2" t="s">
        <v>14</v>
      </c>
      <c r="E53" s="2">
        <v>98</v>
      </c>
      <c r="F53" s="2">
        <v>98</v>
      </c>
      <c r="G53" s="2">
        <v>115</v>
      </c>
      <c r="H53" s="2">
        <v>115</v>
      </c>
      <c r="K53" t="str">
        <v>3583A</v>
      </c>
      <c r="L53">
        <v>47</v>
      </c>
      <c r="N53" t="str">
        <v>51581S</v>
      </c>
      <c r="O53" t="str">
        <v>1248X</v>
      </c>
      <c r="P53">
        <v>98</v>
      </c>
      <c r="R53" t="str">
        <v>3583A</v>
      </c>
      <c r="S53">
        <v>47</v>
      </c>
      <c r="U53" t="str">
        <v>51581S</v>
      </c>
      <c r="V53" t="str">
        <v>1248X</v>
      </c>
      <c r="W53">
        <v>98</v>
      </c>
    </row>
    <row r="54" spans="1:23" x14ac:dyDescent="0.3">
      <c r="A54" s="2" t="s">
        <v>73</v>
      </c>
      <c r="B54" s="2" t="s">
        <v>43</v>
      </c>
      <c r="C54" s="2" t="s">
        <v>70</v>
      </c>
      <c r="D54" s="2" t="s">
        <v>13</v>
      </c>
      <c r="E54" s="2">
        <v>93</v>
      </c>
      <c r="F54" s="2">
        <v>93</v>
      </c>
      <c r="G54" s="2">
        <v>80</v>
      </c>
      <c r="H54" s="2">
        <v>80</v>
      </c>
      <c r="K54" t="str">
        <v>1248X</v>
      </c>
      <c r="L54">
        <v>80</v>
      </c>
      <c r="N54" t="str">
        <v>1091A</v>
      </c>
      <c r="O54" t="str">
        <v>11101B</v>
      </c>
      <c r="P54">
        <v>93</v>
      </c>
      <c r="R54" t="str">
        <v>1248X</v>
      </c>
      <c r="S54">
        <v>80</v>
      </c>
      <c r="U54" t="str">
        <v>1091A</v>
      </c>
      <c r="V54" t="str">
        <v>11101B</v>
      </c>
      <c r="W54">
        <v>93</v>
      </c>
    </row>
    <row r="55" spans="1:23" x14ac:dyDescent="0.3">
      <c r="A55" s="2" t="s">
        <v>87</v>
      </c>
      <c r="B55" s="2" t="s">
        <v>44</v>
      </c>
      <c r="C55" s="2" t="s">
        <v>27</v>
      </c>
      <c r="D55" s="2" t="s">
        <v>97</v>
      </c>
      <c r="E55" s="2">
        <v>27</v>
      </c>
      <c r="F55" s="2">
        <v>27</v>
      </c>
      <c r="G55" s="2">
        <v>118</v>
      </c>
      <c r="H55" s="2">
        <v>118</v>
      </c>
      <c r="K55" t="str">
        <v>10N</v>
      </c>
      <c r="L55">
        <v>80</v>
      </c>
      <c r="N55" t="str">
        <v>609B</v>
      </c>
      <c r="O55" t="str">
        <v>99621H</v>
      </c>
      <c r="P55">
        <v>27</v>
      </c>
      <c r="R55" t="str">
        <v>10N</v>
      </c>
      <c r="S55">
        <v>80</v>
      </c>
      <c r="U55" t="str">
        <v>609B</v>
      </c>
      <c r="V55" t="str">
        <v>99621H</v>
      </c>
      <c r="W55">
        <v>27</v>
      </c>
    </row>
    <row r="56" spans="1:23" x14ac:dyDescent="0.3">
      <c r="A56" s="2" t="s">
        <v>56</v>
      </c>
      <c r="B56" s="2" t="s">
        <v>25</v>
      </c>
      <c r="C56" s="2" t="s">
        <v>19</v>
      </c>
      <c r="D56" s="2" t="s">
        <v>37</v>
      </c>
      <c r="E56" s="2">
        <v>96</v>
      </c>
      <c r="F56" s="2">
        <v>96</v>
      </c>
      <c r="G56" s="2">
        <v>106</v>
      </c>
      <c r="H56" s="2">
        <v>106</v>
      </c>
      <c r="K56" t="str">
        <v>10G</v>
      </c>
      <c r="L56">
        <v>78</v>
      </c>
      <c r="N56" t="str">
        <v>502X</v>
      </c>
      <c r="O56" t="str">
        <v>938P</v>
      </c>
      <c r="P56">
        <v>96</v>
      </c>
      <c r="R56" t="str">
        <v>10G</v>
      </c>
      <c r="S56">
        <v>78</v>
      </c>
      <c r="U56" t="str">
        <v>502X</v>
      </c>
      <c r="V56" t="str">
        <v>938P</v>
      </c>
      <c r="W56">
        <v>96</v>
      </c>
    </row>
    <row r="57" spans="1:23" x14ac:dyDescent="0.3">
      <c r="A57" s="2" t="s">
        <v>50</v>
      </c>
      <c r="B57" s="2" t="s">
        <v>21</v>
      </c>
      <c r="C57" s="2" t="s">
        <v>38</v>
      </c>
      <c r="D57" s="2" t="s">
        <v>86</v>
      </c>
      <c r="E57" s="2">
        <v>57</v>
      </c>
      <c r="F57" s="2">
        <v>57</v>
      </c>
      <c r="G57" s="2">
        <v>40</v>
      </c>
      <c r="H57" s="2">
        <v>40</v>
      </c>
      <c r="K57" t="str">
        <v>10K</v>
      </c>
      <c r="L57">
        <v>78</v>
      </c>
      <c r="N57" t="str">
        <v>9364H</v>
      </c>
      <c r="O57" t="str">
        <v>84141B</v>
      </c>
      <c r="P57">
        <v>57</v>
      </c>
      <c r="R57" t="str">
        <v>10K</v>
      </c>
      <c r="S57">
        <v>78</v>
      </c>
      <c r="U57" t="str">
        <v>9364H</v>
      </c>
      <c r="V57" t="str">
        <v>84141B</v>
      </c>
      <c r="W57">
        <v>57</v>
      </c>
    </row>
    <row r="58" spans="1:23" x14ac:dyDescent="0.3">
      <c r="A58" s="2" t="s">
        <v>81</v>
      </c>
      <c r="B58" s="2" t="s">
        <v>100</v>
      </c>
      <c r="C58" s="2" t="s">
        <v>51</v>
      </c>
      <c r="D58" s="2" t="s">
        <v>12</v>
      </c>
      <c r="E58" s="2">
        <v>37</v>
      </c>
      <c r="F58" s="2">
        <v>37</v>
      </c>
      <c r="G58" s="2">
        <v>121</v>
      </c>
      <c r="H58" s="2">
        <v>121</v>
      </c>
      <c r="K58" t="str">
        <v>39313Z</v>
      </c>
      <c r="L58">
        <v>122</v>
      </c>
      <c r="N58" t="str">
        <v>98548C</v>
      </c>
      <c r="O58" t="str">
        <v>938W</v>
      </c>
      <c r="P58">
        <v>37</v>
      </c>
      <c r="R58" t="str">
        <v>39313Z</v>
      </c>
      <c r="S58">
        <v>122</v>
      </c>
      <c r="U58" t="str">
        <v>98548C</v>
      </c>
      <c r="V58" t="str">
        <v>938W</v>
      </c>
      <c r="W58">
        <v>37</v>
      </c>
    </row>
    <row r="59" spans="1:23" x14ac:dyDescent="0.3">
      <c r="A59" s="2" t="s">
        <v>20</v>
      </c>
      <c r="B59" s="2" t="s">
        <v>93</v>
      </c>
      <c r="C59" s="2" t="s">
        <v>32</v>
      </c>
      <c r="D59" s="2" t="s">
        <v>11</v>
      </c>
      <c r="E59" s="2">
        <v>40</v>
      </c>
      <c r="F59" s="2">
        <v>40</v>
      </c>
      <c r="G59" s="2">
        <v>143</v>
      </c>
      <c r="H59" s="2">
        <v>143</v>
      </c>
      <c r="K59" t="str">
        <v>16689D</v>
      </c>
      <c r="L59">
        <v>122</v>
      </c>
      <c r="N59" t="str">
        <v>12516A</v>
      </c>
      <c r="O59" t="str">
        <v>10G</v>
      </c>
      <c r="P59">
        <v>40</v>
      </c>
      <c r="R59" t="str">
        <v>16689D</v>
      </c>
      <c r="S59">
        <v>122</v>
      </c>
      <c r="U59" t="str">
        <v>12516A</v>
      </c>
      <c r="V59" t="str">
        <v>10G</v>
      </c>
      <c r="W59">
        <v>40</v>
      </c>
    </row>
    <row r="60" spans="1:23" x14ac:dyDescent="0.3">
      <c r="A60" s="2" t="s">
        <v>80</v>
      </c>
      <c r="B60" s="2" t="s">
        <v>92</v>
      </c>
      <c r="C60" s="2" t="s">
        <v>18</v>
      </c>
      <c r="D60" s="2" t="s">
        <v>74</v>
      </c>
      <c r="E60" s="2">
        <v>65</v>
      </c>
      <c r="F60" s="2">
        <v>65</v>
      </c>
      <c r="G60" s="2">
        <v>119</v>
      </c>
      <c r="H60" s="2">
        <v>119</v>
      </c>
      <c r="K60" t="str">
        <v>938E</v>
      </c>
      <c r="L60">
        <v>15</v>
      </c>
      <c r="N60" t="str">
        <v>604X</v>
      </c>
      <c r="O60" t="str">
        <v>10N</v>
      </c>
      <c r="P60">
        <v>65</v>
      </c>
      <c r="R60" t="str">
        <v>938E</v>
      </c>
      <c r="S60">
        <v>15</v>
      </c>
      <c r="U60" t="str">
        <v>604X</v>
      </c>
      <c r="V60" t="str">
        <v>10N</v>
      </c>
      <c r="W60">
        <v>65</v>
      </c>
    </row>
    <row r="61" spans="1:23" x14ac:dyDescent="0.3">
      <c r="A61" s="2" t="s">
        <v>75</v>
      </c>
      <c r="B61" s="2" t="s">
        <v>61</v>
      </c>
      <c r="C61" s="2" t="s">
        <v>26</v>
      </c>
      <c r="D61" s="2" t="s">
        <v>49</v>
      </c>
      <c r="E61" s="2">
        <v>135</v>
      </c>
      <c r="F61" s="2">
        <v>135</v>
      </c>
      <c r="G61" s="2">
        <v>106</v>
      </c>
      <c r="H61" s="2">
        <v>106</v>
      </c>
      <c r="K61" t="str">
        <v>938W</v>
      </c>
      <c r="L61">
        <v>15</v>
      </c>
      <c r="N61" t="str">
        <v>44244S</v>
      </c>
      <c r="O61" t="str">
        <v>47874A</v>
      </c>
      <c r="P61">
        <v>135</v>
      </c>
      <c r="R61" t="str">
        <v>938W</v>
      </c>
      <c r="S61">
        <v>15</v>
      </c>
      <c r="U61" t="str">
        <v>44244S</v>
      </c>
      <c r="V61" t="str">
        <v>47874A</v>
      </c>
      <c r="W61">
        <v>135</v>
      </c>
    </row>
    <row r="62" spans="1:23" x14ac:dyDescent="0.3">
      <c r="A62" s="2" t="s">
        <v>52</v>
      </c>
      <c r="B62" s="2" t="s">
        <v>69</v>
      </c>
      <c r="C62" s="2" t="s">
        <v>62</v>
      </c>
      <c r="D62" s="2" t="s">
        <v>85</v>
      </c>
      <c r="E62" s="2">
        <v>45</v>
      </c>
      <c r="F62" s="2">
        <v>45</v>
      </c>
      <c r="G62" s="2">
        <v>104</v>
      </c>
      <c r="H62" s="2">
        <v>104</v>
      </c>
      <c r="K62" t="str">
        <v>16689X</v>
      </c>
      <c r="L62">
        <v>70</v>
      </c>
      <c r="N62" t="str">
        <v>90385R</v>
      </c>
      <c r="O62" t="str">
        <v>3512D</v>
      </c>
      <c r="P62">
        <v>45</v>
      </c>
      <c r="R62" t="str">
        <v>16689X</v>
      </c>
      <c r="S62">
        <v>70</v>
      </c>
      <c r="U62" t="str">
        <v>90385R</v>
      </c>
      <c r="V62" t="str">
        <v>3512D</v>
      </c>
      <c r="W62">
        <v>45</v>
      </c>
    </row>
    <row r="63" spans="1:23" x14ac:dyDescent="0.3">
      <c r="A63" s="2" t="s">
        <v>88</v>
      </c>
      <c r="B63" s="2" t="s">
        <v>46</v>
      </c>
      <c r="C63" s="2" t="s">
        <v>103</v>
      </c>
      <c r="D63" s="2" t="s">
        <v>40</v>
      </c>
      <c r="E63" s="2">
        <v>96</v>
      </c>
      <c r="F63" s="2">
        <v>96</v>
      </c>
      <c r="G63" s="2">
        <v>64</v>
      </c>
      <c r="H63" s="2">
        <v>64</v>
      </c>
      <c r="K63" t="str">
        <v>8675R</v>
      </c>
      <c r="L63">
        <v>70</v>
      </c>
      <c r="N63" t="str">
        <v>3583A</v>
      </c>
      <c r="O63" t="str">
        <v>7700E</v>
      </c>
      <c r="P63">
        <v>96</v>
      </c>
      <c r="R63" t="str">
        <v>8675R</v>
      </c>
      <c r="S63">
        <v>70</v>
      </c>
      <c r="U63" t="str">
        <v>3583A</v>
      </c>
      <c r="V63" t="str">
        <v>7700E</v>
      </c>
      <c r="W63">
        <v>96</v>
      </c>
    </row>
    <row r="64" spans="1:23" x14ac:dyDescent="0.3">
      <c r="A64" s="2" t="s">
        <v>99</v>
      </c>
      <c r="B64" s="2" t="s">
        <v>87</v>
      </c>
      <c r="C64" s="2" t="s">
        <v>28</v>
      </c>
      <c r="D64" s="2" t="s">
        <v>79</v>
      </c>
      <c r="E64" s="2">
        <v>45</v>
      </c>
      <c r="F64" s="2">
        <v>45</v>
      </c>
      <c r="G64" s="2">
        <v>155</v>
      </c>
      <c r="H64" s="2">
        <v>155</v>
      </c>
      <c r="K64" t="str">
        <v>99621B</v>
      </c>
      <c r="L64">
        <v>120</v>
      </c>
      <c r="N64" t="str">
        <v>938E</v>
      </c>
      <c r="O64" t="str">
        <v>609B</v>
      </c>
      <c r="P64">
        <v>45</v>
      </c>
      <c r="R64" t="str">
        <v>99621B</v>
      </c>
      <c r="S64">
        <v>120</v>
      </c>
      <c r="U64" t="str">
        <v>938E</v>
      </c>
      <c r="V64" t="str">
        <v>609B</v>
      </c>
      <c r="W64">
        <v>45</v>
      </c>
    </row>
    <row r="65" spans="1:23" x14ac:dyDescent="0.3">
      <c r="A65" s="2" t="s">
        <v>45</v>
      </c>
      <c r="B65" s="2" t="s">
        <v>14</v>
      </c>
      <c r="C65" s="2" t="s">
        <v>51</v>
      </c>
      <c r="D65" s="2" t="s">
        <v>97</v>
      </c>
      <c r="E65" s="2">
        <v>45</v>
      </c>
      <c r="F65" s="2">
        <v>45</v>
      </c>
      <c r="G65" s="2">
        <v>117</v>
      </c>
      <c r="H65" s="2">
        <v>117</v>
      </c>
      <c r="K65" t="str">
        <v>10B</v>
      </c>
      <c r="L65">
        <v>120</v>
      </c>
      <c r="N65" t="str">
        <v>7700P</v>
      </c>
      <c r="O65" t="str">
        <v>5233J</v>
      </c>
      <c r="P65">
        <v>45</v>
      </c>
      <c r="R65" t="str">
        <v>10B</v>
      </c>
      <c r="S65">
        <v>120</v>
      </c>
      <c r="U65" t="str">
        <v>7700P</v>
      </c>
      <c r="V65" t="str">
        <v>5233J</v>
      </c>
      <c r="W65">
        <v>45</v>
      </c>
    </row>
    <row r="66" spans="1:23" x14ac:dyDescent="0.3">
      <c r="A66" s="2" t="s">
        <v>37</v>
      </c>
      <c r="B66" s="2" t="s">
        <v>86</v>
      </c>
      <c r="C66" s="2" t="s">
        <v>31</v>
      </c>
      <c r="D66" s="2" t="s">
        <v>98</v>
      </c>
      <c r="E66" s="2">
        <v>111</v>
      </c>
      <c r="F66" s="2">
        <v>111</v>
      </c>
      <c r="G66" s="2">
        <v>48</v>
      </c>
      <c r="H66" s="2">
        <v>48</v>
      </c>
      <c r="K66" t="str">
        <v>1010W</v>
      </c>
      <c r="L66">
        <v>108</v>
      </c>
      <c r="N66" t="str">
        <v>7899A</v>
      </c>
      <c r="O66" t="str">
        <v>80001B</v>
      </c>
      <c r="P66">
        <v>111</v>
      </c>
      <c r="R66" t="str">
        <v>1010W</v>
      </c>
      <c r="S66">
        <v>108</v>
      </c>
      <c r="U66" t="str">
        <v>7899A</v>
      </c>
      <c r="V66" t="str">
        <v>80001B</v>
      </c>
      <c r="W66">
        <v>111</v>
      </c>
    </row>
    <row r="67" spans="1:23" x14ac:dyDescent="0.3">
      <c r="A67" s="2" t="s">
        <v>21</v>
      </c>
      <c r="B67" s="2" t="s">
        <v>57</v>
      </c>
      <c r="C67" s="2" t="s">
        <v>80</v>
      </c>
      <c r="D67" s="2" t="s">
        <v>34</v>
      </c>
      <c r="E67" s="2">
        <v>90</v>
      </c>
      <c r="F67" s="2">
        <v>90</v>
      </c>
      <c r="G67" s="2">
        <v>98</v>
      </c>
      <c r="H67" s="2">
        <v>98</v>
      </c>
      <c r="K67" t="str">
        <v>61002G</v>
      </c>
      <c r="L67">
        <v>108</v>
      </c>
      <c r="N67" t="str">
        <v>84141B</v>
      </c>
      <c r="O67" t="str">
        <v>10W</v>
      </c>
      <c r="P67">
        <v>90</v>
      </c>
      <c r="R67" t="str">
        <v>61002G</v>
      </c>
      <c r="S67">
        <v>108</v>
      </c>
      <c r="U67" t="str">
        <v>84141B</v>
      </c>
      <c r="V67" t="str">
        <v>10W</v>
      </c>
      <c r="W67">
        <v>90</v>
      </c>
    </row>
    <row r="68" spans="1:23" x14ac:dyDescent="0.3">
      <c r="A68" s="2" t="s">
        <v>104</v>
      </c>
      <c r="B68" s="2" t="s">
        <v>64</v>
      </c>
      <c r="C68" s="2" t="s">
        <v>56</v>
      </c>
      <c r="D68" s="2" t="s">
        <v>44</v>
      </c>
      <c r="E68" s="2">
        <v>109</v>
      </c>
      <c r="F68" s="2">
        <v>109</v>
      </c>
      <c r="G68" s="2">
        <v>131</v>
      </c>
      <c r="H68" s="2">
        <v>131</v>
      </c>
      <c r="K68" t="str">
        <v>938B</v>
      </c>
      <c r="L68">
        <v>25</v>
      </c>
      <c r="N68" t="str">
        <v>8675R</v>
      </c>
      <c r="O68" t="str">
        <v>93199G</v>
      </c>
      <c r="P68">
        <v>109</v>
      </c>
      <c r="R68" t="str">
        <v>938B</v>
      </c>
      <c r="S68">
        <v>25</v>
      </c>
      <c r="U68" t="str">
        <v>8675R</v>
      </c>
      <c r="V68" t="str">
        <v>93199G</v>
      </c>
      <c r="W68">
        <v>109</v>
      </c>
    </row>
    <row r="69" spans="1:23" x14ac:dyDescent="0.3">
      <c r="A69" s="2" t="s">
        <v>70</v>
      </c>
      <c r="B69" s="2" t="s">
        <v>12</v>
      </c>
      <c r="C69" s="2" t="s">
        <v>58</v>
      </c>
      <c r="D69" s="2" t="s">
        <v>75</v>
      </c>
      <c r="E69" s="2">
        <v>102</v>
      </c>
      <c r="F69" s="2">
        <v>102</v>
      </c>
      <c r="G69" s="2">
        <v>48</v>
      </c>
      <c r="H69" s="2">
        <v>48</v>
      </c>
      <c r="K69" t="str">
        <v>7899A</v>
      </c>
      <c r="L69">
        <v>25</v>
      </c>
      <c r="N69" t="str">
        <v>9364D</v>
      </c>
      <c r="O69" t="str">
        <v>10Z</v>
      </c>
      <c r="P69">
        <v>102</v>
      </c>
      <c r="R69" t="str">
        <v>7899A</v>
      </c>
      <c r="S69">
        <v>25</v>
      </c>
      <c r="U69" t="str">
        <v>9364D</v>
      </c>
      <c r="V69" t="str">
        <v>10Z</v>
      </c>
      <c r="W69">
        <v>102</v>
      </c>
    </row>
    <row r="70" spans="1:23" x14ac:dyDescent="0.3">
      <c r="A70" s="2" t="s">
        <v>100</v>
      </c>
      <c r="B70" s="2" t="s">
        <v>73</v>
      </c>
      <c r="C70" s="2" t="s">
        <v>50</v>
      </c>
      <c r="D70" s="2" t="s">
        <v>25</v>
      </c>
      <c r="E70" s="2">
        <v>32</v>
      </c>
      <c r="F70" s="2">
        <v>32</v>
      </c>
      <c r="G70" s="2">
        <v>68</v>
      </c>
      <c r="H70" s="2">
        <v>68</v>
      </c>
      <c r="K70" t="str">
        <v>3512D</v>
      </c>
      <c r="L70">
        <v>63</v>
      </c>
      <c r="N70" t="str">
        <v>938W</v>
      </c>
      <c r="O70" t="str">
        <v>1091A</v>
      </c>
      <c r="P70">
        <v>32</v>
      </c>
      <c r="R70" t="str">
        <v>3512D</v>
      </c>
      <c r="S70">
        <v>63</v>
      </c>
      <c r="U70" t="str">
        <v>938W</v>
      </c>
      <c r="V70" t="str">
        <v>1091A</v>
      </c>
      <c r="W70">
        <v>32</v>
      </c>
    </row>
    <row r="71" spans="1:23" x14ac:dyDescent="0.3">
      <c r="A71" s="2" t="s">
        <v>74</v>
      </c>
      <c r="B71" s="2" t="s">
        <v>39</v>
      </c>
      <c r="C71" s="2" t="s">
        <v>103</v>
      </c>
      <c r="D71" s="2" t="s">
        <v>67</v>
      </c>
      <c r="E71" s="2">
        <v>97</v>
      </c>
      <c r="F71" s="2">
        <v>97</v>
      </c>
      <c r="G71" s="2">
        <v>69</v>
      </c>
      <c r="H71" s="2">
        <v>69</v>
      </c>
      <c r="K71" t="str">
        <v>44244S</v>
      </c>
      <c r="L71">
        <v>63</v>
      </c>
      <c r="N71" t="str">
        <v>1469A</v>
      </c>
      <c r="O71" t="str">
        <v>47874R</v>
      </c>
      <c r="P71">
        <v>97</v>
      </c>
      <c r="R71" t="str">
        <v>44244S</v>
      </c>
      <c r="S71">
        <v>63</v>
      </c>
      <c r="U71" t="str">
        <v>1469A</v>
      </c>
      <c r="V71" t="str">
        <v>47874R</v>
      </c>
      <c r="W71">
        <v>97</v>
      </c>
    </row>
    <row r="72" spans="1:23" x14ac:dyDescent="0.3">
      <c r="A72" s="2" t="s">
        <v>62</v>
      </c>
      <c r="B72" s="2" t="s">
        <v>18</v>
      </c>
      <c r="C72" s="2" t="s">
        <v>93</v>
      </c>
      <c r="D72" s="2" t="s">
        <v>55</v>
      </c>
      <c r="E72" s="2">
        <v>104</v>
      </c>
      <c r="F72" s="2">
        <v>104</v>
      </c>
      <c r="G72" s="2">
        <v>44</v>
      </c>
      <c r="H72" s="2">
        <v>44</v>
      </c>
      <c r="K72" t="str">
        <v>9364H</v>
      </c>
      <c r="L72">
        <v>111</v>
      </c>
      <c r="N72" t="str">
        <v>884A</v>
      </c>
      <c r="O72" t="str">
        <v>10009A</v>
      </c>
      <c r="P72">
        <v>104</v>
      </c>
      <c r="R72" t="str">
        <v>9364H</v>
      </c>
      <c r="S72">
        <v>111</v>
      </c>
      <c r="U72" t="str">
        <v>884A</v>
      </c>
      <c r="V72" t="str">
        <v>10009A</v>
      </c>
      <c r="W72">
        <v>104</v>
      </c>
    </row>
    <row r="73" spans="1:23" x14ac:dyDescent="0.3">
      <c r="A73" s="2" t="s">
        <v>88</v>
      </c>
      <c r="B73" s="2" t="s">
        <v>38</v>
      </c>
      <c r="C73" s="2" t="s">
        <v>81</v>
      </c>
      <c r="D73" s="2" t="s">
        <v>26</v>
      </c>
      <c r="E73" s="2">
        <v>91</v>
      </c>
      <c r="F73" s="2">
        <v>91</v>
      </c>
      <c r="G73" s="2">
        <v>93</v>
      </c>
      <c r="H73" s="2">
        <v>93</v>
      </c>
      <c r="K73" t="str">
        <v>938T</v>
      </c>
      <c r="L73">
        <v>111</v>
      </c>
      <c r="N73" t="str">
        <v>3583A</v>
      </c>
      <c r="O73" t="str">
        <v>938J</v>
      </c>
      <c r="P73">
        <v>91</v>
      </c>
      <c r="R73" t="str">
        <v>938T</v>
      </c>
      <c r="S73">
        <v>111</v>
      </c>
      <c r="U73" t="str">
        <v>3583A</v>
      </c>
      <c r="V73" t="str">
        <v>938J</v>
      </c>
      <c r="W73">
        <v>91</v>
      </c>
    </row>
    <row r="74" spans="1:23" x14ac:dyDescent="0.3">
      <c r="A74" s="2" t="s">
        <v>40</v>
      </c>
      <c r="B74" s="2" t="s">
        <v>63</v>
      </c>
      <c r="C74" s="2" t="s">
        <v>52</v>
      </c>
      <c r="D74" s="2" t="s">
        <v>32</v>
      </c>
      <c r="E74" s="2">
        <v>104</v>
      </c>
      <c r="F74" s="2">
        <v>104</v>
      </c>
      <c r="G74" s="2">
        <v>106</v>
      </c>
      <c r="H74" s="2">
        <v>106</v>
      </c>
      <c r="K74" t="str">
        <v>920B</v>
      </c>
      <c r="L74">
        <v>27</v>
      </c>
      <c r="N74" t="str">
        <v>949Z</v>
      </c>
      <c r="O74" t="str">
        <v>938T</v>
      </c>
      <c r="P74">
        <v>104</v>
      </c>
      <c r="R74" t="str">
        <v>920B</v>
      </c>
      <c r="S74">
        <v>27</v>
      </c>
      <c r="U74" t="str">
        <v>949Z</v>
      </c>
      <c r="V74" t="str">
        <v>938T</v>
      </c>
      <c r="W74">
        <v>104</v>
      </c>
    </row>
    <row r="75" spans="1:23" x14ac:dyDescent="0.3">
      <c r="A75" s="2" t="s">
        <v>94</v>
      </c>
      <c r="B75" s="2" t="s">
        <v>27</v>
      </c>
      <c r="C75" s="2" t="s">
        <v>61</v>
      </c>
      <c r="D75" s="2" t="s">
        <v>85</v>
      </c>
      <c r="E75" s="2">
        <v>140</v>
      </c>
      <c r="F75" s="2">
        <v>140</v>
      </c>
      <c r="G75" s="2">
        <v>67</v>
      </c>
      <c r="H75" s="2">
        <v>67</v>
      </c>
      <c r="K75" t="str">
        <v>938M</v>
      </c>
      <c r="L75">
        <v>27</v>
      </c>
      <c r="N75" t="str">
        <v>10K</v>
      </c>
      <c r="O75" t="str">
        <v>1010W</v>
      </c>
      <c r="P75">
        <v>140</v>
      </c>
      <c r="R75" t="str">
        <v>938M</v>
      </c>
      <c r="S75">
        <v>27</v>
      </c>
      <c r="U75" t="str">
        <v>10K</v>
      </c>
      <c r="V75" t="str">
        <v>1010W</v>
      </c>
      <c r="W75">
        <v>140</v>
      </c>
    </row>
    <row r="76" spans="1:23" x14ac:dyDescent="0.3">
      <c r="A76" s="2" t="s">
        <v>76</v>
      </c>
      <c r="B76" s="2" t="s">
        <v>43</v>
      </c>
      <c r="C76" s="2" t="s">
        <v>20</v>
      </c>
      <c r="D76" s="2" t="s">
        <v>49</v>
      </c>
      <c r="E76" s="2">
        <v>142</v>
      </c>
      <c r="F76" s="2">
        <v>142</v>
      </c>
      <c r="G76" s="2">
        <v>49</v>
      </c>
      <c r="H76" s="2">
        <v>49</v>
      </c>
      <c r="K76" t="str">
        <v>11101B</v>
      </c>
      <c r="L76">
        <v>117</v>
      </c>
      <c r="N76" t="str">
        <v>3484X</v>
      </c>
      <c r="O76" t="str">
        <v>11101B</v>
      </c>
      <c r="P76">
        <v>142</v>
      </c>
      <c r="R76" t="str">
        <v>11101B</v>
      </c>
      <c r="S76">
        <v>117</v>
      </c>
      <c r="U76" t="str">
        <v>3484X</v>
      </c>
      <c r="V76" t="str">
        <v>11101B</v>
      </c>
      <c r="W76">
        <v>142</v>
      </c>
    </row>
    <row r="77" spans="1:23" x14ac:dyDescent="0.3">
      <c r="A77" s="2" t="s">
        <v>13</v>
      </c>
      <c r="B77" s="2" t="s">
        <v>82</v>
      </c>
      <c r="C77" s="2" t="s">
        <v>69</v>
      </c>
      <c r="D77" s="2" t="s">
        <v>19</v>
      </c>
      <c r="E77" s="2">
        <v>94</v>
      </c>
      <c r="F77" s="2">
        <v>94</v>
      </c>
      <c r="G77" s="2">
        <v>53</v>
      </c>
      <c r="H77" s="2">
        <v>53</v>
      </c>
      <c r="K77" t="str">
        <v>10E</v>
      </c>
      <c r="L77">
        <v>117</v>
      </c>
      <c r="N77" t="str">
        <v>10B</v>
      </c>
      <c r="O77" t="str">
        <v>10S</v>
      </c>
      <c r="P77">
        <v>94</v>
      </c>
      <c r="R77" t="str">
        <v>10E</v>
      </c>
      <c r="S77">
        <v>117</v>
      </c>
      <c r="U77" t="str">
        <v>10B</v>
      </c>
      <c r="V77" t="str">
        <v>10S</v>
      </c>
      <c r="W77">
        <v>94</v>
      </c>
    </row>
    <row r="78" spans="1:23" x14ac:dyDescent="0.3">
      <c r="A78" s="2" t="s">
        <v>11</v>
      </c>
      <c r="B78" s="2" t="s">
        <v>92</v>
      </c>
      <c r="C78" s="2" t="s">
        <v>46</v>
      </c>
      <c r="D78" s="2" t="s">
        <v>68</v>
      </c>
      <c r="E78" s="2">
        <v>113</v>
      </c>
      <c r="F78" s="2">
        <v>113</v>
      </c>
      <c r="G78" s="2">
        <v>63</v>
      </c>
      <c r="H78" s="2">
        <v>63</v>
      </c>
      <c r="K78" t="str">
        <v>5327S</v>
      </c>
      <c r="L78">
        <v>128</v>
      </c>
      <c r="N78" t="str">
        <v>938G</v>
      </c>
      <c r="O78" t="str">
        <v>10N</v>
      </c>
      <c r="P78">
        <v>113</v>
      </c>
      <c r="R78" t="str">
        <v>5327S</v>
      </c>
      <c r="S78">
        <v>128</v>
      </c>
      <c r="U78" t="str">
        <v>938G</v>
      </c>
      <c r="V78" t="str">
        <v>10N</v>
      </c>
      <c r="W78">
        <v>113</v>
      </c>
    </row>
    <row r="79" spans="1:23" x14ac:dyDescent="0.3">
      <c r="A79" s="2" t="s">
        <v>91</v>
      </c>
      <c r="B79" s="2" t="s">
        <v>33</v>
      </c>
      <c r="C79" s="2" t="s">
        <v>67</v>
      </c>
      <c r="D79" s="2" t="s">
        <v>87</v>
      </c>
      <c r="E79" s="2">
        <v>132</v>
      </c>
      <c r="F79" s="2">
        <v>132</v>
      </c>
      <c r="G79" s="2">
        <v>49</v>
      </c>
      <c r="H79" s="2">
        <v>49</v>
      </c>
      <c r="K79" t="str">
        <v>884A</v>
      </c>
      <c r="L79">
        <v>128</v>
      </c>
      <c r="N79" t="str">
        <v>1248X</v>
      </c>
      <c r="O79" t="str">
        <v>886N</v>
      </c>
      <c r="P79">
        <v>132</v>
      </c>
      <c r="R79" t="str">
        <v>884A</v>
      </c>
      <c r="S79">
        <v>128</v>
      </c>
      <c r="U79" t="str">
        <v>1248X</v>
      </c>
      <c r="V79" t="str">
        <v>886N</v>
      </c>
      <c r="W79">
        <v>132</v>
      </c>
    </row>
    <row r="80" spans="1:23" x14ac:dyDescent="0.3">
      <c r="A80" s="2" t="s">
        <v>81</v>
      </c>
      <c r="B80" s="2" t="s">
        <v>55</v>
      </c>
      <c r="C80" s="2" t="s">
        <v>21</v>
      </c>
      <c r="D80" s="2" t="s">
        <v>75</v>
      </c>
      <c r="E80" s="2">
        <v>75</v>
      </c>
      <c r="F80" s="2">
        <v>75</v>
      </c>
      <c r="G80" s="2">
        <v>100</v>
      </c>
      <c r="H80" s="2">
        <v>100</v>
      </c>
      <c r="K80" t="str">
        <v>1091A</v>
      </c>
      <c r="L80">
        <v>72</v>
      </c>
      <c r="N80" t="str">
        <v>98548C</v>
      </c>
      <c r="O80" t="str">
        <v>938M</v>
      </c>
      <c r="P80">
        <v>75</v>
      </c>
      <c r="R80" t="str">
        <v>1091A</v>
      </c>
      <c r="S80">
        <v>72</v>
      </c>
      <c r="U80" t="str">
        <v>98548C</v>
      </c>
      <c r="V80" t="str">
        <v>938M</v>
      </c>
      <c r="W80">
        <v>75</v>
      </c>
    </row>
    <row r="81" spans="1:23" x14ac:dyDescent="0.3">
      <c r="A81" s="2" t="s">
        <v>97</v>
      </c>
      <c r="B81" s="2" t="s">
        <v>25</v>
      </c>
      <c r="C81" s="2" t="s">
        <v>88</v>
      </c>
      <c r="D81" s="2" t="s">
        <v>58</v>
      </c>
      <c r="E81" s="2">
        <v>39</v>
      </c>
      <c r="F81" s="2">
        <v>39</v>
      </c>
      <c r="G81" s="2">
        <v>116</v>
      </c>
      <c r="H81" s="2">
        <v>116</v>
      </c>
      <c r="K81" t="str">
        <v>99621H</v>
      </c>
      <c r="L81">
        <v>72</v>
      </c>
      <c r="N81" t="str">
        <v>39313Z</v>
      </c>
      <c r="O81" t="str">
        <v>938P</v>
      </c>
      <c r="P81">
        <v>39</v>
      </c>
      <c r="R81" t="str">
        <v>99621H</v>
      </c>
      <c r="S81">
        <v>72</v>
      </c>
      <c r="U81" t="str">
        <v>39313Z</v>
      </c>
      <c r="V81" t="str">
        <v>938P</v>
      </c>
      <c r="W81">
        <v>39</v>
      </c>
    </row>
    <row r="82" spans="1:23" x14ac:dyDescent="0.3">
      <c r="A82" s="2" t="s">
        <v>28</v>
      </c>
      <c r="B82" s="2" t="s">
        <v>52</v>
      </c>
      <c r="C82" s="2" t="s">
        <v>61</v>
      </c>
      <c r="D82" s="2" t="s">
        <v>31</v>
      </c>
      <c r="E82" s="2">
        <v>108</v>
      </c>
      <c r="F82" s="2">
        <v>108</v>
      </c>
      <c r="G82" s="2">
        <v>52</v>
      </c>
      <c r="H82" s="2">
        <v>52</v>
      </c>
      <c r="K82" t="str">
        <v>7700P</v>
      </c>
      <c r="L82">
        <v>84</v>
      </c>
      <c r="N82" t="str">
        <v>51581S</v>
      </c>
      <c r="O82" t="str">
        <v>90385R</v>
      </c>
      <c r="P82">
        <v>108</v>
      </c>
      <c r="R82" t="str">
        <v>7700P</v>
      </c>
      <c r="S82">
        <v>84</v>
      </c>
      <c r="U82" t="str">
        <v>51581S</v>
      </c>
      <c r="V82" t="str">
        <v>90385R</v>
      </c>
      <c r="W82">
        <v>108</v>
      </c>
    </row>
    <row r="83" spans="1:23" x14ac:dyDescent="0.3">
      <c r="A83" s="2" t="s">
        <v>103</v>
      </c>
      <c r="B83" s="2" t="s">
        <v>85</v>
      </c>
      <c r="C83" s="2" t="s">
        <v>14</v>
      </c>
      <c r="D83" s="2" t="s">
        <v>73</v>
      </c>
      <c r="E83" s="2">
        <v>45</v>
      </c>
      <c r="F83" s="2">
        <v>45</v>
      </c>
      <c r="G83" s="2">
        <v>108</v>
      </c>
      <c r="H83" s="2">
        <v>108</v>
      </c>
      <c r="K83" t="str">
        <v>299Y</v>
      </c>
      <c r="L83">
        <v>84</v>
      </c>
      <c r="N83" t="str">
        <v>16689X</v>
      </c>
      <c r="O83" t="str">
        <v>299Y</v>
      </c>
      <c r="P83">
        <v>45</v>
      </c>
      <c r="R83" t="str">
        <v>299Y</v>
      </c>
      <c r="S83">
        <v>84</v>
      </c>
      <c r="U83" t="str">
        <v>16689X</v>
      </c>
      <c r="V83" t="str">
        <v>299Y</v>
      </c>
      <c r="W83">
        <v>45</v>
      </c>
    </row>
    <row r="84" spans="1:23" x14ac:dyDescent="0.3">
      <c r="A84" s="2" t="s">
        <v>82</v>
      </c>
      <c r="B84" s="2" t="s">
        <v>38</v>
      </c>
      <c r="C84" s="2" t="s">
        <v>62</v>
      </c>
      <c r="D84" s="2" t="s">
        <v>99</v>
      </c>
      <c r="E84" s="2">
        <v>30</v>
      </c>
      <c r="F84" s="2">
        <v>30</v>
      </c>
      <c r="G84" s="2">
        <v>73</v>
      </c>
      <c r="H84" s="2">
        <v>73</v>
      </c>
      <c r="K84" t="str">
        <v>938J</v>
      </c>
      <c r="L84">
        <v>77</v>
      </c>
      <c r="N84" t="str">
        <v>10S</v>
      </c>
      <c r="O84" t="str">
        <v>938J</v>
      </c>
      <c r="P84">
        <v>30</v>
      </c>
      <c r="R84" t="str">
        <v>938J</v>
      </c>
      <c r="S84">
        <v>77</v>
      </c>
      <c r="U84" t="str">
        <v>10S</v>
      </c>
      <c r="V84" t="str">
        <v>938J</v>
      </c>
      <c r="W84">
        <v>30</v>
      </c>
    </row>
    <row r="85" spans="1:23" x14ac:dyDescent="0.3">
      <c r="A85" s="2" t="s">
        <v>51</v>
      </c>
      <c r="B85" s="2" t="s">
        <v>32</v>
      </c>
      <c r="C85" s="2" t="s">
        <v>76</v>
      </c>
      <c r="D85" s="2" t="s">
        <v>104</v>
      </c>
      <c r="E85" s="2">
        <v>80</v>
      </c>
      <c r="F85" s="2">
        <v>80</v>
      </c>
      <c r="G85" s="2">
        <v>85</v>
      </c>
      <c r="H85" s="2">
        <v>85</v>
      </c>
      <c r="K85" t="str">
        <v>10N</v>
      </c>
      <c r="L85">
        <v>77</v>
      </c>
      <c r="N85" t="str">
        <v>920B</v>
      </c>
      <c r="O85" t="str">
        <v>5327S</v>
      </c>
      <c r="P85">
        <v>80</v>
      </c>
      <c r="R85" t="str">
        <v>10N</v>
      </c>
      <c r="S85">
        <v>77</v>
      </c>
      <c r="U85" t="str">
        <v>920B</v>
      </c>
      <c r="V85" t="str">
        <v>5327S</v>
      </c>
      <c r="W85">
        <v>80</v>
      </c>
    </row>
    <row r="86" spans="1:23" x14ac:dyDescent="0.3">
      <c r="A86" s="2" t="s">
        <v>46</v>
      </c>
      <c r="B86" s="2" t="s">
        <v>64</v>
      </c>
      <c r="C86" s="2" t="s">
        <v>94</v>
      </c>
      <c r="D86" s="2" t="s">
        <v>100</v>
      </c>
      <c r="E86" s="2">
        <v>127</v>
      </c>
      <c r="F86" s="2">
        <v>127</v>
      </c>
      <c r="G86" s="2">
        <v>34</v>
      </c>
      <c r="H86" s="2">
        <v>34</v>
      </c>
      <c r="K86" t="str">
        <v>949Z</v>
      </c>
      <c r="L86">
        <v>125</v>
      </c>
      <c r="N86" t="str">
        <v>7700E</v>
      </c>
      <c r="O86" t="str">
        <v>93199G</v>
      </c>
      <c r="P86">
        <v>127</v>
      </c>
      <c r="R86" t="str">
        <v>949Z</v>
      </c>
      <c r="S86">
        <v>125</v>
      </c>
      <c r="U86" t="str">
        <v>7700E</v>
      </c>
      <c r="V86" t="str">
        <v>93199G</v>
      </c>
      <c r="W86">
        <v>127</v>
      </c>
    </row>
    <row r="87" spans="1:23" x14ac:dyDescent="0.3">
      <c r="A87" s="2" t="s">
        <v>11</v>
      </c>
      <c r="B87" s="2" t="s">
        <v>91</v>
      </c>
      <c r="C87" s="2" t="s">
        <v>18</v>
      </c>
      <c r="D87" s="2" t="s">
        <v>57</v>
      </c>
      <c r="E87" s="2">
        <v>56</v>
      </c>
      <c r="F87" s="2">
        <v>56</v>
      </c>
      <c r="G87" s="2">
        <v>97</v>
      </c>
      <c r="H87" s="2">
        <v>97</v>
      </c>
      <c r="K87" t="str">
        <v>8931R</v>
      </c>
      <c r="L87">
        <v>125</v>
      </c>
      <c r="N87" t="str">
        <v>938G</v>
      </c>
      <c r="O87" t="str">
        <v>1248X</v>
      </c>
      <c r="P87">
        <v>56</v>
      </c>
      <c r="R87" t="str">
        <v>8931R</v>
      </c>
      <c r="S87">
        <v>125</v>
      </c>
      <c r="U87" t="str">
        <v>938G</v>
      </c>
      <c r="V87" t="str">
        <v>1248X</v>
      </c>
      <c r="W87">
        <v>56</v>
      </c>
    </row>
    <row r="88" spans="1:23" x14ac:dyDescent="0.3">
      <c r="A88" s="2" t="s">
        <v>20</v>
      </c>
      <c r="B88" s="2" t="s">
        <v>13</v>
      </c>
      <c r="C88" s="2" t="s">
        <v>39</v>
      </c>
      <c r="D88" s="2" t="s">
        <v>92</v>
      </c>
      <c r="E88" s="2">
        <v>40</v>
      </c>
      <c r="F88" s="2">
        <v>40</v>
      </c>
      <c r="G88" s="2">
        <v>88</v>
      </c>
      <c r="H88" s="2">
        <v>88</v>
      </c>
      <c r="K88" t="str">
        <v>1469A</v>
      </c>
      <c r="L88">
        <v>59</v>
      </c>
      <c r="N88" t="str">
        <v>12516A</v>
      </c>
      <c r="O88" t="str">
        <v>10B</v>
      </c>
      <c r="P88">
        <v>40</v>
      </c>
      <c r="R88" t="str">
        <v>1469A</v>
      </c>
      <c r="S88">
        <v>59</v>
      </c>
      <c r="U88" t="str">
        <v>12516A</v>
      </c>
      <c r="V88" t="str">
        <v>10B</v>
      </c>
      <c r="W88">
        <v>40</v>
      </c>
    </row>
    <row r="89" spans="1:23" x14ac:dyDescent="0.3">
      <c r="A89" s="2" t="s">
        <v>68</v>
      </c>
      <c r="B89" s="2" t="s">
        <v>80</v>
      </c>
      <c r="C89" s="2" t="s">
        <v>86</v>
      </c>
      <c r="D89" s="2" t="s">
        <v>12</v>
      </c>
      <c r="E89" s="2">
        <v>43</v>
      </c>
      <c r="F89" s="2">
        <v>43</v>
      </c>
      <c r="G89" s="2">
        <v>60</v>
      </c>
      <c r="H89" s="2">
        <v>60</v>
      </c>
      <c r="K89" t="str">
        <v>938G</v>
      </c>
      <c r="L89">
        <v>59</v>
      </c>
      <c r="N89" t="str">
        <v>938B</v>
      </c>
      <c r="O89" t="str">
        <v>604X</v>
      </c>
      <c r="P89">
        <v>43</v>
      </c>
      <c r="R89" t="str">
        <v>938G</v>
      </c>
      <c r="S89">
        <v>59</v>
      </c>
      <c r="U89" t="str">
        <v>938B</v>
      </c>
      <c r="V89" t="str">
        <v>604X</v>
      </c>
      <c r="W89">
        <v>43</v>
      </c>
    </row>
    <row r="90" spans="1:23" x14ac:dyDescent="0.3">
      <c r="A90" s="2" t="s">
        <v>45</v>
      </c>
      <c r="B90" s="2" t="s">
        <v>98</v>
      </c>
      <c r="C90" s="2" t="s">
        <v>26</v>
      </c>
      <c r="D90" s="2" t="s">
        <v>63</v>
      </c>
      <c r="E90" s="2">
        <v>115</v>
      </c>
      <c r="F90" s="2">
        <v>115</v>
      </c>
      <c r="G90" s="2">
        <v>40</v>
      </c>
      <c r="H90" s="2">
        <v>40</v>
      </c>
      <c r="K90" t="str">
        <v>3484X</v>
      </c>
      <c r="L90">
        <v>62</v>
      </c>
      <c r="N90" t="str">
        <v>7700P</v>
      </c>
      <c r="O90" t="str">
        <v>16689D</v>
      </c>
      <c r="P90">
        <v>115</v>
      </c>
      <c r="R90" t="str">
        <v>3484X</v>
      </c>
      <c r="S90">
        <v>62</v>
      </c>
      <c r="U90" t="str">
        <v>7700P</v>
      </c>
      <c r="V90" t="str">
        <v>16689D</v>
      </c>
      <c r="W90">
        <v>115</v>
      </c>
    </row>
    <row r="91" spans="1:23" x14ac:dyDescent="0.3">
      <c r="A91" s="2" t="s">
        <v>40</v>
      </c>
      <c r="B91" s="2" t="s">
        <v>93</v>
      </c>
      <c r="C91" s="2" t="s">
        <v>70</v>
      </c>
      <c r="D91" s="2" t="s">
        <v>56</v>
      </c>
      <c r="E91" s="2">
        <v>65</v>
      </c>
      <c r="F91" s="2">
        <v>65</v>
      </c>
      <c r="G91" s="2">
        <v>113</v>
      </c>
      <c r="H91" s="2">
        <v>113</v>
      </c>
      <c r="K91" t="str">
        <v>7700E</v>
      </c>
      <c r="L91">
        <v>62</v>
      </c>
      <c r="N91" t="str">
        <v>949Z</v>
      </c>
      <c r="O91" t="str">
        <v>10G</v>
      </c>
      <c r="P91">
        <v>65</v>
      </c>
      <c r="R91" t="str">
        <v>7700E</v>
      </c>
      <c r="S91">
        <v>62</v>
      </c>
      <c r="U91" t="str">
        <v>949Z</v>
      </c>
      <c r="V91" t="str">
        <v>10G</v>
      </c>
      <c r="W91">
        <v>65</v>
      </c>
    </row>
    <row r="92" spans="1:23" x14ac:dyDescent="0.3">
      <c r="A92" s="2" t="s">
        <v>49</v>
      </c>
      <c r="B92" s="2" t="s">
        <v>69</v>
      </c>
      <c r="C92" s="2" t="s">
        <v>44</v>
      </c>
      <c r="D92" s="2" t="s">
        <v>37</v>
      </c>
      <c r="E92" s="2">
        <v>73</v>
      </c>
      <c r="F92" s="2">
        <v>73</v>
      </c>
      <c r="G92" s="2">
        <v>86</v>
      </c>
      <c r="H92" s="2">
        <v>86</v>
      </c>
      <c r="K92" t="str">
        <v>938E</v>
      </c>
      <c r="L92">
        <v>78</v>
      </c>
      <c r="N92" t="str">
        <v>99621B</v>
      </c>
      <c r="O92" t="str">
        <v>3512D</v>
      </c>
      <c r="P92">
        <v>73</v>
      </c>
      <c r="R92" t="str">
        <v>938E</v>
      </c>
      <c r="S92">
        <v>78</v>
      </c>
      <c r="U92" t="str">
        <v>99621B</v>
      </c>
      <c r="V92" t="str">
        <v>3512D</v>
      </c>
      <c r="W92">
        <v>73</v>
      </c>
    </row>
    <row r="93" spans="1:23" x14ac:dyDescent="0.3">
      <c r="A93" s="2" t="s">
        <v>79</v>
      </c>
      <c r="B93" s="2" t="s">
        <v>74</v>
      </c>
      <c r="C93" s="2" t="s">
        <v>33</v>
      </c>
      <c r="D93" s="2" t="s">
        <v>43</v>
      </c>
      <c r="E93" s="2">
        <v>75</v>
      </c>
      <c r="F93" s="2">
        <v>75</v>
      </c>
      <c r="G93" s="2">
        <v>157</v>
      </c>
      <c r="H93" s="2">
        <v>157</v>
      </c>
      <c r="K93" t="str">
        <v>84141B</v>
      </c>
      <c r="L93">
        <v>78</v>
      </c>
      <c r="N93" t="str">
        <v>6526E</v>
      </c>
      <c r="O93" t="str">
        <v>1469A</v>
      </c>
      <c r="P93">
        <v>75</v>
      </c>
      <c r="R93" t="str">
        <v>84141B</v>
      </c>
      <c r="S93">
        <v>78</v>
      </c>
      <c r="U93" t="str">
        <v>6526E</v>
      </c>
      <c r="V93" t="str">
        <v>1469A</v>
      </c>
      <c r="W93">
        <v>75</v>
      </c>
    </row>
    <row r="94" spans="1:23" x14ac:dyDescent="0.3">
      <c r="A94" s="2" t="s">
        <v>50</v>
      </c>
      <c r="B94" s="2" t="s">
        <v>34</v>
      </c>
      <c r="C94" s="2" t="s">
        <v>19</v>
      </c>
      <c r="D94" s="2" t="s">
        <v>27</v>
      </c>
      <c r="E94" s="2">
        <v>52</v>
      </c>
      <c r="F94" s="2">
        <v>52</v>
      </c>
      <c r="G94" s="2">
        <v>89</v>
      </c>
      <c r="H94" s="2">
        <v>89</v>
      </c>
      <c r="K94" t="str">
        <v>9364D</v>
      </c>
      <c r="L94">
        <v>96</v>
      </c>
      <c r="N94" t="str">
        <v>9364H</v>
      </c>
      <c r="O94" t="str">
        <v>8931R</v>
      </c>
      <c r="P94">
        <v>52</v>
      </c>
      <c r="R94" t="str">
        <v>9364D</v>
      </c>
      <c r="S94">
        <v>96</v>
      </c>
      <c r="U94" t="str">
        <v>9364H</v>
      </c>
      <c r="V94" t="str">
        <v>8931R</v>
      </c>
      <c r="W94">
        <v>52</v>
      </c>
    </row>
    <row r="95" spans="1:23" x14ac:dyDescent="0.3">
      <c r="A95" s="2" t="s">
        <v>97</v>
      </c>
      <c r="B95" s="2" t="s">
        <v>52</v>
      </c>
      <c r="C95" s="2" t="s">
        <v>82</v>
      </c>
      <c r="D95" s="2" t="s">
        <v>55</v>
      </c>
      <c r="E95" s="2">
        <v>60</v>
      </c>
      <c r="F95" s="2">
        <v>60</v>
      </c>
      <c r="G95" s="2">
        <v>41</v>
      </c>
      <c r="H95" s="2">
        <v>41</v>
      </c>
      <c r="K95" t="str">
        <v>93199G</v>
      </c>
      <c r="L95">
        <v>96</v>
      </c>
      <c r="N95" t="str">
        <v>39313Z</v>
      </c>
      <c r="O95" t="str">
        <v>90385R</v>
      </c>
      <c r="P95">
        <v>60</v>
      </c>
      <c r="R95" t="str">
        <v>93199G</v>
      </c>
      <c r="S95">
        <v>96</v>
      </c>
      <c r="U95" t="str">
        <v>39313Z</v>
      </c>
      <c r="V95" t="str">
        <v>90385R</v>
      </c>
      <c r="W95">
        <v>60</v>
      </c>
    </row>
    <row r="96" spans="1:23" x14ac:dyDescent="0.3">
      <c r="A96" s="2" t="s">
        <v>12</v>
      </c>
      <c r="B96" s="2" t="s">
        <v>62</v>
      </c>
      <c r="C96" s="2" t="s">
        <v>88</v>
      </c>
      <c r="D96" s="2" t="s">
        <v>20</v>
      </c>
      <c r="E96" s="2">
        <v>86</v>
      </c>
      <c r="F96" s="2">
        <v>86</v>
      </c>
      <c r="G96" s="2">
        <v>93</v>
      </c>
      <c r="H96" s="2">
        <v>93</v>
      </c>
      <c r="K96" t="str">
        <v>609B</v>
      </c>
      <c r="L96">
        <v>58</v>
      </c>
      <c r="N96" t="str">
        <v>10Z</v>
      </c>
      <c r="O96" t="str">
        <v>884A</v>
      </c>
      <c r="P96">
        <v>86</v>
      </c>
      <c r="R96" t="str">
        <v>609B</v>
      </c>
      <c r="S96">
        <v>58</v>
      </c>
      <c r="U96" t="str">
        <v>10Z</v>
      </c>
      <c r="V96" t="str">
        <v>884A</v>
      </c>
      <c r="W96">
        <v>86</v>
      </c>
    </row>
    <row r="97" spans="1:23" x14ac:dyDescent="0.3">
      <c r="A97" s="2" t="s">
        <v>63</v>
      </c>
      <c r="B97" s="2" t="s">
        <v>25</v>
      </c>
      <c r="C97" s="2" t="s">
        <v>31</v>
      </c>
      <c r="D97" s="2" t="s">
        <v>85</v>
      </c>
      <c r="E97" s="2">
        <v>59</v>
      </c>
      <c r="F97" s="2">
        <v>59</v>
      </c>
      <c r="G97" s="2">
        <v>148</v>
      </c>
      <c r="H97" s="2">
        <v>148</v>
      </c>
      <c r="K97" t="str">
        <v>98548C</v>
      </c>
      <c r="L97">
        <v>58</v>
      </c>
      <c r="N97" t="str">
        <v>938T</v>
      </c>
      <c r="O97" t="str">
        <v>938P</v>
      </c>
      <c r="P97">
        <v>59</v>
      </c>
      <c r="R97" t="str">
        <v>98548C</v>
      </c>
      <c r="S97">
        <v>58</v>
      </c>
      <c r="U97" t="str">
        <v>938T</v>
      </c>
      <c r="V97" t="str">
        <v>938P</v>
      </c>
      <c r="W97">
        <v>59</v>
      </c>
    </row>
    <row r="98" spans="1:23" x14ac:dyDescent="0.3">
      <c r="A98" s="2" t="s">
        <v>98</v>
      </c>
      <c r="B98" s="2" t="s">
        <v>67</v>
      </c>
      <c r="C98" s="2" t="s">
        <v>13</v>
      </c>
      <c r="D98" s="2" t="s">
        <v>75</v>
      </c>
      <c r="E98" s="2">
        <v>54</v>
      </c>
      <c r="F98" s="2">
        <v>54</v>
      </c>
      <c r="G98" s="2">
        <v>72</v>
      </c>
      <c r="H98" s="2">
        <v>72</v>
      </c>
      <c r="K98" t="str">
        <v>10K</v>
      </c>
      <c r="L98">
        <v>80</v>
      </c>
      <c r="N98" t="str">
        <v>16689D</v>
      </c>
      <c r="O98" t="str">
        <v>10E</v>
      </c>
      <c r="P98">
        <v>54</v>
      </c>
      <c r="R98" t="str">
        <v>10K</v>
      </c>
      <c r="S98">
        <v>80</v>
      </c>
      <c r="U98" t="str">
        <v>16689D</v>
      </c>
      <c r="V98" t="str">
        <v>10E</v>
      </c>
      <c r="W98">
        <v>54</v>
      </c>
    </row>
    <row r="99" spans="1:23" x14ac:dyDescent="0.3">
      <c r="A99" s="2" t="s">
        <v>100</v>
      </c>
      <c r="B99" s="2" t="s">
        <v>92</v>
      </c>
      <c r="C99" s="2" t="s">
        <v>58</v>
      </c>
      <c r="D99" s="2" t="s">
        <v>44</v>
      </c>
      <c r="E99" s="2">
        <v>60</v>
      </c>
      <c r="F99" s="2">
        <v>60</v>
      </c>
      <c r="G99" s="2">
        <v>97</v>
      </c>
      <c r="H99" s="2">
        <v>97</v>
      </c>
      <c r="K99" t="str">
        <v>5233J</v>
      </c>
      <c r="L99">
        <v>80</v>
      </c>
      <c r="N99" t="str">
        <v>938W</v>
      </c>
      <c r="O99" t="str">
        <v>10N</v>
      </c>
      <c r="P99">
        <v>60</v>
      </c>
      <c r="R99" t="str">
        <v>5233J</v>
      </c>
      <c r="S99">
        <v>80</v>
      </c>
      <c r="U99" t="str">
        <v>938W</v>
      </c>
      <c r="V99" t="str">
        <v>10N</v>
      </c>
      <c r="W99">
        <v>60</v>
      </c>
    </row>
    <row r="100" spans="1:23" x14ac:dyDescent="0.3">
      <c r="A100" s="2" t="s">
        <v>61</v>
      </c>
      <c r="B100" s="2" t="s">
        <v>14</v>
      </c>
      <c r="C100" s="2" t="s">
        <v>21</v>
      </c>
      <c r="D100" s="2" t="s">
        <v>32</v>
      </c>
      <c r="E100" s="2">
        <v>80</v>
      </c>
      <c r="F100" s="2">
        <v>80</v>
      </c>
      <c r="G100" s="2">
        <v>118</v>
      </c>
      <c r="H100" s="2">
        <v>118</v>
      </c>
      <c r="K100" t="str">
        <v>98225J</v>
      </c>
      <c r="L100">
        <v>102</v>
      </c>
      <c r="N100" t="str">
        <v>47874A</v>
      </c>
      <c r="O100" t="str">
        <v>5233J</v>
      </c>
      <c r="P100">
        <v>80</v>
      </c>
      <c r="R100" t="str">
        <v>98225J</v>
      </c>
      <c r="S100">
        <v>102</v>
      </c>
      <c r="U100" t="str">
        <v>47874A</v>
      </c>
      <c r="V100" t="str">
        <v>5233J</v>
      </c>
      <c r="W100">
        <v>80</v>
      </c>
    </row>
    <row r="101" spans="1:23" x14ac:dyDescent="0.3">
      <c r="A101" s="2" t="s">
        <v>28</v>
      </c>
      <c r="B101" s="2" t="s">
        <v>104</v>
      </c>
      <c r="C101" s="2" t="s">
        <v>73</v>
      </c>
      <c r="D101" s="2" t="s">
        <v>11</v>
      </c>
      <c r="E101" s="2">
        <v>98</v>
      </c>
      <c r="F101" s="2">
        <v>98</v>
      </c>
      <c r="G101" s="2">
        <v>86</v>
      </c>
      <c r="H101" s="2">
        <v>86</v>
      </c>
      <c r="K101" t="str">
        <v>2605B</v>
      </c>
      <c r="L101">
        <v>102</v>
      </c>
      <c r="N101" t="str">
        <v>51581S</v>
      </c>
      <c r="O101" t="str">
        <v>8675R</v>
      </c>
      <c r="P101">
        <v>98</v>
      </c>
      <c r="R101" t="str">
        <v>2605B</v>
      </c>
      <c r="S101">
        <v>102</v>
      </c>
      <c r="U101" t="str">
        <v>51581S</v>
      </c>
      <c r="V101" t="str">
        <v>8675R</v>
      </c>
      <c r="W101">
        <v>98</v>
      </c>
    </row>
    <row r="102" spans="1:23" x14ac:dyDescent="0.3">
      <c r="A102" s="2" t="s">
        <v>56</v>
      </c>
      <c r="B102" s="2" t="s">
        <v>80</v>
      </c>
      <c r="C102" s="2" t="s">
        <v>69</v>
      </c>
      <c r="D102" s="2" t="s">
        <v>46</v>
      </c>
      <c r="E102" s="2">
        <v>130</v>
      </c>
      <c r="F102" s="2">
        <v>130</v>
      </c>
      <c r="G102" s="2">
        <v>35</v>
      </c>
      <c r="H102" s="2">
        <v>35</v>
      </c>
      <c r="K102" t="str">
        <v>886N</v>
      </c>
      <c r="L102">
        <v>153</v>
      </c>
      <c r="N102" t="str">
        <v>502X</v>
      </c>
      <c r="O102" t="str">
        <v>604X</v>
      </c>
      <c r="P102">
        <v>130</v>
      </c>
      <c r="R102" t="str">
        <v>886N</v>
      </c>
      <c r="S102">
        <v>153</v>
      </c>
      <c r="U102" t="str">
        <v>502X</v>
      </c>
      <c r="V102" t="str">
        <v>604X</v>
      </c>
      <c r="W102">
        <v>130</v>
      </c>
    </row>
    <row r="103" spans="1:23" x14ac:dyDescent="0.3">
      <c r="A103" s="2" t="s">
        <v>45</v>
      </c>
      <c r="B103" s="2" t="s">
        <v>49</v>
      </c>
      <c r="C103" s="2" t="s">
        <v>19</v>
      </c>
      <c r="D103" s="2" t="s">
        <v>87</v>
      </c>
      <c r="E103" s="2">
        <v>144</v>
      </c>
      <c r="F103" s="2">
        <v>144</v>
      </c>
      <c r="G103" s="2">
        <v>69</v>
      </c>
      <c r="H103" s="2">
        <v>69</v>
      </c>
      <c r="K103" t="str">
        <v>10G</v>
      </c>
      <c r="L103">
        <v>153</v>
      </c>
      <c r="N103" t="str">
        <v>7700P</v>
      </c>
      <c r="O103" t="str">
        <v>99621B</v>
      </c>
      <c r="P103">
        <v>144</v>
      </c>
      <c r="R103" t="str">
        <v>10G</v>
      </c>
      <c r="S103">
        <v>153</v>
      </c>
      <c r="U103" t="str">
        <v>7700P</v>
      </c>
      <c r="V103" t="str">
        <v>99621B</v>
      </c>
      <c r="W103">
        <v>144</v>
      </c>
    </row>
    <row r="104" spans="1:23" x14ac:dyDescent="0.3">
      <c r="A104" s="2" t="s">
        <v>64</v>
      </c>
      <c r="B104" s="2" t="s">
        <v>57</v>
      </c>
      <c r="C104" s="2" t="s">
        <v>37</v>
      </c>
      <c r="D104" s="2" t="s">
        <v>99</v>
      </c>
      <c r="E104" s="2">
        <v>103</v>
      </c>
      <c r="F104" s="2">
        <v>103</v>
      </c>
      <c r="G104" s="2">
        <v>40</v>
      </c>
      <c r="H104" s="2">
        <v>40</v>
      </c>
      <c r="K104" t="str">
        <v>47874A</v>
      </c>
      <c r="L104">
        <v>36</v>
      </c>
      <c r="N104" t="str">
        <v>93199G</v>
      </c>
      <c r="O104" t="str">
        <v>10W</v>
      </c>
      <c r="P104">
        <v>103</v>
      </c>
      <c r="R104" t="str">
        <v>47874A</v>
      </c>
      <c r="S104">
        <v>36</v>
      </c>
      <c r="U104" t="str">
        <v>93199G</v>
      </c>
      <c r="V104" t="str">
        <v>10W</v>
      </c>
      <c r="W104">
        <v>103</v>
      </c>
    </row>
    <row r="105" spans="1:23" x14ac:dyDescent="0.3">
      <c r="A105" s="2" t="s">
        <v>33</v>
      </c>
      <c r="B105" s="2" t="s">
        <v>40</v>
      </c>
      <c r="C105" s="2" t="s">
        <v>18</v>
      </c>
      <c r="D105" s="2" t="s">
        <v>86</v>
      </c>
      <c r="E105" s="2">
        <v>84</v>
      </c>
      <c r="F105" s="2">
        <v>84</v>
      </c>
      <c r="G105" s="2">
        <v>105</v>
      </c>
      <c r="H105" s="2">
        <v>105</v>
      </c>
      <c r="K105" t="str">
        <v>938P</v>
      </c>
      <c r="L105">
        <v>36</v>
      </c>
      <c r="N105" t="str">
        <v>886N</v>
      </c>
      <c r="O105" t="str">
        <v>949Z</v>
      </c>
      <c r="P105">
        <v>84</v>
      </c>
      <c r="R105" t="str">
        <v>938P</v>
      </c>
      <c r="S105">
        <v>36</v>
      </c>
      <c r="U105" t="str">
        <v>886N</v>
      </c>
      <c r="V105" t="str">
        <v>949Z</v>
      </c>
      <c r="W105">
        <v>84</v>
      </c>
    </row>
    <row r="106" spans="1:23" x14ac:dyDescent="0.3">
      <c r="A106" s="2" t="s">
        <v>68</v>
      </c>
      <c r="B106" s="2" t="s">
        <v>93</v>
      </c>
      <c r="C106" s="2" t="s">
        <v>43</v>
      </c>
      <c r="D106" s="2" t="s">
        <v>34</v>
      </c>
      <c r="E106" s="2">
        <v>48</v>
      </c>
      <c r="F106" s="2">
        <v>48</v>
      </c>
      <c r="G106" s="2">
        <v>155</v>
      </c>
      <c r="H106" s="2">
        <v>155</v>
      </c>
      <c r="K106" t="str">
        <v>90385R</v>
      </c>
      <c r="L106">
        <v>100</v>
      </c>
      <c r="N106" t="str">
        <v>938B</v>
      </c>
      <c r="O106" t="str">
        <v>10G</v>
      </c>
      <c r="P106">
        <v>48</v>
      </c>
      <c r="R106" t="str">
        <v>90385R</v>
      </c>
      <c r="S106">
        <v>100</v>
      </c>
      <c r="U106" t="str">
        <v>938B</v>
      </c>
      <c r="V106" t="str">
        <v>10G</v>
      </c>
      <c r="W106">
        <v>48</v>
      </c>
    </row>
    <row r="107" spans="1:23" x14ac:dyDescent="0.3">
      <c r="A107" s="2" t="s">
        <v>39</v>
      </c>
      <c r="B107" s="2" t="s">
        <v>94</v>
      </c>
      <c r="C107" s="2" t="s">
        <v>50</v>
      </c>
      <c r="D107" s="2" t="s">
        <v>81</v>
      </c>
      <c r="E107" s="2">
        <v>95</v>
      </c>
      <c r="F107" s="2">
        <v>95</v>
      </c>
      <c r="G107" s="2">
        <v>88</v>
      </c>
      <c r="H107" s="2">
        <v>88</v>
      </c>
      <c r="K107" t="str">
        <v>98225F</v>
      </c>
      <c r="L107">
        <v>100</v>
      </c>
      <c r="N107" t="str">
        <v>47874R</v>
      </c>
      <c r="O107" t="str">
        <v>10K</v>
      </c>
      <c r="P107">
        <v>95</v>
      </c>
      <c r="R107" t="str">
        <v>98225F</v>
      </c>
      <c r="S107">
        <v>100</v>
      </c>
      <c r="U107" t="str">
        <v>47874R</v>
      </c>
      <c r="V107" t="str">
        <v>10K</v>
      </c>
      <c r="W107">
        <v>95</v>
      </c>
    </row>
    <row r="108" spans="1:23" x14ac:dyDescent="0.3">
      <c r="A108" s="2" t="s">
        <v>103</v>
      </c>
      <c r="B108" s="2" t="s">
        <v>27</v>
      </c>
      <c r="C108" s="2" t="s">
        <v>79</v>
      </c>
      <c r="D108" s="2" t="s">
        <v>76</v>
      </c>
      <c r="E108" s="2">
        <v>82</v>
      </c>
      <c r="F108" s="2">
        <v>82</v>
      </c>
      <c r="G108" s="2">
        <v>65</v>
      </c>
      <c r="H108" s="2">
        <v>65</v>
      </c>
      <c r="K108" t="str">
        <v>16689X</v>
      </c>
      <c r="L108">
        <v>47</v>
      </c>
      <c r="N108" t="str">
        <v>16689X</v>
      </c>
      <c r="O108" t="str">
        <v>1010W</v>
      </c>
      <c r="P108">
        <v>82</v>
      </c>
      <c r="R108" t="str">
        <v>16689X</v>
      </c>
      <c r="S108">
        <v>47</v>
      </c>
      <c r="U108" t="str">
        <v>16689X</v>
      </c>
      <c r="V108" t="str">
        <v>1010W</v>
      </c>
      <c r="W108">
        <v>82</v>
      </c>
    </row>
    <row r="109" spans="1:23" x14ac:dyDescent="0.3">
      <c r="A109" s="2" t="s">
        <v>51</v>
      </c>
      <c r="B109" s="2" t="s">
        <v>26</v>
      </c>
      <c r="C109" s="2" t="s">
        <v>91</v>
      </c>
      <c r="D109" s="2" t="s">
        <v>74</v>
      </c>
      <c r="E109" s="2">
        <v>110</v>
      </c>
      <c r="F109" s="2">
        <v>110</v>
      </c>
      <c r="G109" s="2">
        <v>84</v>
      </c>
      <c r="H109" s="2">
        <v>84</v>
      </c>
      <c r="K109" t="str">
        <v>1248X</v>
      </c>
      <c r="L109">
        <v>47</v>
      </c>
      <c r="N109" t="str">
        <v>920B</v>
      </c>
      <c r="O109" t="str">
        <v>98225J</v>
      </c>
      <c r="P109">
        <v>110</v>
      </c>
      <c r="R109" t="str">
        <v>1248X</v>
      </c>
      <c r="S109">
        <v>47</v>
      </c>
      <c r="U109" t="str">
        <v>920B</v>
      </c>
      <c r="V109" t="str">
        <v>98225J</v>
      </c>
      <c r="W109">
        <v>110</v>
      </c>
    </row>
    <row r="110" spans="1:23" x14ac:dyDescent="0.3">
      <c r="A110" s="2" t="s">
        <v>44</v>
      </c>
      <c r="B110" s="2" t="s">
        <v>70</v>
      </c>
      <c r="C110" s="2" t="s">
        <v>38</v>
      </c>
      <c r="D110" s="2" t="s">
        <v>98</v>
      </c>
      <c r="E110" s="2">
        <v>79</v>
      </c>
      <c r="F110" s="2">
        <v>79</v>
      </c>
      <c r="G110" s="2">
        <v>63</v>
      </c>
      <c r="H110" s="2">
        <v>63</v>
      </c>
      <c r="K110" t="str">
        <v>3583A</v>
      </c>
      <c r="L110">
        <v>170</v>
      </c>
      <c r="N110" t="str">
        <v>99621H</v>
      </c>
      <c r="O110" t="str">
        <v>9364D</v>
      </c>
      <c r="P110">
        <v>79</v>
      </c>
      <c r="R110" t="str">
        <v>3583A</v>
      </c>
      <c r="S110">
        <v>170</v>
      </c>
      <c r="U110" t="str">
        <v>99621H</v>
      </c>
      <c r="V110" t="str">
        <v>9364D</v>
      </c>
      <c r="W110">
        <v>79</v>
      </c>
    </row>
    <row r="111" spans="1:23" x14ac:dyDescent="0.3">
      <c r="A111" s="2" t="s">
        <v>85</v>
      </c>
      <c r="B111" s="2" t="s">
        <v>19</v>
      </c>
      <c r="C111" s="2" t="s">
        <v>104</v>
      </c>
      <c r="D111" s="2" t="s">
        <v>97</v>
      </c>
      <c r="E111" s="2">
        <v>77</v>
      </c>
      <c r="F111" s="2">
        <v>77</v>
      </c>
      <c r="G111" s="2">
        <v>79</v>
      </c>
      <c r="H111" s="2">
        <v>79</v>
      </c>
      <c r="K111" t="str">
        <v>10W</v>
      </c>
      <c r="L111">
        <v>170</v>
      </c>
      <c r="N111" t="str">
        <v>299Y</v>
      </c>
      <c r="O111" t="str">
        <v>98225F</v>
      </c>
      <c r="P111">
        <v>77</v>
      </c>
      <c r="R111" t="str">
        <v>10W</v>
      </c>
      <c r="S111">
        <v>170</v>
      </c>
      <c r="U111" t="str">
        <v>299Y</v>
      </c>
      <c r="V111" t="str">
        <v>98225F</v>
      </c>
      <c r="W111">
        <v>77</v>
      </c>
    </row>
    <row r="112" spans="1:23" x14ac:dyDescent="0.3">
      <c r="A112" s="2" t="s">
        <v>86</v>
      </c>
      <c r="B112" s="2" t="s">
        <v>46</v>
      </c>
      <c r="C112" s="2" t="s">
        <v>25</v>
      </c>
      <c r="D112" s="2" t="s">
        <v>52</v>
      </c>
      <c r="E112" s="2">
        <v>135</v>
      </c>
      <c r="F112" s="2">
        <v>135</v>
      </c>
      <c r="G112" s="2">
        <v>35</v>
      </c>
      <c r="H112" s="2">
        <v>35</v>
      </c>
      <c r="K112" t="str">
        <v>8675R</v>
      </c>
      <c r="L112">
        <v>65</v>
      </c>
      <c r="N112" t="str">
        <v>80001B</v>
      </c>
      <c r="O112" t="str">
        <v>7700E</v>
      </c>
      <c r="P112">
        <v>135</v>
      </c>
      <c r="R112" t="str">
        <v>8675R</v>
      </c>
      <c r="S112">
        <v>65</v>
      </c>
      <c r="U112" t="str">
        <v>80001B</v>
      </c>
      <c r="V112" t="str">
        <v>7700E</v>
      </c>
      <c r="W112">
        <v>135</v>
      </c>
    </row>
    <row r="113" spans="1:23" x14ac:dyDescent="0.3">
      <c r="A113" s="2" t="s">
        <v>18</v>
      </c>
      <c r="B113" s="2" t="s">
        <v>87</v>
      </c>
      <c r="C113" s="2" t="s">
        <v>43</v>
      </c>
      <c r="D113" s="2" t="s">
        <v>82</v>
      </c>
      <c r="E113" s="2">
        <v>64</v>
      </c>
      <c r="F113" s="2">
        <v>64</v>
      </c>
      <c r="G113" s="2">
        <v>97</v>
      </c>
      <c r="H113" s="2">
        <v>97</v>
      </c>
      <c r="K113" t="str">
        <v>16689D</v>
      </c>
      <c r="L113">
        <v>65</v>
      </c>
      <c r="N113" t="str">
        <v>10009A</v>
      </c>
      <c r="O113" t="str">
        <v>609B</v>
      </c>
      <c r="P113">
        <v>64</v>
      </c>
      <c r="R113" t="str">
        <v>16689D</v>
      </c>
      <c r="S113">
        <v>65</v>
      </c>
      <c r="U113" t="str">
        <v>10009A</v>
      </c>
      <c r="V113" t="str">
        <v>609B</v>
      </c>
      <c r="W113">
        <v>64</v>
      </c>
    </row>
    <row r="114" spans="1:23" x14ac:dyDescent="0.3">
      <c r="A114" s="2" t="s">
        <v>58</v>
      </c>
      <c r="B114" s="2" t="s">
        <v>93</v>
      </c>
      <c r="C114" s="2" t="s">
        <v>39</v>
      </c>
      <c r="D114" s="2" t="s">
        <v>28</v>
      </c>
      <c r="E114" s="2">
        <v>90</v>
      </c>
      <c r="F114" s="2">
        <v>90</v>
      </c>
      <c r="G114" s="2">
        <v>99</v>
      </c>
      <c r="H114" s="2">
        <v>99</v>
      </c>
      <c r="K114" t="str">
        <v>47874R</v>
      </c>
      <c r="L114">
        <v>115</v>
      </c>
      <c r="N114" t="str">
        <v>61002G</v>
      </c>
      <c r="O114" t="str">
        <v>10G</v>
      </c>
      <c r="P114">
        <v>90</v>
      </c>
      <c r="R114" t="str">
        <v>47874R</v>
      </c>
      <c r="S114">
        <v>115</v>
      </c>
      <c r="U114" t="str">
        <v>61002G</v>
      </c>
      <c r="V114" t="str">
        <v>10G</v>
      </c>
      <c r="W114">
        <v>90</v>
      </c>
    </row>
    <row r="115" spans="1:23" x14ac:dyDescent="0.3">
      <c r="A115" s="2" t="s">
        <v>34</v>
      </c>
      <c r="B115" s="2" t="s">
        <v>14</v>
      </c>
      <c r="C115" s="2" t="s">
        <v>100</v>
      </c>
      <c r="D115" s="2" t="s">
        <v>67</v>
      </c>
      <c r="E115" s="2">
        <v>121</v>
      </c>
      <c r="F115" s="2">
        <v>121</v>
      </c>
      <c r="G115" s="2">
        <v>54</v>
      </c>
      <c r="H115" s="2">
        <v>54</v>
      </c>
      <c r="K115" t="str">
        <v>10Z</v>
      </c>
      <c r="L115">
        <v>115</v>
      </c>
      <c r="N115" t="str">
        <v>8931R</v>
      </c>
      <c r="O115" t="str">
        <v>5233J</v>
      </c>
      <c r="P115">
        <v>121</v>
      </c>
      <c r="R115" t="str">
        <v>10Z</v>
      </c>
      <c r="S115">
        <v>115</v>
      </c>
      <c r="U115" t="str">
        <v>8931R</v>
      </c>
      <c r="V115" t="str">
        <v>5233J</v>
      </c>
      <c r="W115">
        <v>121</v>
      </c>
    </row>
    <row r="116" spans="1:23" x14ac:dyDescent="0.3">
      <c r="A116" s="2" t="s">
        <v>11</v>
      </c>
      <c r="B116" s="2" t="s">
        <v>76</v>
      </c>
      <c r="C116" s="2" t="s">
        <v>62</v>
      </c>
      <c r="D116" s="2" t="s">
        <v>50</v>
      </c>
      <c r="E116" s="2">
        <v>44</v>
      </c>
      <c r="F116" s="2">
        <v>44</v>
      </c>
      <c r="G116" s="2">
        <v>102</v>
      </c>
      <c r="H116" s="2">
        <v>102</v>
      </c>
      <c r="K116" t="str">
        <v>6526E</v>
      </c>
      <c r="L116">
        <v>108</v>
      </c>
      <c r="N116" t="str">
        <v>938G</v>
      </c>
      <c r="O116" t="str">
        <v>3484X</v>
      </c>
      <c r="P116">
        <v>44</v>
      </c>
      <c r="R116" t="str">
        <v>6526E</v>
      </c>
      <c r="S116">
        <v>108</v>
      </c>
      <c r="U116" t="str">
        <v>938G</v>
      </c>
      <c r="V116" t="str">
        <v>3484X</v>
      </c>
      <c r="W116">
        <v>44</v>
      </c>
    </row>
    <row r="117" spans="1:23" x14ac:dyDescent="0.3">
      <c r="A117" s="2" t="s">
        <v>75</v>
      </c>
      <c r="B117" s="2" t="s">
        <v>32</v>
      </c>
      <c r="C117" s="2" t="s">
        <v>38</v>
      </c>
      <c r="D117" s="2" t="s">
        <v>57</v>
      </c>
      <c r="E117" s="2">
        <v>96</v>
      </c>
      <c r="F117" s="2">
        <v>96</v>
      </c>
      <c r="G117" s="2">
        <v>43</v>
      </c>
      <c r="H117" s="2">
        <v>43</v>
      </c>
      <c r="K117" t="str">
        <v>10009A</v>
      </c>
      <c r="L117">
        <v>108</v>
      </c>
      <c r="N117" t="str">
        <v>44244S</v>
      </c>
      <c r="O117" t="str">
        <v>5327S</v>
      </c>
      <c r="P117">
        <v>96</v>
      </c>
      <c r="R117" t="str">
        <v>10009A</v>
      </c>
      <c r="S117">
        <v>108</v>
      </c>
      <c r="U117" t="str">
        <v>44244S</v>
      </c>
      <c r="V117" t="str">
        <v>5327S</v>
      </c>
      <c r="W117">
        <v>96</v>
      </c>
    </row>
    <row r="118" spans="1:23" x14ac:dyDescent="0.3">
      <c r="A118" s="2" t="s">
        <v>31</v>
      </c>
      <c r="B118" s="2" t="s">
        <v>49</v>
      </c>
      <c r="C118" s="2" t="s">
        <v>91</v>
      </c>
      <c r="D118" s="2" t="s">
        <v>70</v>
      </c>
      <c r="E118" s="2">
        <v>49</v>
      </c>
      <c r="F118" s="2">
        <v>49</v>
      </c>
      <c r="G118" s="2">
        <v>73</v>
      </c>
      <c r="H118" s="2">
        <v>73</v>
      </c>
      <c r="K118" t="str">
        <v>10S</v>
      </c>
      <c r="L118">
        <v>98</v>
      </c>
      <c r="N118" t="str">
        <v>2605B</v>
      </c>
      <c r="O118" t="str">
        <v>99621B</v>
      </c>
      <c r="P118">
        <v>49</v>
      </c>
      <c r="R118" t="str">
        <v>10S</v>
      </c>
      <c r="S118">
        <v>98</v>
      </c>
      <c r="U118" t="str">
        <v>2605B</v>
      </c>
      <c r="V118" t="str">
        <v>99621B</v>
      </c>
      <c r="W118">
        <v>49</v>
      </c>
    </row>
    <row r="119" spans="1:23" x14ac:dyDescent="0.3">
      <c r="A119" s="2" t="s">
        <v>21</v>
      </c>
      <c r="B119" s="2" t="s">
        <v>56</v>
      </c>
      <c r="C119" s="2" t="s">
        <v>45</v>
      </c>
      <c r="D119" s="2" t="s">
        <v>79</v>
      </c>
      <c r="E119" s="2">
        <v>148</v>
      </c>
      <c r="F119" s="2">
        <v>148</v>
      </c>
      <c r="G119" s="2">
        <v>48</v>
      </c>
      <c r="H119" s="2">
        <v>48</v>
      </c>
      <c r="K119" t="str">
        <v>938W</v>
      </c>
      <c r="L119">
        <v>98</v>
      </c>
      <c r="N119" t="str">
        <v>84141B</v>
      </c>
      <c r="O119" t="str">
        <v>502X</v>
      </c>
      <c r="P119">
        <v>148</v>
      </c>
      <c r="R119" t="str">
        <v>938W</v>
      </c>
      <c r="S119">
        <v>98</v>
      </c>
      <c r="U119" t="str">
        <v>84141B</v>
      </c>
      <c r="V119" t="str">
        <v>502X</v>
      </c>
      <c r="W119">
        <v>148</v>
      </c>
    </row>
    <row r="120" spans="1:23" x14ac:dyDescent="0.3">
      <c r="A120" s="2" t="s">
        <v>69</v>
      </c>
      <c r="B120" s="2" t="s">
        <v>27</v>
      </c>
      <c r="C120" s="2" t="s">
        <v>40</v>
      </c>
      <c r="D120" s="2" t="s">
        <v>12</v>
      </c>
      <c r="E120" s="2">
        <v>67</v>
      </c>
      <c r="F120" s="2">
        <v>67</v>
      </c>
      <c r="G120" s="2">
        <v>55</v>
      </c>
      <c r="H120" s="2">
        <v>55</v>
      </c>
      <c r="K120" t="str">
        <v>502X</v>
      </c>
      <c r="L120">
        <v>136</v>
      </c>
      <c r="N120" t="str">
        <v>3512D</v>
      </c>
      <c r="O120" t="str">
        <v>1010W</v>
      </c>
      <c r="P120">
        <v>67</v>
      </c>
      <c r="R120" t="str">
        <v>502X</v>
      </c>
      <c r="S120">
        <v>136</v>
      </c>
      <c r="U120" t="str">
        <v>3512D</v>
      </c>
      <c r="V120" t="str">
        <v>1010W</v>
      </c>
      <c r="W120">
        <v>67</v>
      </c>
    </row>
    <row r="121" spans="1:23" x14ac:dyDescent="0.3">
      <c r="A121" s="2" t="s">
        <v>13</v>
      </c>
      <c r="B121" s="2" t="s">
        <v>63</v>
      </c>
      <c r="C121" s="2" t="s">
        <v>81</v>
      </c>
      <c r="D121" s="2" t="s">
        <v>68</v>
      </c>
      <c r="E121" s="2">
        <v>82</v>
      </c>
      <c r="F121" s="2">
        <v>82</v>
      </c>
      <c r="G121" s="2">
        <v>55</v>
      </c>
      <c r="H121" s="2">
        <v>55</v>
      </c>
      <c r="K121" t="str">
        <v>80001B</v>
      </c>
      <c r="L121">
        <v>136</v>
      </c>
      <c r="N121" t="str">
        <v>10B</v>
      </c>
      <c r="O121" t="str">
        <v>938T</v>
      </c>
      <c r="P121">
        <v>82</v>
      </c>
      <c r="R121" t="str">
        <v>80001B</v>
      </c>
      <c r="S121">
        <v>136</v>
      </c>
      <c r="U121" t="str">
        <v>10B</v>
      </c>
      <c r="V121" t="str">
        <v>938T</v>
      </c>
      <c r="W121">
        <v>82</v>
      </c>
    </row>
    <row r="122" spans="1:23" x14ac:dyDescent="0.3">
      <c r="A122" s="2" t="s">
        <v>26</v>
      </c>
      <c r="B122" s="2" t="s">
        <v>64</v>
      </c>
      <c r="C122" s="2" t="s">
        <v>33</v>
      </c>
      <c r="D122" s="2" t="s">
        <v>92</v>
      </c>
      <c r="E122" s="2">
        <v>90</v>
      </c>
      <c r="F122" s="2">
        <v>90</v>
      </c>
      <c r="G122" s="2">
        <v>114</v>
      </c>
      <c r="H122" s="2">
        <v>114</v>
      </c>
      <c r="K122" t="str">
        <v>12516A</v>
      </c>
      <c r="L122">
        <v>35</v>
      </c>
      <c r="N122" t="str">
        <v>98225J</v>
      </c>
      <c r="O122" t="str">
        <v>93199G</v>
      </c>
      <c r="P122">
        <v>90</v>
      </c>
      <c r="R122" t="str">
        <v>12516A</v>
      </c>
      <c r="S122">
        <v>35</v>
      </c>
      <c r="U122" t="str">
        <v>98225J</v>
      </c>
      <c r="V122" t="str">
        <v>93199G</v>
      </c>
      <c r="W122">
        <v>90</v>
      </c>
    </row>
    <row r="123" spans="1:23" x14ac:dyDescent="0.3">
      <c r="A123" s="2" t="s">
        <v>61</v>
      </c>
      <c r="B123" s="2" t="s">
        <v>37</v>
      </c>
      <c r="C123" s="2" t="s">
        <v>103</v>
      </c>
      <c r="D123" s="2" t="s">
        <v>51</v>
      </c>
      <c r="E123" s="2">
        <v>86</v>
      </c>
      <c r="F123" s="2">
        <v>86</v>
      </c>
      <c r="G123" s="2">
        <v>139</v>
      </c>
      <c r="H123" s="2">
        <v>139</v>
      </c>
      <c r="K123" t="str">
        <v>51581S</v>
      </c>
      <c r="L123">
        <v>35</v>
      </c>
      <c r="N123" t="str">
        <v>47874A</v>
      </c>
      <c r="O123" t="str">
        <v>7899A</v>
      </c>
      <c r="P123">
        <v>86</v>
      </c>
      <c r="R123" t="str">
        <v>51581S</v>
      </c>
      <c r="S123">
        <v>35</v>
      </c>
      <c r="U123" t="str">
        <v>47874A</v>
      </c>
      <c r="V123" t="str">
        <v>7899A</v>
      </c>
      <c r="W123">
        <v>86</v>
      </c>
    </row>
    <row r="124" spans="1:23" x14ac:dyDescent="0.3">
      <c r="A124" s="2" t="s">
        <v>20</v>
      </c>
      <c r="B124" s="2" t="s">
        <v>99</v>
      </c>
      <c r="C124" s="2" t="s">
        <v>74</v>
      </c>
      <c r="D124" s="2" t="s">
        <v>94</v>
      </c>
      <c r="E124" s="2">
        <v>56</v>
      </c>
      <c r="F124" s="2">
        <v>56</v>
      </c>
      <c r="G124" s="2">
        <v>121</v>
      </c>
      <c r="H124" s="2">
        <v>121</v>
      </c>
      <c r="K124" t="str">
        <v>604X</v>
      </c>
      <c r="L124">
        <v>63</v>
      </c>
      <c r="N124" t="str">
        <v>12516A</v>
      </c>
      <c r="O124" t="str">
        <v>938E</v>
      </c>
      <c r="P124">
        <v>56</v>
      </c>
      <c r="R124" t="str">
        <v>604X</v>
      </c>
      <c r="S124">
        <v>63</v>
      </c>
      <c r="U124" t="str">
        <v>12516A</v>
      </c>
      <c r="V124" t="str">
        <v>938E</v>
      </c>
      <c r="W124">
        <v>56</v>
      </c>
    </row>
    <row r="125" spans="1:23" x14ac:dyDescent="0.3">
      <c r="A125" s="2" t="s">
        <v>88</v>
      </c>
      <c r="B125" s="2" t="s">
        <v>73</v>
      </c>
      <c r="C125" s="2" t="s">
        <v>80</v>
      </c>
      <c r="D125" s="2" t="s">
        <v>55</v>
      </c>
      <c r="E125" s="2">
        <v>118</v>
      </c>
      <c r="F125" s="2">
        <v>118</v>
      </c>
      <c r="G125" s="2">
        <v>52</v>
      </c>
      <c r="H125" s="2">
        <v>52</v>
      </c>
      <c r="K125" t="str">
        <v>39313Z</v>
      </c>
      <c r="L125">
        <v>63</v>
      </c>
      <c r="N125" t="str">
        <v>3583A</v>
      </c>
      <c r="O125" t="str">
        <v>1091A</v>
      </c>
      <c r="P125">
        <v>118</v>
      </c>
      <c r="R125" t="str">
        <v>39313Z</v>
      </c>
      <c r="S125">
        <v>63</v>
      </c>
      <c r="U125" t="str">
        <v>3583A</v>
      </c>
      <c r="V125" t="str">
        <v>1091A</v>
      </c>
      <c r="W125">
        <v>118</v>
      </c>
    </row>
    <row r="126" spans="1:23" x14ac:dyDescent="0.3">
      <c r="A126" s="2" t="s">
        <v>34</v>
      </c>
      <c r="B126" s="2" t="s">
        <v>98</v>
      </c>
      <c r="C126" s="2" t="s">
        <v>79</v>
      </c>
      <c r="D126" s="2" t="s">
        <v>25</v>
      </c>
      <c r="E126" s="2">
        <v>91</v>
      </c>
      <c r="F126" s="2">
        <v>91</v>
      </c>
      <c r="G126" s="2">
        <v>72</v>
      </c>
      <c r="H126" s="2">
        <v>72</v>
      </c>
      <c r="K126" t="str">
        <v>938T</v>
      </c>
      <c r="L126">
        <v>42</v>
      </c>
      <c r="N126" t="str">
        <v>8931R</v>
      </c>
      <c r="O126" t="str">
        <v>16689D</v>
      </c>
      <c r="P126">
        <v>91</v>
      </c>
      <c r="R126" t="str">
        <v>938T</v>
      </c>
      <c r="S126">
        <v>42</v>
      </c>
      <c r="U126" t="str">
        <v>8931R</v>
      </c>
      <c r="V126" t="str">
        <v>16689D</v>
      </c>
      <c r="W126">
        <v>91</v>
      </c>
    </row>
    <row r="127" spans="1:23" x14ac:dyDescent="0.3">
      <c r="A127" s="2" t="s">
        <v>75</v>
      </c>
      <c r="B127" s="2" t="s">
        <v>28</v>
      </c>
      <c r="C127" s="2" t="s">
        <v>19</v>
      </c>
      <c r="D127" s="2" t="s">
        <v>46</v>
      </c>
      <c r="E127" s="2">
        <v>144</v>
      </c>
      <c r="F127" s="2">
        <v>144</v>
      </c>
      <c r="G127" s="2">
        <v>72</v>
      </c>
      <c r="H127" s="2">
        <v>72</v>
      </c>
      <c r="K127" t="str">
        <v>84141B</v>
      </c>
      <c r="L127">
        <v>42</v>
      </c>
      <c r="N127" t="str">
        <v>44244S</v>
      </c>
      <c r="O127" t="str">
        <v>51581S</v>
      </c>
      <c r="P127">
        <v>144</v>
      </c>
      <c r="R127" t="str">
        <v>84141B</v>
      </c>
      <c r="S127">
        <v>42</v>
      </c>
      <c r="U127" t="str">
        <v>44244S</v>
      </c>
      <c r="V127" t="str">
        <v>51581S</v>
      </c>
      <c r="W127">
        <v>144</v>
      </c>
    </row>
    <row r="128" spans="1:23" x14ac:dyDescent="0.3">
      <c r="A128" s="2" t="s">
        <v>67</v>
      </c>
      <c r="B128" s="2" t="s">
        <v>31</v>
      </c>
      <c r="C128" s="2" t="s">
        <v>27</v>
      </c>
      <c r="D128" s="2" t="s">
        <v>11</v>
      </c>
      <c r="E128" s="2">
        <v>52</v>
      </c>
      <c r="F128" s="2">
        <v>52</v>
      </c>
      <c r="G128" s="2">
        <v>143</v>
      </c>
      <c r="H128" s="2">
        <v>143</v>
      </c>
      <c r="K128" t="str">
        <v>11101B</v>
      </c>
      <c r="L128">
        <v>133</v>
      </c>
      <c r="N128" t="str">
        <v>10E</v>
      </c>
      <c r="O128" t="str">
        <v>2605B</v>
      </c>
      <c r="P128">
        <v>52</v>
      </c>
      <c r="R128" t="str">
        <v>11101B</v>
      </c>
      <c r="S128">
        <v>133</v>
      </c>
      <c r="U128" t="str">
        <v>10E</v>
      </c>
      <c r="V128" t="str">
        <v>2605B</v>
      </c>
      <c r="W128">
        <v>52</v>
      </c>
    </row>
    <row r="129" spans="1:23" x14ac:dyDescent="0.3">
      <c r="A129" s="2" t="s">
        <v>86</v>
      </c>
      <c r="B129" s="2" t="s">
        <v>14</v>
      </c>
      <c r="C129" s="2" t="s">
        <v>92</v>
      </c>
      <c r="D129" s="2" t="s">
        <v>104</v>
      </c>
      <c r="E129" s="2"/>
      <c r="F129" s="2"/>
      <c r="G129" s="2">
        <v>83</v>
      </c>
      <c r="H129" s="2">
        <v>83</v>
      </c>
      <c r="K129" t="str">
        <v>10N</v>
      </c>
      <c r="L129">
        <v>133</v>
      </c>
      <c r="N129" t="str">
        <v>80001B</v>
      </c>
      <c r="O129" t="str">
        <v>5233J</v>
      </c>
      <c r="P129">
        <v>0</v>
      </c>
      <c r="R129" t="str">
        <v>10N</v>
      </c>
      <c r="S129">
        <v>133</v>
      </c>
      <c r="U129" t="str">
        <v>80001B</v>
      </c>
      <c r="V129" t="str">
        <v>5233J</v>
      </c>
      <c r="W129">
        <v>0</v>
      </c>
    </row>
    <row r="130" spans="1:23" x14ac:dyDescent="0.3">
      <c r="A130" s="2" t="s">
        <v>103</v>
      </c>
      <c r="B130" s="2" t="s">
        <v>32</v>
      </c>
      <c r="C130" s="2" t="s">
        <v>64</v>
      </c>
      <c r="D130" s="2" t="s">
        <v>68</v>
      </c>
      <c r="E130" s="2">
        <v>150</v>
      </c>
      <c r="F130" s="2">
        <v>150</v>
      </c>
      <c r="G130" s="2">
        <v>87</v>
      </c>
      <c r="H130" s="2">
        <v>87</v>
      </c>
      <c r="K130" t="str">
        <v>938B</v>
      </c>
      <c r="L130">
        <v>82</v>
      </c>
      <c r="N130" t="str">
        <v>16689X</v>
      </c>
      <c r="O130" t="str">
        <v>5327S</v>
      </c>
      <c r="P130">
        <v>150</v>
      </c>
      <c r="R130" t="str">
        <v>938B</v>
      </c>
      <c r="S130">
        <v>82</v>
      </c>
      <c r="U130" t="str">
        <v>16689X</v>
      </c>
      <c r="V130" t="str">
        <v>5327S</v>
      </c>
      <c r="W130">
        <v>150</v>
      </c>
    </row>
    <row r="131" spans="1:23" x14ac:dyDescent="0.3">
      <c r="A131" s="2" t="s">
        <v>21</v>
      </c>
      <c r="B131" s="2" t="s">
        <v>33</v>
      </c>
      <c r="C131" s="2" t="s">
        <v>44</v>
      </c>
      <c r="D131" s="2" t="s">
        <v>12</v>
      </c>
      <c r="E131" s="2">
        <v>104</v>
      </c>
      <c r="F131" s="2">
        <v>104</v>
      </c>
      <c r="G131" s="2">
        <v>63</v>
      </c>
      <c r="H131" s="2">
        <v>63</v>
      </c>
      <c r="K131" t="str">
        <v>44244S</v>
      </c>
      <c r="L131">
        <v>82</v>
      </c>
      <c r="N131" t="str">
        <v>84141B</v>
      </c>
      <c r="O131" t="str">
        <v>886N</v>
      </c>
      <c r="P131">
        <v>104</v>
      </c>
      <c r="R131" t="str">
        <v>44244S</v>
      </c>
      <c r="S131">
        <v>82</v>
      </c>
      <c r="U131" t="str">
        <v>84141B</v>
      </c>
      <c r="V131" t="str">
        <v>886N</v>
      </c>
      <c r="W131">
        <v>104</v>
      </c>
    </row>
    <row r="132" spans="1:23" x14ac:dyDescent="0.3">
      <c r="A132" s="2" t="s">
        <v>55</v>
      </c>
      <c r="B132" s="2" t="s">
        <v>39</v>
      </c>
      <c r="C132" s="2" t="s">
        <v>70</v>
      </c>
      <c r="D132" s="2" t="s">
        <v>100</v>
      </c>
      <c r="E132" s="2">
        <v>66</v>
      </c>
      <c r="F132" s="2">
        <v>66</v>
      </c>
      <c r="G132" s="2">
        <v>62</v>
      </c>
      <c r="H132" s="2">
        <v>62</v>
      </c>
      <c r="K132" t="str">
        <v>884A</v>
      </c>
      <c r="L132">
        <v>75</v>
      </c>
      <c r="N132" t="str">
        <v>938M</v>
      </c>
      <c r="O132" t="str">
        <v>47874R</v>
      </c>
      <c r="P132">
        <v>66</v>
      </c>
      <c r="R132" t="str">
        <v>884A</v>
      </c>
      <c r="S132">
        <v>75</v>
      </c>
      <c r="U132" t="str">
        <v>938M</v>
      </c>
      <c r="V132" t="str">
        <v>47874R</v>
      </c>
      <c r="W132">
        <v>66</v>
      </c>
    </row>
    <row r="133" spans="1:23" x14ac:dyDescent="0.3">
      <c r="A133" s="2" t="s">
        <v>61</v>
      </c>
      <c r="B133" s="2" t="s">
        <v>87</v>
      </c>
      <c r="C133" s="2" t="s">
        <v>74</v>
      </c>
      <c r="D133" s="2" t="s">
        <v>38</v>
      </c>
      <c r="E133" s="2">
        <v>43</v>
      </c>
      <c r="F133" s="2">
        <v>43</v>
      </c>
      <c r="G133" s="2">
        <v>84</v>
      </c>
      <c r="H133" s="2">
        <v>84</v>
      </c>
      <c r="K133" t="str">
        <v>7700P</v>
      </c>
      <c r="L133">
        <v>75</v>
      </c>
      <c r="N133" t="str">
        <v>47874A</v>
      </c>
      <c r="O133" t="str">
        <v>609B</v>
      </c>
      <c r="P133">
        <v>43</v>
      </c>
      <c r="R133" t="str">
        <v>7700P</v>
      </c>
      <c r="S133">
        <v>75</v>
      </c>
      <c r="U133" t="str">
        <v>47874A</v>
      </c>
      <c r="V133" t="str">
        <v>609B</v>
      </c>
      <c r="W133">
        <v>43</v>
      </c>
    </row>
    <row r="134" spans="1:23" x14ac:dyDescent="0.3">
      <c r="A134" s="2" t="s">
        <v>43</v>
      </c>
      <c r="B134" s="2" t="s">
        <v>37</v>
      </c>
      <c r="C134" s="2" t="s">
        <v>80</v>
      </c>
      <c r="D134" s="2" t="s">
        <v>62</v>
      </c>
      <c r="E134" s="2">
        <v>95</v>
      </c>
      <c r="F134" s="2">
        <v>95</v>
      </c>
      <c r="G134" s="2">
        <v>63</v>
      </c>
      <c r="H134" s="2">
        <v>63</v>
      </c>
      <c r="K134" t="str">
        <v>98225J</v>
      </c>
      <c r="L134">
        <v>40</v>
      </c>
      <c r="N134" t="str">
        <v>11101B</v>
      </c>
      <c r="O134" t="str">
        <v>7899A</v>
      </c>
      <c r="P134">
        <v>95</v>
      </c>
      <c r="R134" t="str">
        <v>98225J</v>
      </c>
      <c r="S134">
        <v>40</v>
      </c>
      <c r="U134" t="str">
        <v>11101B</v>
      </c>
      <c r="V134" t="str">
        <v>7899A</v>
      </c>
      <c r="W134">
        <v>95</v>
      </c>
    </row>
    <row r="135" spans="1:23" x14ac:dyDescent="0.3">
      <c r="A135" s="2" t="s">
        <v>99</v>
      </c>
      <c r="B135" s="2" t="s">
        <v>40</v>
      </c>
      <c r="C135" s="2" t="s">
        <v>58</v>
      </c>
      <c r="D135" s="2" t="s">
        <v>49</v>
      </c>
      <c r="E135" s="2">
        <v>73</v>
      </c>
      <c r="F135" s="2">
        <v>73</v>
      </c>
      <c r="G135" s="2">
        <v>111</v>
      </c>
      <c r="H135" s="2">
        <v>111</v>
      </c>
      <c r="K135" t="str">
        <v>10E</v>
      </c>
      <c r="L135">
        <v>40</v>
      </c>
      <c r="N135" t="str">
        <v>938E</v>
      </c>
      <c r="O135" t="str">
        <v>949Z</v>
      </c>
      <c r="P135">
        <v>73</v>
      </c>
      <c r="R135" t="str">
        <v>10E</v>
      </c>
      <c r="S135">
        <v>40</v>
      </c>
      <c r="U135" t="str">
        <v>938E</v>
      </c>
      <c r="V135" t="str">
        <v>949Z</v>
      </c>
      <c r="W135">
        <v>73</v>
      </c>
    </row>
    <row r="136" spans="1:23" x14ac:dyDescent="0.3">
      <c r="A136" s="2" t="s">
        <v>13</v>
      </c>
      <c r="B136" s="2" t="s">
        <v>52</v>
      </c>
      <c r="C136" s="2" t="s">
        <v>45</v>
      </c>
      <c r="D136" s="2" t="s">
        <v>88</v>
      </c>
      <c r="E136" s="2">
        <v>68</v>
      </c>
      <c r="F136" s="2">
        <v>68</v>
      </c>
      <c r="G136" s="2">
        <v>72</v>
      </c>
      <c r="H136" s="2">
        <v>72</v>
      </c>
      <c r="K136" t="str">
        <v>3484X</v>
      </c>
      <c r="L136">
        <v>74</v>
      </c>
      <c r="N136" t="str">
        <v>10B</v>
      </c>
      <c r="O136" t="str">
        <v>90385R</v>
      </c>
      <c r="P136">
        <v>68</v>
      </c>
      <c r="R136" t="str">
        <v>3484X</v>
      </c>
      <c r="S136">
        <v>74</v>
      </c>
      <c r="U136" t="str">
        <v>10B</v>
      </c>
      <c r="V136" t="str">
        <v>90385R</v>
      </c>
      <c r="W136">
        <v>68</v>
      </c>
    </row>
    <row r="137" spans="1:23" x14ac:dyDescent="0.3">
      <c r="A137" s="2" t="s">
        <v>94</v>
      </c>
      <c r="B137" s="2" t="s">
        <v>18</v>
      </c>
      <c r="C137" s="2" t="s">
        <v>76</v>
      </c>
      <c r="D137" s="2" t="s">
        <v>69</v>
      </c>
      <c r="E137" s="2">
        <v>113</v>
      </c>
      <c r="F137" s="2">
        <v>113</v>
      </c>
      <c r="G137" s="2">
        <v>27</v>
      </c>
      <c r="H137" s="2">
        <v>27</v>
      </c>
      <c r="K137" t="str">
        <v>90385R</v>
      </c>
      <c r="L137">
        <v>74</v>
      </c>
      <c r="N137" t="str">
        <v>10K</v>
      </c>
      <c r="O137" t="str">
        <v>10009A</v>
      </c>
      <c r="P137">
        <v>113</v>
      </c>
      <c r="R137" t="str">
        <v>90385R</v>
      </c>
      <c r="S137">
        <v>74</v>
      </c>
      <c r="U137" t="str">
        <v>10K</v>
      </c>
      <c r="V137" t="str">
        <v>10009A</v>
      </c>
      <c r="W137">
        <v>113</v>
      </c>
    </row>
    <row r="138" spans="1:23" x14ac:dyDescent="0.3">
      <c r="A138" s="2" t="s">
        <v>81</v>
      </c>
      <c r="B138" s="2" t="s">
        <v>91</v>
      </c>
      <c r="C138" s="2" t="s">
        <v>73</v>
      </c>
      <c r="D138" s="2" t="s">
        <v>56</v>
      </c>
      <c r="E138" s="2">
        <v>70</v>
      </c>
      <c r="F138" s="2">
        <v>70</v>
      </c>
      <c r="G138" s="2">
        <v>161</v>
      </c>
      <c r="H138" s="2">
        <v>161</v>
      </c>
      <c r="K138" t="str">
        <v>10W</v>
      </c>
      <c r="L138">
        <v>58</v>
      </c>
      <c r="N138" t="str">
        <v>98548C</v>
      </c>
      <c r="O138" t="str">
        <v>1248X</v>
      </c>
      <c r="P138">
        <v>70</v>
      </c>
      <c r="R138" t="str">
        <v>10W</v>
      </c>
      <c r="S138">
        <v>58</v>
      </c>
      <c r="U138" t="str">
        <v>98548C</v>
      </c>
      <c r="V138" t="str">
        <v>1248X</v>
      </c>
      <c r="W138">
        <v>70</v>
      </c>
    </row>
    <row r="139" spans="1:23" x14ac:dyDescent="0.3">
      <c r="A139" s="2" t="s">
        <v>50</v>
      </c>
      <c r="B139" s="2" t="s">
        <v>26</v>
      </c>
      <c r="C139" s="2" t="s">
        <v>93</v>
      </c>
      <c r="D139" s="2" t="s">
        <v>97</v>
      </c>
      <c r="E139" s="2">
        <v>69</v>
      </c>
      <c r="F139" s="2">
        <v>69</v>
      </c>
      <c r="G139" s="2">
        <v>48</v>
      </c>
      <c r="H139" s="2">
        <v>48</v>
      </c>
      <c r="K139" t="str">
        <v>3512D</v>
      </c>
      <c r="L139">
        <v>58</v>
      </c>
      <c r="N139" t="str">
        <v>9364H</v>
      </c>
      <c r="O139" t="str">
        <v>98225J</v>
      </c>
      <c r="P139">
        <v>69</v>
      </c>
      <c r="R139" t="str">
        <v>3512D</v>
      </c>
      <c r="S139">
        <v>58</v>
      </c>
      <c r="U139" t="str">
        <v>9364H</v>
      </c>
      <c r="V139" t="str">
        <v>98225J</v>
      </c>
      <c r="W139">
        <v>69</v>
      </c>
    </row>
    <row r="140" spans="1:23" x14ac:dyDescent="0.3">
      <c r="A140" s="2" t="s">
        <v>20</v>
      </c>
      <c r="B140" s="2" t="s">
        <v>82</v>
      </c>
      <c r="C140" s="2" t="s">
        <v>51</v>
      </c>
      <c r="D140" s="2" t="s">
        <v>63</v>
      </c>
      <c r="E140" s="2">
        <v>37</v>
      </c>
      <c r="F140" s="2">
        <v>37</v>
      </c>
      <c r="G140" s="2">
        <v>72</v>
      </c>
      <c r="H140" s="2">
        <v>72</v>
      </c>
      <c r="K140" t="str">
        <v>47874A</v>
      </c>
      <c r="L140">
        <v>91</v>
      </c>
      <c r="N140" t="str">
        <v>12516A</v>
      </c>
      <c r="O140" t="str">
        <v>10S</v>
      </c>
      <c r="P140">
        <v>37</v>
      </c>
      <c r="R140" t="str">
        <v>47874A</v>
      </c>
      <c r="S140">
        <v>91</v>
      </c>
      <c r="U140" t="str">
        <v>12516A</v>
      </c>
      <c r="V140" t="str">
        <v>10S</v>
      </c>
      <c r="W140">
        <v>37</v>
      </c>
    </row>
    <row r="141" spans="1:23" x14ac:dyDescent="0.3">
      <c r="A141" s="2" t="s">
        <v>57</v>
      </c>
      <c r="B141" s="2" t="s">
        <v>85</v>
      </c>
      <c r="C141" s="2" t="s">
        <v>43</v>
      </c>
      <c r="D141" s="2" t="s">
        <v>12</v>
      </c>
      <c r="E141" s="2">
        <v>70</v>
      </c>
      <c r="F141" s="2">
        <v>70</v>
      </c>
      <c r="G141" s="2">
        <v>125</v>
      </c>
      <c r="H141" s="2">
        <v>125</v>
      </c>
      <c r="K141" t="str">
        <v>1091A</v>
      </c>
      <c r="L141">
        <v>91</v>
      </c>
      <c r="N141" t="str">
        <v>10W</v>
      </c>
      <c r="O141" t="str">
        <v>299Y</v>
      </c>
      <c r="P141">
        <v>70</v>
      </c>
      <c r="R141" t="str">
        <v>1091A</v>
      </c>
      <c r="S141">
        <v>91</v>
      </c>
      <c r="U141" t="str">
        <v>10W</v>
      </c>
      <c r="V141" t="str">
        <v>299Y</v>
      </c>
      <c r="W141">
        <v>70</v>
      </c>
    </row>
    <row r="142" spans="1:23" x14ac:dyDescent="0.3">
      <c r="A142" s="2" t="s">
        <v>27</v>
      </c>
      <c r="B142" s="2" t="s">
        <v>43</v>
      </c>
      <c r="C142" s="2" t="s">
        <v>88</v>
      </c>
      <c r="D142" s="2" t="s">
        <v>92</v>
      </c>
      <c r="E142" s="2">
        <v>121</v>
      </c>
      <c r="F142" s="2">
        <v>121</v>
      </c>
      <c r="G142" s="2">
        <v>85</v>
      </c>
      <c r="H142" s="2">
        <v>85</v>
      </c>
      <c r="K142" t="str">
        <v>9364D</v>
      </c>
      <c r="L142">
        <v>147</v>
      </c>
      <c r="N142" t="str">
        <v>1010W</v>
      </c>
      <c r="O142" t="str">
        <v>11101B</v>
      </c>
      <c r="P142">
        <v>121</v>
      </c>
      <c r="R142" t="str">
        <v>9364D</v>
      </c>
      <c r="S142">
        <v>147</v>
      </c>
      <c r="U142" t="str">
        <v>51581E</v>
      </c>
      <c r="V142" t="str">
        <v>90385G</v>
      </c>
      <c r="W142">
        <v>17</v>
      </c>
    </row>
    <row r="143" spans="1:23" x14ac:dyDescent="0.3">
      <c r="A143" s="2" t="s">
        <v>70</v>
      </c>
      <c r="B143" s="2" t="s">
        <v>97</v>
      </c>
      <c r="C143" s="2" t="s">
        <v>28</v>
      </c>
      <c r="D143" s="2" t="s">
        <v>50</v>
      </c>
      <c r="E143" s="2">
        <v>103</v>
      </c>
      <c r="F143" s="2">
        <v>103</v>
      </c>
      <c r="G143" s="2">
        <v>120</v>
      </c>
      <c r="H143" s="2">
        <v>120</v>
      </c>
      <c r="K143" t="str">
        <v>1469A</v>
      </c>
      <c r="L143">
        <v>147</v>
      </c>
      <c r="N143" t="str">
        <v>9364D</v>
      </c>
      <c r="O143" t="str">
        <v>39313Z</v>
      </c>
      <c r="P143">
        <v>103</v>
      </c>
      <c r="R143" t="str">
        <v>1469A</v>
      </c>
      <c r="S143">
        <v>147</v>
      </c>
      <c r="U143" t="str">
        <v>8675F</v>
      </c>
      <c r="V143" t="str">
        <v>938F</v>
      </c>
      <c r="W143">
        <v>109</v>
      </c>
    </row>
    <row r="144" spans="1:23" x14ac:dyDescent="0.3">
      <c r="A144" s="2" t="s">
        <v>13</v>
      </c>
      <c r="B144" s="2" t="s">
        <v>86</v>
      </c>
      <c r="C144" s="2" t="s">
        <v>33</v>
      </c>
      <c r="D144" s="2" t="s">
        <v>51</v>
      </c>
      <c r="E144" s="2">
        <v>138</v>
      </c>
      <c r="F144" s="2">
        <v>138</v>
      </c>
      <c r="G144" s="2">
        <v>122</v>
      </c>
      <c r="H144" s="2">
        <v>122</v>
      </c>
      <c r="K144" t="str">
        <v>938P</v>
      </c>
      <c r="L144">
        <v>7</v>
      </c>
      <c r="N144" t="str">
        <v>10B</v>
      </c>
      <c r="O144" t="str">
        <v>80001B</v>
      </c>
      <c r="P144">
        <v>138</v>
      </c>
      <c r="R144" t="str">
        <v>938P</v>
      </c>
      <c r="S144">
        <v>7</v>
      </c>
      <c r="U144" t="str">
        <v>51777H</v>
      </c>
      <c r="V144" t="str">
        <v>938A</v>
      </c>
      <c r="W144">
        <v>60</v>
      </c>
    </row>
    <row r="145" spans="1:23" x14ac:dyDescent="0.3">
      <c r="A145" s="2" t="s">
        <v>58</v>
      </c>
      <c r="B145" s="2" t="s">
        <v>74</v>
      </c>
      <c r="C145" s="2" t="s">
        <v>73</v>
      </c>
      <c r="D145" s="2" t="s">
        <v>56</v>
      </c>
      <c r="E145" s="2">
        <v>107</v>
      </c>
      <c r="F145" s="2">
        <v>107</v>
      </c>
      <c r="G145" s="2">
        <v>78</v>
      </c>
      <c r="H145" s="2">
        <v>78</v>
      </c>
      <c r="K145" t="str">
        <v>5233J</v>
      </c>
      <c r="L145">
        <v>7</v>
      </c>
      <c r="N145" t="str">
        <v>61002G</v>
      </c>
      <c r="O145" t="str">
        <v>1469A</v>
      </c>
      <c r="P145">
        <v>107</v>
      </c>
      <c r="R145" t="str">
        <v>5233J</v>
      </c>
      <c r="S145">
        <v>7</v>
      </c>
      <c r="U145" t="str">
        <v>7899B</v>
      </c>
      <c r="V145" t="str">
        <v>84141A</v>
      </c>
      <c r="W145">
        <v>57</v>
      </c>
    </row>
    <row r="146" spans="1:23" x14ac:dyDescent="0.3">
      <c r="A146" s="2" t="s">
        <v>27</v>
      </c>
      <c r="B146" s="2" t="s">
        <v>43</v>
      </c>
      <c r="C146" s="2" t="s">
        <v>28</v>
      </c>
      <c r="D146" s="2" t="s">
        <v>50</v>
      </c>
      <c r="E146" s="2">
        <v>119</v>
      </c>
      <c r="F146" s="2">
        <v>119</v>
      </c>
      <c r="G146" s="2">
        <v>87</v>
      </c>
      <c r="H146" s="2">
        <v>87</v>
      </c>
      <c r="K146" t="str">
        <v>10S</v>
      </c>
      <c r="L146">
        <v>62</v>
      </c>
      <c r="N146" t="str">
        <v>1010W</v>
      </c>
      <c r="O146" t="str">
        <v>11101B</v>
      </c>
      <c r="P146">
        <v>119</v>
      </c>
      <c r="R146" t="str">
        <v>10S</v>
      </c>
      <c r="S146">
        <v>62</v>
      </c>
      <c r="U146" t="str">
        <v>2681A</v>
      </c>
      <c r="V146" t="str">
        <v>10F</v>
      </c>
      <c r="W146">
        <v>89</v>
      </c>
    </row>
    <row r="147" spans="1:23" x14ac:dyDescent="0.3">
      <c r="A147" s="2" t="s">
        <v>13</v>
      </c>
      <c r="B147" s="2" t="s">
        <v>86</v>
      </c>
      <c r="C147" s="2" t="s">
        <v>58</v>
      </c>
      <c r="D147" s="2" t="s">
        <v>74</v>
      </c>
      <c r="E147" s="2">
        <v>130</v>
      </c>
      <c r="F147" s="2">
        <v>130</v>
      </c>
      <c r="G147" s="2">
        <v>93</v>
      </c>
      <c r="H147" s="2">
        <v>93</v>
      </c>
      <c r="K147" t="str">
        <v>8931R</v>
      </c>
      <c r="L147">
        <v>62</v>
      </c>
      <c r="N147" t="str">
        <v>10B</v>
      </c>
      <c r="O147" t="str">
        <v>80001B</v>
      </c>
      <c r="P147">
        <v>130</v>
      </c>
      <c r="R147" t="str">
        <v>8931R</v>
      </c>
      <c r="S147">
        <v>62</v>
      </c>
      <c r="U147" t="str">
        <v>10J</v>
      </c>
      <c r="V147" t="str">
        <v>6526D</v>
      </c>
      <c r="W147">
        <v>112</v>
      </c>
    </row>
    <row r="148" spans="1:23" x14ac:dyDescent="0.3">
      <c r="A148" s="2" t="s">
        <v>27</v>
      </c>
      <c r="B148" s="2" t="s">
        <v>43</v>
      </c>
      <c r="C148" s="2" t="s">
        <v>13</v>
      </c>
      <c r="D148" s="2" t="s">
        <v>86</v>
      </c>
      <c r="E148" s="2">
        <v>123</v>
      </c>
      <c r="F148" s="2">
        <v>123</v>
      </c>
      <c r="G148" s="2">
        <v>130</v>
      </c>
      <c r="H148" s="2">
        <v>130</v>
      </c>
      <c r="K148" t="str">
        <v>1248X</v>
      </c>
      <c r="L148">
        <v>38</v>
      </c>
      <c r="N148" t="str">
        <v>1010W</v>
      </c>
      <c r="O148" t="str">
        <v>11101B</v>
      </c>
      <c r="P148">
        <v>123</v>
      </c>
      <c r="R148" t="str">
        <v>1248X</v>
      </c>
      <c r="S148">
        <v>38</v>
      </c>
      <c r="U148" t="str">
        <v>1687C</v>
      </c>
      <c r="V148" t="str">
        <v>99621A</v>
      </c>
      <c r="W148">
        <v>99</v>
      </c>
    </row>
    <row r="149" spans="1:23" x14ac:dyDescent="0.3">
      <c r="A149" s="2" t="s">
        <v>27</v>
      </c>
      <c r="B149" s="2" t="s">
        <v>43</v>
      </c>
      <c r="C149" s="2" t="s">
        <v>13</v>
      </c>
      <c r="D149" s="2" t="s">
        <v>86</v>
      </c>
      <c r="E149" s="2">
        <v>148</v>
      </c>
      <c r="F149" s="2">
        <v>148</v>
      </c>
      <c r="G149" s="2">
        <v>124</v>
      </c>
      <c r="H149" s="2">
        <v>124</v>
      </c>
      <c r="K149" t="str">
        <v>47874R</v>
      </c>
      <c r="L149">
        <v>38</v>
      </c>
      <c r="N149" t="str">
        <v>1010W</v>
      </c>
      <c r="O149" t="str">
        <v>11101B</v>
      </c>
      <c r="P149">
        <v>148</v>
      </c>
      <c r="R149" t="str">
        <v>47874R</v>
      </c>
      <c r="S149">
        <v>38</v>
      </c>
      <c r="U149" t="str">
        <v>10012G</v>
      </c>
      <c r="V149" t="str">
        <v>98040C</v>
      </c>
      <c r="W149">
        <v>59</v>
      </c>
    </row>
    <row r="150" spans="1:23" x14ac:dyDescent="0.3">
      <c r="A150" s="2" t="s">
        <v>27</v>
      </c>
      <c r="B150" s="2" t="s">
        <v>43</v>
      </c>
      <c r="C150" s="2" t="s">
        <v>13</v>
      </c>
      <c r="D150" s="2" t="s">
        <v>86</v>
      </c>
      <c r="E150" s="2">
        <v>152</v>
      </c>
      <c r="F150" s="2">
        <v>152</v>
      </c>
      <c r="G150" s="2">
        <v>142</v>
      </c>
      <c r="H150" s="2">
        <v>142</v>
      </c>
      <c r="K150" t="str">
        <v>10B</v>
      </c>
      <c r="L150">
        <v>140</v>
      </c>
      <c r="N150" t="str">
        <v>1010W</v>
      </c>
      <c r="O150" t="str">
        <v>11101B</v>
      </c>
      <c r="P150">
        <v>152</v>
      </c>
      <c r="R150" t="str">
        <v>10B</v>
      </c>
      <c r="S150">
        <v>140</v>
      </c>
      <c r="U150" t="str">
        <v>1698Y</v>
      </c>
      <c r="V150" t="str">
        <v>9364C</v>
      </c>
      <c r="W150">
        <v>132</v>
      </c>
    </row>
    <row r="151" spans="1:23" x14ac:dyDescent="0.3">
      <c r="A151" s="2" t="s">
        <v>27</v>
      </c>
      <c r="B151" s="2" t="s">
        <v>43</v>
      </c>
      <c r="C151" s="2" t="s">
        <v>63</v>
      </c>
      <c r="D151" s="2" t="s">
        <v>64</v>
      </c>
      <c r="E151" s="2">
        <v>138</v>
      </c>
      <c r="F151" s="2">
        <v>138</v>
      </c>
      <c r="G151" s="2">
        <v>67</v>
      </c>
      <c r="H151" s="2">
        <v>67</v>
      </c>
      <c r="K151" t="str">
        <v>80001B</v>
      </c>
      <c r="L151">
        <v>140</v>
      </c>
      <c r="N151" t="str">
        <v>1010W</v>
      </c>
      <c r="O151" t="str">
        <v>11101B</v>
      </c>
      <c r="P151">
        <v>138</v>
      </c>
      <c r="R151" t="str">
        <v>80001B</v>
      </c>
      <c r="S151">
        <v>140</v>
      </c>
      <c r="U151" t="str">
        <v>938R</v>
      </c>
      <c r="V151" t="str">
        <v>16689Z</v>
      </c>
      <c r="W151">
        <v>48</v>
      </c>
    </row>
    <row r="152" spans="1:23" x14ac:dyDescent="0.3">
      <c r="A152" s="2" t="s">
        <v>88</v>
      </c>
      <c r="B152" s="2" t="s">
        <v>92</v>
      </c>
      <c r="C152" s="2" t="s">
        <v>18</v>
      </c>
      <c r="D152" s="2" t="s">
        <v>39</v>
      </c>
      <c r="E152" s="2">
        <v>107</v>
      </c>
      <c r="F152" s="2">
        <v>107</v>
      </c>
      <c r="G152" s="2">
        <v>78</v>
      </c>
      <c r="H152" s="2">
        <v>78</v>
      </c>
      <c r="K152" t="str">
        <v>93199G</v>
      </c>
      <c r="L152">
        <v>30</v>
      </c>
      <c r="N152" t="str">
        <v>3583A</v>
      </c>
      <c r="O152" t="str">
        <v>10N</v>
      </c>
      <c r="P152">
        <v>107</v>
      </c>
      <c r="R152" t="str">
        <v>93199G</v>
      </c>
      <c r="S152">
        <v>30</v>
      </c>
      <c r="U152" t="str">
        <v>1168A</v>
      </c>
      <c r="V152" t="str">
        <v>16689A</v>
      </c>
      <c r="W152">
        <v>186</v>
      </c>
    </row>
    <row r="153" spans="1:23" x14ac:dyDescent="0.3">
      <c r="A153" s="2" t="s">
        <v>70</v>
      </c>
      <c r="B153" s="2" t="s">
        <v>97</v>
      </c>
      <c r="C153" s="2" t="s">
        <v>57</v>
      </c>
      <c r="D153" s="2" t="s">
        <v>94</v>
      </c>
      <c r="E153" s="2">
        <v>130</v>
      </c>
      <c r="F153" s="2">
        <v>130</v>
      </c>
      <c r="G153" s="2">
        <v>93</v>
      </c>
      <c r="H153" s="2">
        <v>93</v>
      </c>
      <c r="K153" t="str">
        <v>10G</v>
      </c>
      <c r="L153">
        <v>30</v>
      </c>
      <c r="N153" t="str">
        <v>9364D</v>
      </c>
      <c r="O153" t="str">
        <v>39313Z</v>
      </c>
      <c r="P153">
        <v>130</v>
      </c>
      <c r="R153" t="str">
        <v>10G</v>
      </c>
      <c r="S153">
        <v>30</v>
      </c>
      <c r="U153" t="str">
        <v>1000A</v>
      </c>
      <c r="V153" t="str">
        <v>5327K</v>
      </c>
      <c r="W153">
        <v>113</v>
      </c>
    </row>
    <row r="154" spans="1:23" x14ac:dyDescent="0.3">
      <c r="A154" s="2" t="s">
        <v>28</v>
      </c>
      <c r="B154" s="2" t="s">
        <v>50</v>
      </c>
      <c r="C154" s="2" t="s">
        <v>52</v>
      </c>
      <c r="D154" s="2" t="s">
        <v>19</v>
      </c>
      <c r="E154" s="2">
        <v>121</v>
      </c>
      <c r="F154" s="2">
        <v>121</v>
      </c>
      <c r="G154" s="2">
        <v>71</v>
      </c>
      <c r="H154" s="2">
        <v>71</v>
      </c>
      <c r="K154" t="str">
        <v>886N</v>
      </c>
      <c r="L154">
        <v>111</v>
      </c>
      <c r="N154" t="str">
        <v>51581S</v>
      </c>
      <c r="O154" t="str">
        <v>9364H</v>
      </c>
      <c r="P154">
        <v>121</v>
      </c>
      <c r="R154" t="str">
        <v>886N</v>
      </c>
      <c r="S154">
        <v>111</v>
      </c>
      <c r="U154" t="str">
        <v>229V</v>
      </c>
      <c r="V154" t="str">
        <v>98225H</v>
      </c>
      <c r="W154">
        <v>149</v>
      </c>
    </row>
    <row r="155" spans="1:23" x14ac:dyDescent="0.3">
      <c r="A155" s="2" t="s">
        <v>13</v>
      </c>
      <c r="B155" s="2" t="s">
        <v>86</v>
      </c>
      <c r="C155" s="2" t="s">
        <v>104</v>
      </c>
      <c r="D155" s="2" t="s">
        <v>14</v>
      </c>
      <c r="E155" s="2">
        <v>120</v>
      </c>
      <c r="F155" s="2">
        <v>120</v>
      </c>
      <c r="G155" s="2"/>
      <c r="H155" s="2"/>
      <c r="K155" t="str">
        <v>61002G</v>
      </c>
      <c r="L155">
        <v>111</v>
      </c>
      <c r="N155" t="str">
        <v>10B</v>
      </c>
      <c r="O155" t="str">
        <v>80001B</v>
      </c>
      <c r="P155">
        <v>120</v>
      </c>
      <c r="R155" t="str">
        <v>61002G</v>
      </c>
      <c r="S155">
        <v>111</v>
      </c>
      <c r="U155" t="str">
        <v>938N</v>
      </c>
      <c r="V155" t="str">
        <v>3512E</v>
      </c>
      <c r="W155">
        <v>54</v>
      </c>
    </row>
    <row r="156" spans="1:23" x14ac:dyDescent="0.3">
      <c r="A156" s="2" t="s">
        <v>34</v>
      </c>
      <c r="B156" s="2" t="s">
        <v>80</v>
      </c>
      <c r="C156" s="2" t="s">
        <v>33</v>
      </c>
      <c r="D156" s="2" t="s">
        <v>51</v>
      </c>
      <c r="E156" s="2">
        <v>108</v>
      </c>
      <c r="F156" s="2">
        <v>108</v>
      </c>
      <c r="G156" s="2">
        <v>148</v>
      </c>
      <c r="H156" s="2">
        <v>148</v>
      </c>
      <c r="K156" t="str">
        <v>299Y</v>
      </c>
      <c r="L156">
        <v>39</v>
      </c>
      <c r="N156" t="str">
        <v>8931R</v>
      </c>
      <c r="O156" t="str">
        <v>604X</v>
      </c>
      <c r="P156">
        <v>108</v>
      </c>
      <c r="R156" t="str">
        <v>299Y</v>
      </c>
      <c r="S156">
        <v>39</v>
      </c>
      <c r="U156" t="str">
        <v>10A</v>
      </c>
      <c r="V156" t="str">
        <v>3512B</v>
      </c>
      <c r="W156">
        <v>73</v>
      </c>
    </row>
    <row r="157" spans="1:23" x14ac:dyDescent="0.3">
      <c r="A157" s="2" t="s">
        <v>58</v>
      </c>
      <c r="B157" s="2" t="s">
        <v>74</v>
      </c>
      <c r="C157" s="2" t="s">
        <v>44</v>
      </c>
      <c r="D157" s="2" t="s">
        <v>49</v>
      </c>
      <c r="E157" s="2">
        <v>158</v>
      </c>
      <c r="F157" s="2">
        <v>158</v>
      </c>
      <c r="G157" s="2">
        <v>90</v>
      </c>
      <c r="H157" s="2">
        <v>90</v>
      </c>
      <c r="K157" t="str">
        <v>604X</v>
      </c>
      <c r="L157">
        <v>39</v>
      </c>
      <c r="N157" t="str">
        <v>61002G</v>
      </c>
      <c r="O157" t="str">
        <v>1469A</v>
      </c>
      <c r="P157">
        <v>158</v>
      </c>
      <c r="R157" t="str">
        <v>604X</v>
      </c>
      <c r="S157">
        <v>39</v>
      </c>
      <c r="U157" t="str">
        <v>66475C</v>
      </c>
      <c r="V157" t="str">
        <v>1258V</v>
      </c>
      <c r="W157">
        <v>62</v>
      </c>
    </row>
    <row r="158" spans="1:23" x14ac:dyDescent="0.3">
      <c r="A158" s="2" t="s">
        <v>73</v>
      </c>
      <c r="B158" s="2" t="s">
        <v>56</v>
      </c>
      <c r="C158" s="2" t="s">
        <v>32</v>
      </c>
      <c r="D158" s="2" t="s">
        <v>75</v>
      </c>
      <c r="E158" s="2">
        <v>133</v>
      </c>
      <c r="F158" s="2">
        <v>133</v>
      </c>
      <c r="G158" s="2">
        <v>90</v>
      </c>
      <c r="H158" s="2">
        <v>90</v>
      </c>
      <c r="K158" t="str">
        <v>16689D</v>
      </c>
      <c r="L158">
        <v>55</v>
      </c>
      <c r="N158" t="str">
        <v>1091A</v>
      </c>
      <c r="O158" t="str">
        <v>502X</v>
      </c>
      <c r="P158">
        <v>133</v>
      </c>
      <c r="R158" t="str">
        <v>16689D</v>
      </c>
      <c r="S158">
        <v>55</v>
      </c>
      <c r="U158" t="str">
        <v>47000X</v>
      </c>
      <c r="V158" t="str">
        <v>51581E</v>
      </c>
      <c r="W158">
        <v>37</v>
      </c>
    </row>
    <row r="159" spans="1:23" x14ac:dyDescent="0.3">
      <c r="A159" s="3" t="s">
        <v>387</v>
      </c>
      <c r="B159" s="3" t="s">
        <v>388</v>
      </c>
      <c r="C159" s="3" t="s">
        <v>389</v>
      </c>
      <c r="D159" s="3" t="s">
        <v>390</v>
      </c>
      <c r="E159" s="3">
        <v>17</v>
      </c>
      <c r="F159" s="3">
        <v>17</v>
      </c>
      <c r="G159" s="3">
        <v>73</v>
      </c>
      <c r="H159" s="3">
        <v>73</v>
      </c>
      <c r="K159" t="str">
        <v>920B</v>
      </c>
      <c r="L159">
        <v>55</v>
      </c>
      <c r="N159" t="str">
        <v>51581E</v>
      </c>
      <c r="O159" t="str">
        <v>90385G</v>
      </c>
      <c r="P159">
        <v>17</v>
      </c>
      <c r="R159" t="str">
        <v>920B</v>
      </c>
      <c r="S159">
        <v>55</v>
      </c>
      <c r="U159" t="str">
        <v>938H</v>
      </c>
      <c r="V159" t="str">
        <v>10C</v>
      </c>
      <c r="W159">
        <v>107</v>
      </c>
    </row>
    <row r="160" spans="1:23" x14ac:dyDescent="0.3">
      <c r="A160" s="3" t="s">
        <v>392</v>
      </c>
      <c r="B160" s="3" t="s">
        <v>393</v>
      </c>
      <c r="C160" s="3" t="s">
        <v>394</v>
      </c>
      <c r="D160" s="3" t="s">
        <v>395</v>
      </c>
      <c r="E160" s="3">
        <v>109</v>
      </c>
      <c r="F160" s="3">
        <v>109</v>
      </c>
      <c r="G160" s="3">
        <v>129</v>
      </c>
      <c r="H160" s="3">
        <v>129</v>
      </c>
      <c r="K160" t="str">
        <v>51581S</v>
      </c>
      <c r="L160">
        <v>107</v>
      </c>
      <c r="N160" t="str">
        <v>8675F</v>
      </c>
      <c r="O160" t="str">
        <v>938F</v>
      </c>
      <c r="P160">
        <v>109</v>
      </c>
      <c r="R160" t="str">
        <v>51581S</v>
      </c>
      <c r="S160">
        <v>107</v>
      </c>
      <c r="U160" t="str">
        <v>8675V</v>
      </c>
      <c r="V160" t="str">
        <v>47874J</v>
      </c>
      <c r="W160">
        <v>128</v>
      </c>
    </row>
    <row r="161" spans="1:23" x14ac:dyDescent="0.3">
      <c r="A161" s="3" t="s">
        <v>396</v>
      </c>
      <c r="B161" s="3" t="s">
        <v>397</v>
      </c>
      <c r="C161" s="3" t="s">
        <v>398</v>
      </c>
      <c r="D161" s="3" t="s">
        <v>399</v>
      </c>
      <c r="E161" s="3">
        <v>60</v>
      </c>
      <c r="F161" s="3">
        <v>60</v>
      </c>
      <c r="G161" s="3">
        <v>89</v>
      </c>
      <c r="H161" s="3">
        <v>89</v>
      </c>
      <c r="K161" t="str">
        <v>10K</v>
      </c>
      <c r="L161">
        <v>107</v>
      </c>
      <c r="N161" t="str">
        <v>51777H</v>
      </c>
      <c r="O161" t="str">
        <v>938A</v>
      </c>
      <c r="P161">
        <v>60</v>
      </c>
      <c r="R161" t="str">
        <v>10K</v>
      </c>
      <c r="S161">
        <v>107</v>
      </c>
      <c r="U161" t="str">
        <v>537K</v>
      </c>
      <c r="V161" t="str">
        <v>652A</v>
      </c>
      <c r="W161">
        <v>130</v>
      </c>
    </row>
    <row r="162" spans="1:23" x14ac:dyDescent="0.3">
      <c r="A162" s="3" t="s">
        <v>401</v>
      </c>
      <c r="B162" s="3" t="s">
        <v>402</v>
      </c>
      <c r="C162" s="3" t="s">
        <v>403</v>
      </c>
      <c r="D162" s="3" t="s">
        <v>404</v>
      </c>
      <c r="E162" s="3">
        <v>57</v>
      </c>
      <c r="F162" s="3">
        <v>57</v>
      </c>
      <c r="G162" s="3">
        <v>118</v>
      </c>
      <c r="H162" s="3">
        <v>118</v>
      </c>
      <c r="K162" t="str">
        <v>6526E</v>
      </c>
      <c r="L162">
        <v>30</v>
      </c>
      <c r="N162" t="str">
        <v>7899B</v>
      </c>
      <c r="O162" t="str">
        <v>84141A</v>
      </c>
      <c r="P162">
        <v>57</v>
      </c>
      <c r="R162" t="str">
        <v>6526E</v>
      </c>
      <c r="S162">
        <v>30</v>
      </c>
      <c r="U162" t="str">
        <v>16689A</v>
      </c>
      <c r="V162" t="str">
        <v>9364G</v>
      </c>
      <c r="W162">
        <v>98</v>
      </c>
    </row>
    <row r="163" spans="1:23" x14ac:dyDescent="0.3">
      <c r="A163" s="3" t="s">
        <v>406</v>
      </c>
      <c r="B163" s="3" t="s">
        <v>407</v>
      </c>
      <c r="C163" s="3" t="s">
        <v>408</v>
      </c>
      <c r="D163" s="3" t="s">
        <v>409</v>
      </c>
      <c r="E163" s="3">
        <v>89</v>
      </c>
      <c r="F163" s="3">
        <v>89</v>
      </c>
      <c r="G163" s="3">
        <v>113</v>
      </c>
      <c r="H163" s="3">
        <v>113</v>
      </c>
      <c r="K163" t="str">
        <v>99621H</v>
      </c>
      <c r="L163">
        <v>30</v>
      </c>
      <c r="N163" t="str">
        <v>2681A</v>
      </c>
      <c r="O163" t="str">
        <v>10F</v>
      </c>
      <c r="P163">
        <v>89</v>
      </c>
      <c r="R163" t="str">
        <v>99621H</v>
      </c>
      <c r="S163">
        <v>30</v>
      </c>
      <c r="U163" t="str">
        <v>1023E</v>
      </c>
      <c r="V163" t="str">
        <v>9364C</v>
      </c>
      <c r="W163">
        <v>168</v>
      </c>
    </row>
    <row r="164" spans="1:23" x14ac:dyDescent="0.3">
      <c r="A164" s="3" t="s">
        <v>411</v>
      </c>
      <c r="B164" s="3" t="s">
        <v>412</v>
      </c>
      <c r="C164" s="3" t="s">
        <v>413</v>
      </c>
      <c r="D164" s="3" t="s">
        <v>414</v>
      </c>
      <c r="E164" s="3">
        <v>112</v>
      </c>
      <c r="F164" s="3">
        <v>112</v>
      </c>
      <c r="G164" s="3">
        <v>65</v>
      </c>
      <c r="H164" s="3">
        <v>65</v>
      </c>
      <c r="K164" t="str">
        <v>9364H</v>
      </c>
      <c r="L164">
        <v>93</v>
      </c>
      <c r="N164" t="str">
        <v>10J</v>
      </c>
      <c r="O164" t="str">
        <v>6526D</v>
      </c>
      <c r="P164">
        <v>112</v>
      </c>
      <c r="R164" t="str">
        <v>9364H</v>
      </c>
      <c r="S164">
        <v>93</v>
      </c>
      <c r="U164" t="str">
        <v>9805A</v>
      </c>
      <c r="V164" t="str">
        <v>917A</v>
      </c>
      <c r="W164">
        <v>75</v>
      </c>
    </row>
    <row r="165" spans="1:23" x14ac:dyDescent="0.3">
      <c r="A165" s="3" t="s">
        <v>416</v>
      </c>
      <c r="B165" s="3" t="s">
        <v>417</v>
      </c>
      <c r="C165" s="3" t="s">
        <v>418</v>
      </c>
      <c r="D165" s="3" t="s">
        <v>419</v>
      </c>
      <c r="E165" s="3">
        <v>99</v>
      </c>
      <c r="F165" s="3">
        <v>99</v>
      </c>
      <c r="G165" s="3">
        <v>97</v>
      </c>
      <c r="H165" s="3">
        <v>97</v>
      </c>
      <c r="K165" t="str">
        <v>12516A</v>
      </c>
      <c r="L165">
        <v>93</v>
      </c>
      <c r="N165" t="str">
        <v>1687C</v>
      </c>
      <c r="O165" t="str">
        <v>99621A</v>
      </c>
      <c r="P165">
        <v>99</v>
      </c>
      <c r="R165" t="str">
        <v>12516A</v>
      </c>
      <c r="S165">
        <v>93</v>
      </c>
      <c r="U165" t="str">
        <v>84141X</v>
      </c>
      <c r="V165" t="str">
        <v>10T</v>
      </c>
      <c r="W165">
        <v>92</v>
      </c>
    </row>
    <row r="166" spans="1:23" x14ac:dyDescent="0.3">
      <c r="A166" s="3" t="s">
        <v>421</v>
      </c>
      <c r="B166" s="3" t="s">
        <v>422</v>
      </c>
      <c r="C166" s="3" t="s">
        <v>423</v>
      </c>
      <c r="D166" s="3" t="s">
        <v>424</v>
      </c>
      <c r="E166" s="3">
        <v>59</v>
      </c>
      <c r="F166" s="3">
        <v>59</v>
      </c>
      <c r="G166" s="3">
        <v>42</v>
      </c>
      <c r="H166" s="3">
        <v>42</v>
      </c>
      <c r="K166" t="str">
        <v>938E</v>
      </c>
      <c r="L166">
        <v>22</v>
      </c>
      <c r="N166" t="str">
        <v>10012G</v>
      </c>
      <c r="O166" t="str">
        <v>98040C</v>
      </c>
      <c r="P166">
        <v>59</v>
      </c>
      <c r="R166" t="str">
        <v>938E</v>
      </c>
      <c r="S166">
        <v>22</v>
      </c>
      <c r="U166" t="str">
        <v>10X</v>
      </c>
      <c r="V166" t="str">
        <v>938K</v>
      </c>
      <c r="W166">
        <v>70</v>
      </c>
    </row>
    <row r="167" spans="1:23" x14ac:dyDescent="0.3">
      <c r="A167" s="3" t="s">
        <v>426</v>
      </c>
      <c r="B167" s="3" t="s">
        <v>427</v>
      </c>
      <c r="C167" s="3" t="s">
        <v>428</v>
      </c>
      <c r="D167" s="3" t="s">
        <v>429</v>
      </c>
      <c r="E167" s="3">
        <v>132</v>
      </c>
      <c r="F167" s="3">
        <v>132</v>
      </c>
      <c r="G167" s="3">
        <v>118</v>
      </c>
      <c r="H167" s="3">
        <v>118</v>
      </c>
      <c r="K167" t="str">
        <v>16689X</v>
      </c>
      <c r="L167">
        <v>22</v>
      </c>
      <c r="N167" t="str">
        <v>1698Y</v>
      </c>
      <c r="O167" t="str">
        <v>9364C</v>
      </c>
      <c r="P167">
        <v>132</v>
      </c>
      <c r="R167" t="str">
        <v>16689X</v>
      </c>
      <c r="S167">
        <v>22</v>
      </c>
      <c r="U167" t="str">
        <v>7700H</v>
      </c>
      <c r="V167" t="str">
        <v>3512B</v>
      </c>
      <c r="W167">
        <v>53</v>
      </c>
    </row>
    <row r="168" spans="1:23" x14ac:dyDescent="0.3">
      <c r="A168" s="3" t="s">
        <v>431</v>
      </c>
      <c r="B168" s="3" t="s">
        <v>432</v>
      </c>
      <c r="C168" s="3" t="s">
        <v>433</v>
      </c>
      <c r="D168" s="3" t="s">
        <v>434</v>
      </c>
      <c r="E168" s="3">
        <v>48</v>
      </c>
      <c r="F168" s="3">
        <v>48</v>
      </c>
      <c r="G168" s="3">
        <v>125</v>
      </c>
      <c r="H168" s="3">
        <v>125</v>
      </c>
      <c r="K168" t="str">
        <v>938G</v>
      </c>
      <c r="L168">
        <v>133</v>
      </c>
      <c r="N168" t="str">
        <v>938R</v>
      </c>
      <c r="O168" t="str">
        <v>16689Z</v>
      </c>
      <c r="P168">
        <v>48</v>
      </c>
      <c r="R168" t="str">
        <v>938G</v>
      </c>
      <c r="S168">
        <v>133</v>
      </c>
      <c r="U168" t="str">
        <v>7784W</v>
      </c>
      <c r="V168" t="str">
        <v>5155A</v>
      </c>
      <c r="W168">
        <v>93</v>
      </c>
    </row>
    <row r="169" spans="1:23" x14ac:dyDescent="0.3">
      <c r="A169" s="3" t="s">
        <v>436</v>
      </c>
      <c r="B169" s="3" t="s">
        <v>437</v>
      </c>
      <c r="C169" s="3" t="s">
        <v>438</v>
      </c>
      <c r="D169" s="3" t="s">
        <v>439</v>
      </c>
      <c r="E169" s="3">
        <v>186</v>
      </c>
      <c r="F169" s="3">
        <v>186</v>
      </c>
      <c r="G169" s="3">
        <v>55</v>
      </c>
      <c r="H169" s="3">
        <v>55</v>
      </c>
      <c r="K169" t="str">
        <v>502X</v>
      </c>
      <c r="L169">
        <v>133</v>
      </c>
      <c r="N169" t="str">
        <v>1168A</v>
      </c>
      <c r="O169" t="str">
        <v>16689A</v>
      </c>
      <c r="P169">
        <v>186</v>
      </c>
      <c r="R169" t="str">
        <v>502X</v>
      </c>
      <c r="S169">
        <v>133</v>
      </c>
      <c r="U169" t="str">
        <v>938C</v>
      </c>
      <c r="V169" t="str">
        <v>502A</v>
      </c>
      <c r="W169">
        <v>65</v>
      </c>
    </row>
    <row r="170" spans="1:23" x14ac:dyDescent="0.3">
      <c r="A170" s="3" t="s">
        <v>441</v>
      </c>
      <c r="B170" s="3" t="s">
        <v>442</v>
      </c>
      <c r="C170" s="3" t="s">
        <v>443</v>
      </c>
      <c r="D170" s="3" t="s">
        <v>444</v>
      </c>
      <c r="E170" s="3">
        <v>113</v>
      </c>
      <c r="F170" s="3">
        <v>113</v>
      </c>
      <c r="G170" s="3">
        <v>90</v>
      </c>
      <c r="H170" s="3">
        <v>90</v>
      </c>
      <c r="K170" t="str">
        <v>609B</v>
      </c>
      <c r="L170">
        <v>77</v>
      </c>
      <c r="N170" t="str">
        <v>1000A</v>
      </c>
      <c r="O170" t="str">
        <v>5327K</v>
      </c>
      <c r="P170">
        <v>113</v>
      </c>
      <c r="R170" t="str">
        <v>609B</v>
      </c>
      <c r="S170">
        <v>77</v>
      </c>
      <c r="U170" t="str">
        <v>884B</v>
      </c>
      <c r="V170" t="str">
        <v>98225M</v>
      </c>
      <c r="W170">
        <v>54</v>
      </c>
    </row>
    <row r="171" spans="1:23" x14ac:dyDescent="0.3">
      <c r="A171" s="3" t="s">
        <v>446</v>
      </c>
      <c r="B171" s="3" t="s">
        <v>447</v>
      </c>
      <c r="C171" s="3" t="s">
        <v>448</v>
      </c>
      <c r="D171" s="3" t="s">
        <v>449</v>
      </c>
      <c r="E171" s="3">
        <v>149</v>
      </c>
      <c r="F171" s="3">
        <v>149</v>
      </c>
      <c r="G171" s="3">
        <v>62</v>
      </c>
      <c r="H171" s="3">
        <v>62</v>
      </c>
      <c r="K171" t="str">
        <v>2605B</v>
      </c>
      <c r="L171">
        <v>77</v>
      </c>
      <c r="N171" t="str">
        <v>229V</v>
      </c>
      <c r="O171" t="str">
        <v>98225H</v>
      </c>
      <c r="P171">
        <v>149</v>
      </c>
      <c r="R171" t="str">
        <v>2605B</v>
      </c>
      <c r="S171">
        <v>77</v>
      </c>
      <c r="U171" t="str">
        <v>99621C</v>
      </c>
      <c r="V171" t="str">
        <v>16689E</v>
      </c>
      <c r="W171">
        <v>42</v>
      </c>
    </row>
    <row r="172" spans="1:23" x14ac:dyDescent="0.3">
      <c r="A172" s="3" t="s">
        <v>451</v>
      </c>
      <c r="B172" s="3" t="s">
        <v>452</v>
      </c>
      <c r="C172" s="3" t="s">
        <v>453</v>
      </c>
      <c r="D172" s="3" t="s">
        <v>454</v>
      </c>
      <c r="E172" s="3">
        <v>54</v>
      </c>
      <c r="F172" s="3">
        <v>54</v>
      </c>
      <c r="G172" s="3">
        <v>200</v>
      </c>
      <c r="H172" s="3">
        <v>200</v>
      </c>
      <c r="K172" t="str">
        <v>8675R</v>
      </c>
      <c r="L172">
        <v>118</v>
      </c>
      <c r="N172" t="str">
        <v>938N</v>
      </c>
      <c r="O172" t="str">
        <v>3512E</v>
      </c>
      <c r="P172">
        <v>54</v>
      </c>
      <c r="R172" t="str">
        <v>8675R</v>
      </c>
      <c r="S172">
        <v>118</v>
      </c>
      <c r="U172" t="str">
        <v>938X</v>
      </c>
      <c r="V172" t="str">
        <v>609A</v>
      </c>
      <c r="W172">
        <v>77</v>
      </c>
    </row>
    <row r="173" spans="1:23" x14ac:dyDescent="0.3">
      <c r="A173" s="3" t="s">
        <v>455</v>
      </c>
      <c r="B173" s="3" t="s">
        <v>456</v>
      </c>
      <c r="C173" s="3" t="s">
        <v>457</v>
      </c>
      <c r="D173" s="3" t="s">
        <v>458</v>
      </c>
      <c r="E173" s="3">
        <v>73</v>
      </c>
      <c r="F173" s="3">
        <v>73</v>
      </c>
      <c r="G173" s="3">
        <v>89</v>
      </c>
      <c r="H173" s="3">
        <v>89</v>
      </c>
      <c r="K173" t="str">
        <v>949Z</v>
      </c>
      <c r="L173">
        <v>118</v>
      </c>
      <c r="N173" t="str">
        <v>10A</v>
      </c>
      <c r="O173" t="str">
        <v>3512B</v>
      </c>
      <c r="P173">
        <v>73</v>
      </c>
      <c r="R173" t="str">
        <v>949Z</v>
      </c>
      <c r="S173">
        <v>118</v>
      </c>
      <c r="U173" t="str">
        <v>938K</v>
      </c>
      <c r="V173" t="str">
        <v>10F</v>
      </c>
      <c r="W173">
        <v>24</v>
      </c>
    </row>
    <row r="174" spans="1:23" x14ac:dyDescent="0.3">
      <c r="A174" s="3" t="s">
        <v>460</v>
      </c>
      <c r="B174" s="3" t="s">
        <v>461</v>
      </c>
      <c r="C174" s="3" t="s">
        <v>404</v>
      </c>
      <c r="D174" s="3" t="s">
        <v>426</v>
      </c>
      <c r="E174" s="3">
        <v>62</v>
      </c>
      <c r="F174" s="3">
        <v>62</v>
      </c>
      <c r="G174" s="3">
        <v>47</v>
      </c>
      <c r="H174" s="3">
        <v>47</v>
      </c>
      <c r="K174" t="str">
        <v>98225F</v>
      </c>
      <c r="L174">
        <v>84</v>
      </c>
      <c r="N174" t="str">
        <v>66475C</v>
      </c>
      <c r="O174" t="str">
        <v>1258V</v>
      </c>
      <c r="P174">
        <v>62</v>
      </c>
      <c r="R174" t="str">
        <v>98225F</v>
      </c>
      <c r="S174">
        <v>84</v>
      </c>
      <c r="U174" t="str">
        <v>938R</v>
      </c>
      <c r="V174" t="str">
        <v>938A</v>
      </c>
      <c r="W174">
        <v>30</v>
      </c>
    </row>
    <row r="175" spans="1:23" x14ac:dyDescent="0.3">
      <c r="A175" s="3" t="s">
        <v>399</v>
      </c>
      <c r="B175" s="3" t="s">
        <v>387</v>
      </c>
      <c r="C175" s="3" t="s">
        <v>431</v>
      </c>
      <c r="D175" s="3" t="s">
        <v>407</v>
      </c>
      <c r="E175" s="3">
        <v>37</v>
      </c>
      <c r="F175" s="3">
        <v>37</v>
      </c>
      <c r="G175" s="3">
        <v>41</v>
      </c>
      <c r="H175" s="3">
        <v>41</v>
      </c>
      <c r="K175" t="str">
        <v>938J</v>
      </c>
      <c r="L175">
        <v>84</v>
      </c>
      <c r="N175" t="str">
        <v>47000X</v>
      </c>
      <c r="O175" t="str">
        <v>51581E</v>
      </c>
      <c r="P175">
        <v>37</v>
      </c>
      <c r="R175" t="str">
        <v>938J</v>
      </c>
      <c r="S175">
        <v>84</v>
      </c>
      <c r="U175" t="str">
        <v>44244N</v>
      </c>
      <c r="V175" t="str">
        <v>10T</v>
      </c>
      <c r="W175">
        <v>77</v>
      </c>
    </row>
    <row r="176" spans="1:23" x14ac:dyDescent="0.3">
      <c r="A176" s="3" t="s">
        <v>418</v>
      </c>
      <c r="B176" s="3" t="s">
        <v>389</v>
      </c>
      <c r="C176" s="3" t="s">
        <v>412</v>
      </c>
      <c r="D176" s="3" t="s">
        <v>394</v>
      </c>
      <c r="E176" s="3">
        <v>107</v>
      </c>
      <c r="F176" s="3">
        <v>107</v>
      </c>
      <c r="G176" s="3">
        <v>105</v>
      </c>
      <c r="H176" s="3">
        <v>105</v>
      </c>
      <c r="K176" t="str">
        <v>10Z</v>
      </c>
      <c r="L176">
        <v>67</v>
      </c>
      <c r="N176" t="str">
        <v>938H</v>
      </c>
      <c r="O176" t="str">
        <v>10C</v>
      </c>
      <c r="P176">
        <v>107</v>
      </c>
      <c r="R176" t="str">
        <v>10Z</v>
      </c>
      <c r="S176">
        <v>67</v>
      </c>
      <c r="U176" t="str">
        <v>6526H</v>
      </c>
      <c r="V176" t="str">
        <v>537K</v>
      </c>
      <c r="W176">
        <v>85</v>
      </c>
    </row>
    <row r="177" spans="1:23" x14ac:dyDescent="0.3">
      <c r="A177" s="3" t="s">
        <v>444</v>
      </c>
      <c r="B177" s="3" t="s">
        <v>438</v>
      </c>
      <c r="C177" s="3" t="s">
        <v>416</v>
      </c>
      <c r="D177" s="3" t="s">
        <v>422</v>
      </c>
      <c r="E177" s="3">
        <v>128</v>
      </c>
      <c r="F177" s="3">
        <v>128</v>
      </c>
      <c r="G177" s="3">
        <v>134</v>
      </c>
      <c r="H177" s="3">
        <v>134</v>
      </c>
      <c r="K177" t="str">
        <v>938M</v>
      </c>
      <c r="L177">
        <v>67</v>
      </c>
      <c r="N177" t="str">
        <v>8675V</v>
      </c>
      <c r="O177" t="str">
        <v>47874J</v>
      </c>
      <c r="P177">
        <v>128</v>
      </c>
      <c r="R177" t="str">
        <v>938M</v>
      </c>
      <c r="S177">
        <v>67</v>
      </c>
      <c r="U177" t="str">
        <v>8675F</v>
      </c>
      <c r="V177" t="str">
        <v>502A</v>
      </c>
      <c r="W177">
        <v>29</v>
      </c>
    </row>
    <row r="178" spans="1:23" x14ac:dyDescent="0.3">
      <c r="A178" s="3" t="s">
        <v>419</v>
      </c>
      <c r="B178" s="3" t="s">
        <v>428</v>
      </c>
      <c r="C178" s="3" t="s">
        <v>393</v>
      </c>
      <c r="D178" s="3" t="s">
        <v>402</v>
      </c>
      <c r="E178" s="3">
        <v>130</v>
      </c>
      <c r="F178" s="3">
        <v>130</v>
      </c>
      <c r="G178" s="3">
        <v>70</v>
      </c>
      <c r="H178" s="3">
        <v>70</v>
      </c>
      <c r="K178" t="str">
        <v>98548C</v>
      </c>
      <c r="L178">
        <v>53</v>
      </c>
      <c r="N178" t="str">
        <v>537K</v>
      </c>
      <c r="O178" t="str">
        <v>652A</v>
      </c>
      <c r="P178">
        <v>130</v>
      </c>
      <c r="R178" t="str">
        <v>98548C</v>
      </c>
      <c r="S178">
        <v>53</v>
      </c>
      <c r="U178" t="str">
        <v>7899B</v>
      </c>
      <c r="V178" t="str">
        <v>90385G</v>
      </c>
      <c r="W178">
        <v>111</v>
      </c>
    </row>
    <row r="179" spans="1:23" x14ac:dyDescent="0.3">
      <c r="A179" s="3" t="s">
        <v>437</v>
      </c>
      <c r="B179" s="3" t="s">
        <v>403</v>
      </c>
      <c r="C179" s="3" t="s">
        <v>447</v>
      </c>
      <c r="D179" s="3" t="s">
        <v>432</v>
      </c>
      <c r="E179" s="3">
        <v>98</v>
      </c>
      <c r="F179" s="3">
        <v>98</v>
      </c>
      <c r="G179" s="3">
        <v>27</v>
      </c>
      <c r="H179" s="3">
        <v>27</v>
      </c>
      <c r="K179" t="str">
        <v>7899A</v>
      </c>
      <c r="L179">
        <v>53</v>
      </c>
      <c r="N179" t="str">
        <v>16689A</v>
      </c>
      <c r="O179" t="str">
        <v>9364G</v>
      </c>
      <c r="P179">
        <v>98</v>
      </c>
      <c r="R179" t="str">
        <v>7899A</v>
      </c>
      <c r="S179">
        <v>53</v>
      </c>
      <c r="U179" t="str">
        <v>10012G</v>
      </c>
      <c r="V179" t="str">
        <v>47000X</v>
      </c>
      <c r="W179">
        <v>136</v>
      </c>
    </row>
    <row r="180" spans="1:23" x14ac:dyDescent="0.3">
      <c r="A180" s="3" t="s">
        <v>457</v>
      </c>
      <c r="B180" s="3" t="s">
        <v>427</v>
      </c>
      <c r="C180" s="3" t="s">
        <v>452</v>
      </c>
      <c r="D180" s="3" t="s">
        <v>417</v>
      </c>
      <c r="E180" s="3">
        <v>168</v>
      </c>
      <c r="F180" s="3">
        <v>168</v>
      </c>
      <c r="G180" s="3">
        <v>85</v>
      </c>
      <c r="H180" s="3">
        <v>85</v>
      </c>
      <c r="K180" t="str">
        <v>5327S</v>
      </c>
      <c r="L180">
        <v>105</v>
      </c>
      <c r="N180" t="str">
        <v>1023E</v>
      </c>
      <c r="O180" t="str">
        <v>9364C</v>
      </c>
      <c r="P180">
        <v>168</v>
      </c>
      <c r="R180" t="str">
        <v>5327S</v>
      </c>
      <c r="S180">
        <v>105</v>
      </c>
      <c r="U180" t="str">
        <v>609A</v>
      </c>
      <c r="V180" t="str">
        <v>66475C</v>
      </c>
      <c r="W180">
        <v>98</v>
      </c>
    </row>
    <row r="181" spans="1:23" x14ac:dyDescent="0.3">
      <c r="A181" s="3" t="s">
        <v>434</v>
      </c>
      <c r="B181" s="3" t="s">
        <v>458</v>
      </c>
      <c r="C181" s="3" t="s">
        <v>397</v>
      </c>
      <c r="D181" s="3" t="s">
        <v>461</v>
      </c>
      <c r="E181" s="3">
        <v>75</v>
      </c>
      <c r="F181" s="3">
        <v>75</v>
      </c>
      <c r="G181" s="3">
        <v>92</v>
      </c>
      <c r="H181" s="3">
        <v>92</v>
      </c>
      <c r="K181" t="str">
        <v>7700E</v>
      </c>
      <c r="L181">
        <v>105</v>
      </c>
      <c r="N181" t="str">
        <v>9805A</v>
      </c>
      <c r="O181" t="str">
        <v>917A</v>
      </c>
      <c r="P181">
        <v>75</v>
      </c>
      <c r="R181" t="str">
        <v>7700E</v>
      </c>
      <c r="S181">
        <v>105</v>
      </c>
      <c r="U181" t="str">
        <v>938U</v>
      </c>
      <c r="V181" t="str">
        <v>229V</v>
      </c>
      <c r="W181">
        <v>79</v>
      </c>
    </row>
    <row r="182" spans="1:23" x14ac:dyDescent="0.3">
      <c r="A182" s="3" t="s">
        <v>448</v>
      </c>
      <c r="B182" s="3" t="s">
        <v>429</v>
      </c>
      <c r="C182" s="3" t="s">
        <v>423</v>
      </c>
      <c r="D182" s="3" t="s">
        <v>436</v>
      </c>
      <c r="E182" s="3">
        <v>92</v>
      </c>
      <c r="F182" s="3">
        <v>92</v>
      </c>
      <c r="G182" s="3">
        <v>105</v>
      </c>
      <c r="H182" s="3">
        <v>105</v>
      </c>
      <c r="K182" t="str">
        <v>99621B</v>
      </c>
      <c r="L182">
        <v>95</v>
      </c>
      <c r="N182" t="str">
        <v>84141X</v>
      </c>
      <c r="O182" t="str">
        <v>10T</v>
      </c>
      <c r="P182">
        <v>92</v>
      </c>
      <c r="R182" t="str">
        <v>99621B</v>
      </c>
      <c r="S182">
        <v>95</v>
      </c>
      <c r="U182" t="str">
        <v>10X</v>
      </c>
      <c r="V182" t="str">
        <v>16689E</v>
      </c>
      <c r="W182">
        <v>116</v>
      </c>
    </row>
    <row r="183" spans="1:23" x14ac:dyDescent="0.3">
      <c r="A183" s="3" t="s">
        <v>433</v>
      </c>
      <c r="B183" s="3" t="s">
        <v>439</v>
      </c>
      <c r="C183" s="3" t="s">
        <v>396</v>
      </c>
      <c r="D183" s="3" t="s">
        <v>392</v>
      </c>
      <c r="E183" s="3">
        <v>70</v>
      </c>
      <c r="F183" s="3">
        <v>70</v>
      </c>
      <c r="G183" s="3">
        <v>110</v>
      </c>
      <c r="H183" s="3">
        <v>110</v>
      </c>
      <c r="K183" t="str">
        <v>1010W</v>
      </c>
      <c r="L183">
        <v>95</v>
      </c>
      <c r="N183" t="str">
        <v>10X</v>
      </c>
      <c r="O183" t="str">
        <v>938K</v>
      </c>
      <c r="P183">
        <v>70</v>
      </c>
      <c r="R183" t="str">
        <v>1010W</v>
      </c>
      <c r="S183">
        <v>95</v>
      </c>
      <c r="U183" t="str">
        <v>938H</v>
      </c>
      <c r="V183" t="str">
        <v>2681A</v>
      </c>
      <c r="W183">
        <v>57</v>
      </c>
    </row>
    <row r="184" spans="1:23" x14ac:dyDescent="0.3">
      <c r="A184" s="3" t="s">
        <v>454</v>
      </c>
      <c r="B184" s="3" t="s">
        <v>456</v>
      </c>
      <c r="C184" s="3" t="s">
        <v>421</v>
      </c>
      <c r="D184" s="3" t="s">
        <v>411</v>
      </c>
      <c r="E184" s="3">
        <v>53</v>
      </c>
      <c r="F184" s="3">
        <v>53</v>
      </c>
      <c r="G184" s="3">
        <v>115</v>
      </c>
      <c r="H184" s="3">
        <v>115</v>
      </c>
      <c r="K184" t="str">
        <v>3583A</v>
      </c>
      <c r="L184">
        <v>97</v>
      </c>
      <c r="N184" t="str">
        <v>7700H</v>
      </c>
      <c r="O184" t="str">
        <v>3512B</v>
      </c>
      <c r="P184">
        <v>53</v>
      </c>
      <c r="R184" t="str">
        <v>3583A</v>
      </c>
      <c r="S184">
        <v>97</v>
      </c>
      <c r="U184" t="str">
        <v>938X</v>
      </c>
      <c r="V184" t="str">
        <v>98040C</v>
      </c>
      <c r="W184">
        <v>86</v>
      </c>
    </row>
    <row r="185" spans="1:23" x14ac:dyDescent="0.3">
      <c r="A185" s="3" t="s">
        <v>390</v>
      </c>
      <c r="B185" s="3" t="s">
        <v>453</v>
      </c>
      <c r="C185" s="3" t="s">
        <v>408</v>
      </c>
      <c r="D185" s="3" t="s">
        <v>446</v>
      </c>
      <c r="E185" s="3">
        <v>93</v>
      </c>
      <c r="F185" s="3">
        <v>93</v>
      </c>
      <c r="G185" s="3">
        <v>115</v>
      </c>
      <c r="H185" s="3">
        <v>115</v>
      </c>
      <c r="K185" t="str">
        <v>938W</v>
      </c>
      <c r="L185">
        <v>97</v>
      </c>
      <c r="N185" t="str">
        <v>7784W</v>
      </c>
      <c r="O185" t="str">
        <v>5155A</v>
      </c>
      <c r="P185">
        <v>93</v>
      </c>
      <c r="R185" t="str">
        <v>938W</v>
      </c>
      <c r="S185">
        <v>97</v>
      </c>
      <c r="U185" t="str">
        <v>8675V</v>
      </c>
      <c r="V185" t="str">
        <v>917A</v>
      </c>
      <c r="W185">
        <v>67</v>
      </c>
    </row>
    <row r="186" spans="1:23" x14ac:dyDescent="0.3">
      <c r="A186" s="3" t="s">
        <v>413</v>
      </c>
      <c r="B186" s="3" t="s">
        <v>424</v>
      </c>
      <c r="C186" s="3" t="s">
        <v>460</v>
      </c>
      <c r="D186" s="3" t="s">
        <v>442</v>
      </c>
      <c r="E186" s="3">
        <v>65</v>
      </c>
      <c r="F186" s="3">
        <v>65</v>
      </c>
      <c r="G186" s="3">
        <v>57</v>
      </c>
      <c r="H186" s="3">
        <v>57</v>
      </c>
      <c r="K186" t="str">
        <v>10009A</v>
      </c>
      <c r="L186">
        <v>88</v>
      </c>
      <c r="N186" t="str">
        <v>938C</v>
      </c>
      <c r="O186" t="str">
        <v>502A</v>
      </c>
      <c r="P186">
        <v>65</v>
      </c>
      <c r="R186" t="str">
        <v>10009A</v>
      </c>
      <c r="S186">
        <v>88</v>
      </c>
      <c r="U186" t="str">
        <v>7784W</v>
      </c>
      <c r="V186" t="str">
        <v>9364G</v>
      </c>
      <c r="W186">
        <v>116</v>
      </c>
    </row>
    <row r="187" spans="1:23" x14ac:dyDescent="0.3">
      <c r="A187" s="3" t="s">
        <v>414</v>
      </c>
      <c r="B187" s="3" t="s">
        <v>449</v>
      </c>
      <c r="C187" s="3" t="s">
        <v>401</v>
      </c>
      <c r="D187" s="3" t="s">
        <v>451</v>
      </c>
      <c r="E187" s="3">
        <v>54</v>
      </c>
      <c r="F187" s="3">
        <v>54</v>
      </c>
      <c r="G187" s="3">
        <v>62</v>
      </c>
      <c r="H187" s="3">
        <v>62</v>
      </c>
      <c r="K187" t="str">
        <v>39313Z</v>
      </c>
      <c r="L187">
        <v>88</v>
      </c>
      <c r="N187" t="str">
        <v>884B</v>
      </c>
      <c r="O187" t="str">
        <v>98225M</v>
      </c>
      <c r="P187">
        <v>54</v>
      </c>
      <c r="R187" t="str">
        <v>39313Z</v>
      </c>
      <c r="S187">
        <v>88</v>
      </c>
      <c r="U187" t="str">
        <v>6526D</v>
      </c>
      <c r="V187" t="str">
        <v>1000A</v>
      </c>
      <c r="W187">
        <v>103</v>
      </c>
    </row>
    <row r="188" spans="1:23" x14ac:dyDescent="0.3">
      <c r="A188" s="3" t="s">
        <v>395</v>
      </c>
      <c r="B188" s="3" t="s">
        <v>409</v>
      </c>
      <c r="C188" s="3" t="s">
        <v>388</v>
      </c>
      <c r="D188" s="3" t="s">
        <v>441</v>
      </c>
      <c r="E188" s="3">
        <v>42</v>
      </c>
      <c r="F188" s="3">
        <v>42</v>
      </c>
      <c r="G188" s="3">
        <v>65</v>
      </c>
      <c r="H188" s="3">
        <v>65</v>
      </c>
      <c r="K188" t="str">
        <v>93199G</v>
      </c>
      <c r="L188">
        <v>26</v>
      </c>
      <c r="N188" t="str">
        <v>99621C</v>
      </c>
      <c r="O188" t="str">
        <v>16689E</v>
      </c>
      <c r="P188">
        <v>42</v>
      </c>
      <c r="R188" t="str">
        <v>93199G</v>
      </c>
      <c r="S188">
        <v>26</v>
      </c>
      <c r="U188" t="str">
        <v>7700H</v>
      </c>
      <c r="V188" t="str">
        <v>10M</v>
      </c>
      <c r="W188">
        <v>87</v>
      </c>
    </row>
    <row r="189" spans="1:23" x14ac:dyDescent="0.3">
      <c r="A189" s="3" t="s">
        <v>398</v>
      </c>
      <c r="B189" s="3" t="s">
        <v>443</v>
      </c>
      <c r="C189" s="3" t="s">
        <v>455</v>
      </c>
      <c r="D189" s="3" t="s">
        <v>406</v>
      </c>
      <c r="E189" s="3">
        <v>77</v>
      </c>
      <c r="F189" s="3">
        <v>77</v>
      </c>
      <c r="G189" s="3">
        <v>60</v>
      </c>
      <c r="H189" s="3">
        <v>60</v>
      </c>
      <c r="K189" t="str">
        <v>10E</v>
      </c>
      <c r="L189">
        <v>26</v>
      </c>
      <c r="N189" t="str">
        <v>938X</v>
      </c>
      <c r="O189" t="str">
        <v>609A</v>
      </c>
      <c r="P189">
        <v>77</v>
      </c>
      <c r="R189" t="str">
        <v>10E</v>
      </c>
      <c r="S189">
        <v>26</v>
      </c>
      <c r="U189" t="str">
        <v>1023E</v>
      </c>
      <c r="V189" t="str">
        <v>84141X</v>
      </c>
      <c r="W189">
        <v>78</v>
      </c>
    </row>
    <row r="190" spans="1:23" x14ac:dyDescent="0.3">
      <c r="A190" s="3" t="s">
        <v>439</v>
      </c>
      <c r="B190" s="3" t="s">
        <v>407</v>
      </c>
      <c r="C190" s="3" t="s">
        <v>461</v>
      </c>
      <c r="D190" s="3" t="s">
        <v>452</v>
      </c>
      <c r="E190" s="3">
        <v>24</v>
      </c>
      <c r="F190" s="3">
        <v>24</v>
      </c>
      <c r="G190" s="3">
        <v>80</v>
      </c>
      <c r="H190" s="3">
        <v>80</v>
      </c>
      <c r="K190" t="str">
        <v>3484X</v>
      </c>
      <c r="L190">
        <v>67</v>
      </c>
      <c r="N190" t="str">
        <v>938K</v>
      </c>
      <c r="O190" t="str">
        <v>10F</v>
      </c>
      <c r="P190">
        <v>24</v>
      </c>
      <c r="R190" t="str">
        <v>3484X</v>
      </c>
      <c r="S190">
        <v>67</v>
      </c>
      <c r="U190" t="str">
        <v>1168A</v>
      </c>
      <c r="V190" t="str">
        <v>938C</v>
      </c>
      <c r="W190">
        <v>123</v>
      </c>
    </row>
    <row r="191" spans="1:23" x14ac:dyDescent="0.3">
      <c r="A191" s="3" t="s">
        <v>431</v>
      </c>
      <c r="B191" s="3" t="s">
        <v>397</v>
      </c>
      <c r="C191" s="3" t="s">
        <v>427</v>
      </c>
      <c r="D191" s="3" t="s">
        <v>416</v>
      </c>
      <c r="E191" s="3">
        <v>30</v>
      </c>
      <c r="F191" s="3">
        <v>30</v>
      </c>
      <c r="G191" s="3">
        <v>174</v>
      </c>
      <c r="H191" s="3">
        <v>174</v>
      </c>
      <c r="K191" t="str">
        <v>61002G</v>
      </c>
      <c r="L191">
        <v>67</v>
      </c>
      <c r="N191" t="str">
        <v>938R</v>
      </c>
      <c r="O191" t="str">
        <v>938A</v>
      </c>
      <c r="P191">
        <v>30</v>
      </c>
      <c r="R191" t="str">
        <v>61002G</v>
      </c>
      <c r="S191">
        <v>67</v>
      </c>
      <c r="U191" t="str">
        <v>938F</v>
      </c>
      <c r="V191" t="str">
        <v>938N</v>
      </c>
      <c r="W191">
        <v>27</v>
      </c>
    </row>
    <row r="192" spans="1:23" x14ac:dyDescent="0.3">
      <c r="A192" s="3" t="s">
        <v>404</v>
      </c>
      <c r="B192" s="3" t="s">
        <v>429</v>
      </c>
      <c r="C192" s="3" t="s">
        <v>456</v>
      </c>
      <c r="D192" s="3" t="s">
        <v>387</v>
      </c>
      <c r="E192" s="3">
        <v>77</v>
      </c>
      <c r="F192" s="3">
        <v>77</v>
      </c>
      <c r="G192" s="3">
        <v>68</v>
      </c>
      <c r="H192" s="3">
        <v>68</v>
      </c>
      <c r="K192" t="str">
        <v>16689D</v>
      </c>
      <c r="L192">
        <v>49</v>
      </c>
      <c r="N192" t="str">
        <v>44244N</v>
      </c>
      <c r="O192" t="str">
        <v>10T</v>
      </c>
      <c r="P192">
        <v>77</v>
      </c>
      <c r="R192" t="str">
        <v>16689D</v>
      </c>
      <c r="S192">
        <v>49</v>
      </c>
      <c r="U192" t="str">
        <v>99621C</v>
      </c>
      <c r="V192" t="str">
        <v>99621A</v>
      </c>
      <c r="W192">
        <v>112</v>
      </c>
    </row>
    <row r="193" spans="1:23" x14ac:dyDescent="0.3">
      <c r="A193" s="3" t="s">
        <v>408</v>
      </c>
      <c r="B193" s="3" t="s">
        <v>419</v>
      </c>
      <c r="C193" s="3" t="s">
        <v>426</v>
      </c>
      <c r="D193" s="3" t="s">
        <v>447</v>
      </c>
      <c r="E193" s="3">
        <v>85</v>
      </c>
      <c r="F193" s="3">
        <v>85</v>
      </c>
      <c r="G193" s="3">
        <v>75</v>
      </c>
      <c r="H193" s="3">
        <v>75</v>
      </c>
      <c r="K193" t="str">
        <v>10S</v>
      </c>
      <c r="L193">
        <v>49</v>
      </c>
      <c r="N193" t="str">
        <v>6526H</v>
      </c>
      <c r="O193" t="str">
        <v>537K</v>
      </c>
      <c r="P193">
        <v>85</v>
      </c>
      <c r="R193" t="str">
        <v>10S</v>
      </c>
      <c r="S193">
        <v>49</v>
      </c>
      <c r="U193" t="str">
        <v>8675F</v>
      </c>
      <c r="V193" t="str">
        <v>3512E</v>
      </c>
      <c r="W193">
        <v>47</v>
      </c>
    </row>
    <row r="194" spans="1:23" x14ac:dyDescent="0.3">
      <c r="A194" s="3" t="s">
        <v>392</v>
      </c>
      <c r="B194" s="3" t="s">
        <v>424</v>
      </c>
      <c r="C194" s="3" t="s">
        <v>436</v>
      </c>
      <c r="D194" s="3" t="s">
        <v>428</v>
      </c>
      <c r="E194" s="3">
        <v>29</v>
      </c>
      <c r="F194" s="3">
        <v>29</v>
      </c>
      <c r="G194" s="3">
        <v>129</v>
      </c>
      <c r="H194" s="3">
        <v>129</v>
      </c>
      <c r="K194" t="str">
        <v>47874R</v>
      </c>
      <c r="L194">
        <v>71</v>
      </c>
      <c r="N194" t="str">
        <v>8675F</v>
      </c>
      <c r="O194" t="str">
        <v>502A</v>
      </c>
      <c r="P194">
        <v>29</v>
      </c>
      <c r="R194" t="str">
        <v>47874R</v>
      </c>
      <c r="S194">
        <v>71</v>
      </c>
      <c r="U194" t="str">
        <v>6526H</v>
      </c>
      <c r="V194" t="str">
        <v>6526D</v>
      </c>
      <c r="W194">
        <v>100</v>
      </c>
    </row>
    <row r="195" spans="1:23" x14ac:dyDescent="0.3">
      <c r="A195" s="3" t="s">
        <v>401</v>
      </c>
      <c r="B195" s="3" t="s">
        <v>388</v>
      </c>
      <c r="C195" s="3" t="s">
        <v>413</v>
      </c>
      <c r="D195" s="3" t="s">
        <v>457</v>
      </c>
      <c r="E195" s="3">
        <v>111</v>
      </c>
      <c r="F195" s="3">
        <v>111</v>
      </c>
      <c r="G195" s="3">
        <v>120</v>
      </c>
      <c r="H195" s="3">
        <v>120</v>
      </c>
      <c r="K195" t="str">
        <v>938E</v>
      </c>
      <c r="L195">
        <v>71</v>
      </c>
      <c r="N195" t="str">
        <v>7899B</v>
      </c>
      <c r="O195" t="str">
        <v>90385G</v>
      </c>
      <c r="P195">
        <v>111</v>
      </c>
      <c r="R195" t="str">
        <v>938E</v>
      </c>
      <c r="S195">
        <v>71</v>
      </c>
      <c r="U195" t="str">
        <v>5155A</v>
      </c>
      <c r="V195" t="str">
        <v>537K</v>
      </c>
      <c r="W195">
        <v>109</v>
      </c>
    </row>
    <row r="196" spans="1:23" x14ac:dyDescent="0.3">
      <c r="A196" s="3" t="s">
        <v>421</v>
      </c>
      <c r="B196" s="3" t="s">
        <v>399</v>
      </c>
      <c r="C196" s="3" t="s">
        <v>448</v>
      </c>
      <c r="D196" s="3" t="s">
        <v>432</v>
      </c>
      <c r="E196" s="3">
        <v>136</v>
      </c>
      <c r="F196" s="3">
        <v>136</v>
      </c>
      <c r="G196" s="3">
        <v>137</v>
      </c>
      <c r="H196" s="3">
        <v>137</v>
      </c>
      <c r="K196" t="str">
        <v>886N</v>
      </c>
      <c r="L196">
        <v>138</v>
      </c>
      <c r="N196" t="str">
        <v>10012G</v>
      </c>
      <c r="O196" t="str">
        <v>47000X</v>
      </c>
      <c r="P196">
        <v>136</v>
      </c>
      <c r="R196" t="str">
        <v>886N</v>
      </c>
      <c r="S196">
        <v>138</v>
      </c>
      <c r="U196" t="str">
        <v>652A</v>
      </c>
      <c r="V196" t="str">
        <v>2681A</v>
      </c>
      <c r="W196">
        <v>100</v>
      </c>
    </row>
    <row r="197" spans="1:23" x14ac:dyDescent="0.3">
      <c r="A197" s="3" t="s">
        <v>443</v>
      </c>
      <c r="B197" s="3" t="s">
        <v>460</v>
      </c>
      <c r="C197" s="3" t="s">
        <v>411</v>
      </c>
      <c r="D197" s="3" t="s">
        <v>434</v>
      </c>
      <c r="E197" s="3">
        <v>98</v>
      </c>
      <c r="F197" s="3">
        <v>98</v>
      </c>
      <c r="G197" s="3">
        <v>22</v>
      </c>
      <c r="H197" s="3">
        <v>22</v>
      </c>
      <c r="K197" t="str">
        <v>938T</v>
      </c>
      <c r="L197">
        <v>138</v>
      </c>
      <c r="N197" t="str">
        <v>609A</v>
      </c>
      <c r="O197" t="str">
        <v>66475C</v>
      </c>
      <c r="P197">
        <v>98</v>
      </c>
      <c r="R197" t="str">
        <v>938T</v>
      </c>
      <c r="S197">
        <v>138</v>
      </c>
      <c r="U197" t="str">
        <v>5327K</v>
      </c>
      <c r="V197" t="str">
        <v>1687C</v>
      </c>
      <c r="W197">
        <v>80</v>
      </c>
    </row>
    <row r="198" spans="1:23" x14ac:dyDescent="0.3">
      <c r="A198" s="3" t="s">
        <v>423</v>
      </c>
      <c r="B198" s="3" t="s">
        <v>446</v>
      </c>
      <c r="C198" s="3" t="s">
        <v>455</v>
      </c>
      <c r="D198" s="3" t="s">
        <v>396</v>
      </c>
      <c r="E198" s="3">
        <v>79</v>
      </c>
      <c r="F198" s="3">
        <v>79</v>
      </c>
      <c r="G198" s="3">
        <v>65</v>
      </c>
      <c r="H198" s="3">
        <v>65</v>
      </c>
      <c r="K198" t="str">
        <v>2605B</v>
      </c>
      <c r="L198">
        <v>63</v>
      </c>
      <c r="N198" t="str">
        <v>938U</v>
      </c>
      <c r="O198" t="str">
        <v>229V</v>
      </c>
      <c r="P198">
        <v>79</v>
      </c>
      <c r="R198" t="str">
        <v>2605B</v>
      </c>
      <c r="S198">
        <v>63</v>
      </c>
      <c r="U198" t="str">
        <v>98225M</v>
      </c>
      <c r="V198" t="str">
        <v>84141A</v>
      </c>
      <c r="W198">
        <v>51</v>
      </c>
    </row>
    <row r="199" spans="1:23" x14ac:dyDescent="0.3">
      <c r="A199" s="3" t="s">
        <v>433</v>
      </c>
      <c r="B199" s="3" t="s">
        <v>409</v>
      </c>
      <c r="C199" s="3" t="s">
        <v>451</v>
      </c>
      <c r="D199" s="3" t="s">
        <v>417</v>
      </c>
      <c r="E199" s="3">
        <v>116</v>
      </c>
      <c r="F199" s="3">
        <v>116</v>
      </c>
      <c r="G199" s="3">
        <v>62</v>
      </c>
      <c r="H199" s="3">
        <v>62</v>
      </c>
      <c r="K199" t="str">
        <v>6526E</v>
      </c>
      <c r="L199">
        <v>63</v>
      </c>
      <c r="N199" t="str">
        <v>10X</v>
      </c>
      <c r="O199" t="str">
        <v>16689E</v>
      </c>
      <c r="P199">
        <v>116</v>
      </c>
      <c r="R199" t="str">
        <v>6526E</v>
      </c>
      <c r="S199">
        <v>63</v>
      </c>
      <c r="U199" t="str">
        <v>10M</v>
      </c>
      <c r="V199" t="str">
        <v>938U</v>
      </c>
      <c r="W199">
        <v>64</v>
      </c>
    </row>
    <row r="200" spans="1:23" x14ac:dyDescent="0.3">
      <c r="A200" s="3" t="s">
        <v>418</v>
      </c>
      <c r="B200" s="3" t="s">
        <v>406</v>
      </c>
      <c r="C200" s="3" t="s">
        <v>393</v>
      </c>
      <c r="D200" s="3" t="s">
        <v>414</v>
      </c>
      <c r="E200" s="3">
        <v>57</v>
      </c>
      <c r="F200" s="3">
        <v>57</v>
      </c>
      <c r="G200" s="3">
        <v>95</v>
      </c>
      <c r="H200" s="3">
        <v>95</v>
      </c>
      <c r="K200" t="str">
        <v>938B</v>
      </c>
      <c r="L200">
        <v>78</v>
      </c>
      <c r="N200" t="str">
        <v>938H</v>
      </c>
      <c r="O200" t="str">
        <v>2681A</v>
      </c>
      <c r="P200">
        <v>57</v>
      </c>
      <c r="R200" t="str">
        <v>938B</v>
      </c>
      <c r="S200">
        <v>78</v>
      </c>
      <c r="U200" t="str">
        <v>16689Z</v>
      </c>
      <c r="V200" t="str">
        <v>10A</v>
      </c>
      <c r="W200">
        <v>63</v>
      </c>
    </row>
    <row r="201" spans="1:23" x14ac:dyDescent="0.3">
      <c r="A201" s="3" t="s">
        <v>398</v>
      </c>
      <c r="B201" s="3" t="s">
        <v>422</v>
      </c>
      <c r="C201" s="3" t="s">
        <v>437</v>
      </c>
      <c r="D201" s="3" t="s">
        <v>402</v>
      </c>
      <c r="E201" s="3">
        <v>86</v>
      </c>
      <c r="F201" s="3">
        <v>86</v>
      </c>
      <c r="G201" s="3">
        <v>89</v>
      </c>
      <c r="H201" s="3">
        <v>89</v>
      </c>
      <c r="K201" t="str">
        <v>10W</v>
      </c>
      <c r="L201">
        <v>78</v>
      </c>
      <c r="N201" t="str">
        <v>938X</v>
      </c>
      <c r="O201" t="str">
        <v>98040C</v>
      </c>
      <c r="P201">
        <v>86</v>
      </c>
      <c r="R201" t="str">
        <v>10W</v>
      </c>
      <c r="S201">
        <v>78</v>
      </c>
      <c r="U201" t="str">
        <v>938K</v>
      </c>
      <c r="V201" t="str">
        <v>9805A</v>
      </c>
      <c r="W201">
        <v>56</v>
      </c>
    </row>
    <row r="202" spans="1:23" x14ac:dyDescent="0.3">
      <c r="A202" s="3" t="s">
        <v>444</v>
      </c>
      <c r="B202" s="3" t="s">
        <v>458</v>
      </c>
      <c r="C202" s="3" t="s">
        <v>395</v>
      </c>
      <c r="D202" s="3" t="s">
        <v>389</v>
      </c>
      <c r="E202" s="3">
        <v>67</v>
      </c>
      <c r="F202" s="3">
        <v>67</v>
      </c>
      <c r="G202" s="3">
        <v>119</v>
      </c>
      <c r="H202" s="3">
        <v>119</v>
      </c>
      <c r="K202" t="str">
        <v>10K</v>
      </c>
      <c r="L202">
        <v>140</v>
      </c>
      <c r="N202" t="str">
        <v>8675V</v>
      </c>
      <c r="O202" t="str">
        <v>917A</v>
      </c>
      <c r="P202">
        <v>67</v>
      </c>
      <c r="R202" t="str">
        <v>10K</v>
      </c>
      <c r="S202">
        <v>140</v>
      </c>
      <c r="U202" t="str">
        <v>47874J</v>
      </c>
      <c r="V202" t="str">
        <v>10J</v>
      </c>
      <c r="W202">
        <v>77</v>
      </c>
    </row>
    <row r="203" spans="1:23" x14ac:dyDescent="0.3">
      <c r="A203" s="3" t="s">
        <v>390</v>
      </c>
      <c r="B203" s="3" t="s">
        <v>403</v>
      </c>
      <c r="C203" s="3" t="s">
        <v>449</v>
      </c>
      <c r="D203" s="3" t="s">
        <v>442</v>
      </c>
      <c r="E203" s="3">
        <v>116</v>
      </c>
      <c r="F203" s="3">
        <v>116</v>
      </c>
      <c r="G203" s="3">
        <v>64</v>
      </c>
      <c r="H203" s="3">
        <v>64</v>
      </c>
      <c r="K203" t="str">
        <v>8675R</v>
      </c>
      <c r="L203">
        <v>140</v>
      </c>
      <c r="N203" t="str">
        <v>7784W</v>
      </c>
      <c r="O203" t="str">
        <v>9364G</v>
      </c>
      <c r="P203">
        <v>116</v>
      </c>
      <c r="R203" t="str">
        <v>8675R</v>
      </c>
      <c r="S203">
        <v>140</v>
      </c>
      <c r="U203" t="str">
        <v>10C</v>
      </c>
      <c r="V203" t="str">
        <v>884B</v>
      </c>
      <c r="W203">
        <v>98</v>
      </c>
    </row>
    <row r="204" spans="1:23" x14ac:dyDescent="0.3">
      <c r="A204" s="3" t="s">
        <v>412</v>
      </c>
      <c r="B204" s="3" t="s">
        <v>441</v>
      </c>
      <c r="C204" s="3" t="s">
        <v>438</v>
      </c>
      <c r="D204" s="3" t="s">
        <v>453</v>
      </c>
      <c r="E204" s="3">
        <v>103</v>
      </c>
      <c r="F204" s="3">
        <v>103</v>
      </c>
      <c r="G204" s="3">
        <v>75</v>
      </c>
      <c r="H204" s="3">
        <v>75</v>
      </c>
      <c r="K204" t="str">
        <v>7700P</v>
      </c>
      <c r="L204">
        <v>81</v>
      </c>
      <c r="N204" t="str">
        <v>6526D</v>
      </c>
      <c r="O204" t="str">
        <v>1000A</v>
      </c>
      <c r="P204">
        <v>103</v>
      </c>
      <c r="R204" t="str">
        <v>7700P</v>
      </c>
      <c r="S204">
        <v>81</v>
      </c>
      <c r="U204" t="str">
        <v>8675V</v>
      </c>
      <c r="V204" t="str">
        <v>99621A</v>
      </c>
      <c r="W204">
        <v>57</v>
      </c>
    </row>
    <row r="205" spans="1:23" x14ac:dyDescent="0.3">
      <c r="A205" s="3" t="s">
        <v>454</v>
      </c>
      <c r="B205" s="3" t="s">
        <v>394</v>
      </c>
      <c r="C205" s="3" t="s">
        <v>443</v>
      </c>
      <c r="D205" s="3" t="s">
        <v>461</v>
      </c>
      <c r="E205" s="3">
        <v>87</v>
      </c>
      <c r="F205" s="3">
        <v>87</v>
      </c>
      <c r="G205" s="3">
        <v>97</v>
      </c>
      <c r="H205" s="3">
        <v>97</v>
      </c>
      <c r="K205" t="str">
        <v>8931R</v>
      </c>
      <c r="L205">
        <v>81</v>
      </c>
      <c r="N205" t="str">
        <v>7700H</v>
      </c>
      <c r="O205" t="str">
        <v>10M</v>
      </c>
      <c r="P205">
        <v>87</v>
      </c>
      <c r="R205" t="str">
        <v>8931R</v>
      </c>
      <c r="S205">
        <v>81</v>
      </c>
      <c r="U205" t="str">
        <v>652A</v>
      </c>
      <c r="V205" t="str">
        <v>938H</v>
      </c>
      <c r="W205">
        <v>123</v>
      </c>
    </row>
    <row r="206" spans="1:23" x14ac:dyDescent="0.3">
      <c r="A206" s="3" t="s">
        <v>457</v>
      </c>
      <c r="B206" s="3" t="s">
        <v>448</v>
      </c>
      <c r="C206" s="3" t="s">
        <v>460</v>
      </c>
      <c r="D206" s="3" t="s">
        <v>396</v>
      </c>
      <c r="E206" s="3">
        <v>78</v>
      </c>
      <c r="F206" s="3">
        <v>78</v>
      </c>
      <c r="G206" s="3">
        <v>102</v>
      </c>
      <c r="H206" s="3">
        <v>102</v>
      </c>
      <c r="K206" t="str">
        <v>51581S</v>
      </c>
      <c r="L206">
        <v>98</v>
      </c>
      <c r="N206" t="str">
        <v>1023E</v>
      </c>
      <c r="O206" t="str">
        <v>84141X</v>
      </c>
      <c r="P206">
        <v>78</v>
      </c>
      <c r="R206" t="str">
        <v>51581S</v>
      </c>
      <c r="S206">
        <v>98</v>
      </c>
      <c r="U206" t="str">
        <v>9364G</v>
      </c>
      <c r="V206" t="str">
        <v>10012G</v>
      </c>
      <c r="W206">
        <v>135</v>
      </c>
    </row>
    <row r="207" spans="1:23" x14ac:dyDescent="0.3">
      <c r="A207" s="3" t="s">
        <v>436</v>
      </c>
      <c r="B207" s="3" t="s">
        <v>413</v>
      </c>
      <c r="C207" s="3" t="s">
        <v>418</v>
      </c>
      <c r="D207" s="3" t="s">
        <v>433</v>
      </c>
      <c r="E207" s="3">
        <v>123</v>
      </c>
      <c r="F207" s="3">
        <v>123</v>
      </c>
      <c r="G207" s="3">
        <v>87</v>
      </c>
      <c r="H207" s="3">
        <v>87</v>
      </c>
      <c r="K207" t="str">
        <v>1248X</v>
      </c>
      <c r="L207">
        <v>98</v>
      </c>
      <c r="N207" t="str">
        <v>1168A</v>
      </c>
      <c r="O207" t="str">
        <v>938C</v>
      </c>
      <c r="P207">
        <v>123</v>
      </c>
      <c r="R207" t="str">
        <v>1248X</v>
      </c>
      <c r="S207">
        <v>98</v>
      </c>
      <c r="U207" t="str">
        <v>5327K</v>
      </c>
      <c r="V207" t="str">
        <v>10X</v>
      </c>
      <c r="W207">
        <v>72</v>
      </c>
    </row>
    <row r="208" spans="1:23" x14ac:dyDescent="0.3">
      <c r="A208" s="3" t="s">
        <v>393</v>
      </c>
      <c r="B208" s="3" t="s">
        <v>451</v>
      </c>
      <c r="C208" s="3" t="s">
        <v>437</v>
      </c>
      <c r="D208" s="3" t="s">
        <v>446</v>
      </c>
      <c r="E208" s="3">
        <v>27</v>
      </c>
      <c r="F208" s="3">
        <v>27</v>
      </c>
      <c r="G208" s="3">
        <v>130</v>
      </c>
      <c r="H208" s="3">
        <v>130</v>
      </c>
      <c r="K208" t="str">
        <v>938M</v>
      </c>
      <c r="L208">
        <v>115</v>
      </c>
      <c r="N208" t="str">
        <v>938F</v>
      </c>
      <c r="O208" t="str">
        <v>938N</v>
      </c>
      <c r="P208">
        <v>27</v>
      </c>
      <c r="R208" t="str">
        <v>938M</v>
      </c>
      <c r="S208">
        <v>115</v>
      </c>
      <c r="U208" t="str">
        <v>1698Y</v>
      </c>
      <c r="V208" t="str">
        <v>1687C</v>
      </c>
      <c r="W208">
        <v>135</v>
      </c>
    </row>
    <row r="209" spans="1:23" x14ac:dyDescent="0.3">
      <c r="A209" s="3" t="s">
        <v>395</v>
      </c>
      <c r="B209" s="3" t="s">
        <v>417</v>
      </c>
      <c r="C209" s="3" t="s">
        <v>401</v>
      </c>
      <c r="D209" s="3" t="s">
        <v>422</v>
      </c>
      <c r="E209" s="3">
        <v>112</v>
      </c>
      <c r="F209" s="3">
        <v>112</v>
      </c>
      <c r="G209" s="3">
        <v>125</v>
      </c>
      <c r="H209" s="3">
        <v>125</v>
      </c>
      <c r="K209" t="str">
        <v>5233J</v>
      </c>
      <c r="L209">
        <v>115</v>
      </c>
      <c r="N209" t="str">
        <v>99621C</v>
      </c>
      <c r="O209" t="str">
        <v>99621A</v>
      </c>
      <c r="P209">
        <v>112</v>
      </c>
      <c r="R209" t="str">
        <v>5233J</v>
      </c>
      <c r="S209">
        <v>115</v>
      </c>
      <c r="U209" t="str">
        <v>938N</v>
      </c>
      <c r="V209" t="str">
        <v>9805A</v>
      </c>
      <c r="W209">
        <v>49</v>
      </c>
    </row>
    <row r="210" spans="1:23" x14ac:dyDescent="0.3">
      <c r="A210" s="3" t="s">
        <v>392</v>
      </c>
      <c r="B210" s="3" t="s">
        <v>452</v>
      </c>
      <c r="C210" s="3" t="s">
        <v>398</v>
      </c>
      <c r="D210" s="3" t="s">
        <v>390</v>
      </c>
      <c r="E210" s="3">
        <v>47</v>
      </c>
      <c r="F210" s="3">
        <v>47</v>
      </c>
      <c r="G210" s="3">
        <v>53</v>
      </c>
      <c r="H210" s="3">
        <v>53</v>
      </c>
      <c r="K210" t="str">
        <v>1091A</v>
      </c>
      <c r="L210">
        <v>93</v>
      </c>
      <c r="N210" t="str">
        <v>8675F</v>
      </c>
      <c r="O210" t="str">
        <v>3512E</v>
      </c>
      <c r="P210">
        <v>47</v>
      </c>
      <c r="R210" t="str">
        <v>1091A</v>
      </c>
      <c r="S210">
        <v>93</v>
      </c>
      <c r="U210" t="str">
        <v>938A</v>
      </c>
      <c r="V210" t="str">
        <v>84141X</v>
      </c>
      <c r="W210">
        <v>82</v>
      </c>
    </row>
    <row r="211" spans="1:23" x14ac:dyDescent="0.3">
      <c r="A211" s="3" t="s">
        <v>408</v>
      </c>
      <c r="B211" s="3" t="s">
        <v>412</v>
      </c>
      <c r="C211" s="3" t="s">
        <v>429</v>
      </c>
      <c r="D211" s="3" t="s">
        <v>397</v>
      </c>
      <c r="E211" s="3">
        <v>100</v>
      </c>
      <c r="F211" s="3">
        <v>100</v>
      </c>
      <c r="G211" s="3">
        <v>71</v>
      </c>
      <c r="H211" s="3">
        <v>71</v>
      </c>
      <c r="K211" t="str">
        <v>11101B</v>
      </c>
      <c r="L211">
        <v>93</v>
      </c>
      <c r="N211" t="str">
        <v>6526H</v>
      </c>
      <c r="O211" t="str">
        <v>6526D</v>
      </c>
      <c r="P211">
        <v>100</v>
      </c>
      <c r="R211" t="str">
        <v>11101B</v>
      </c>
      <c r="S211">
        <v>93</v>
      </c>
      <c r="U211" t="str">
        <v>1258V</v>
      </c>
      <c r="V211" t="str">
        <v>5155A</v>
      </c>
      <c r="W211">
        <v>97</v>
      </c>
    </row>
    <row r="212" spans="1:23" x14ac:dyDescent="0.3">
      <c r="A212" s="3" t="s">
        <v>453</v>
      </c>
      <c r="B212" s="3" t="s">
        <v>419</v>
      </c>
      <c r="C212" s="3" t="s">
        <v>427</v>
      </c>
      <c r="D212" s="3" t="s">
        <v>444</v>
      </c>
      <c r="E212" s="3">
        <v>109</v>
      </c>
      <c r="F212" s="3">
        <v>109</v>
      </c>
      <c r="G212" s="3">
        <v>109</v>
      </c>
      <c r="H212" s="3">
        <v>109</v>
      </c>
      <c r="K212" t="str">
        <v>9364D</v>
      </c>
      <c r="L212">
        <v>80</v>
      </c>
      <c r="N212" t="str">
        <v>5155A</v>
      </c>
      <c r="O212" t="str">
        <v>537K</v>
      </c>
      <c r="P212">
        <v>109</v>
      </c>
      <c r="R212" t="str">
        <v>9364D</v>
      </c>
      <c r="S212">
        <v>80</v>
      </c>
      <c r="U212" t="str">
        <v>10J</v>
      </c>
      <c r="V212" t="str">
        <v>3512E</v>
      </c>
      <c r="W212">
        <v>82</v>
      </c>
    </row>
    <row r="213" spans="1:23" x14ac:dyDescent="0.3">
      <c r="A213" s="3" t="s">
        <v>428</v>
      </c>
      <c r="B213" s="3" t="s">
        <v>406</v>
      </c>
      <c r="C213" s="3" t="s">
        <v>431</v>
      </c>
      <c r="D213" s="3" t="s">
        <v>441</v>
      </c>
      <c r="E213" s="3">
        <v>100</v>
      </c>
      <c r="F213" s="3">
        <v>100</v>
      </c>
      <c r="G213" s="3">
        <v>70</v>
      </c>
      <c r="H213" s="3">
        <v>70</v>
      </c>
      <c r="K213" t="str">
        <v>10B</v>
      </c>
      <c r="L213">
        <v>80</v>
      </c>
      <c r="N213" t="str">
        <v>652A</v>
      </c>
      <c r="O213" t="str">
        <v>2681A</v>
      </c>
      <c r="P213">
        <v>100</v>
      </c>
      <c r="R213" t="str">
        <v>10B</v>
      </c>
      <c r="S213">
        <v>80</v>
      </c>
      <c r="U213" t="str">
        <v>51777H</v>
      </c>
      <c r="V213" t="str">
        <v>16689Z</v>
      </c>
      <c r="W213">
        <v>67</v>
      </c>
    </row>
    <row r="214" spans="1:23" x14ac:dyDescent="0.3">
      <c r="A214" s="3" t="s">
        <v>442</v>
      </c>
      <c r="B214" s="3" t="s">
        <v>416</v>
      </c>
      <c r="C214" s="3" t="s">
        <v>407</v>
      </c>
      <c r="D214" s="3" t="s">
        <v>404</v>
      </c>
      <c r="E214" s="3">
        <v>80</v>
      </c>
      <c r="F214" s="3">
        <v>80</v>
      </c>
      <c r="G214" s="3">
        <v>60</v>
      </c>
      <c r="H214" s="3">
        <v>60</v>
      </c>
      <c r="K214" t="str">
        <v>609B</v>
      </c>
      <c r="L214">
        <v>27</v>
      </c>
      <c r="N214" t="str">
        <v>5327K</v>
      </c>
      <c r="O214" t="str">
        <v>1687C</v>
      </c>
      <c r="P214">
        <v>80</v>
      </c>
      <c r="R214" t="str">
        <v>609B</v>
      </c>
      <c r="S214">
        <v>27</v>
      </c>
      <c r="U214" t="str">
        <v>44244N</v>
      </c>
      <c r="V214" t="str">
        <v>98225M</v>
      </c>
      <c r="W214">
        <v>97</v>
      </c>
    </row>
    <row r="215" spans="1:23" x14ac:dyDescent="0.3">
      <c r="A215" s="3" t="s">
        <v>449</v>
      </c>
      <c r="B215" s="3" t="s">
        <v>402</v>
      </c>
      <c r="C215" s="3" t="s">
        <v>421</v>
      </c>
      <c r="D215" s="3" t="s">
        <v>426</v>
      </c>
      <c r="E215" s="3">
        <v>51</v>
      </c>
      <c r="F215" s="3">
        <v>51</v>
      </c>
      <c r="G215" s="3">
        <v>168</v>
      </c>
      <c r="H215" s="3">
        <v>168</v>
      </c>
      <c r="K215" t="str">
        <v>99621H</v>
      </c>
      <c r="L215">
        <v>27</v>
      </c>
      <c r="N215" t="str">
        <v>98225M</v>
      </c>
      <c r="O215" t="str">
        <v>84141A</v>
      </c>
      <c r="P215">
        <v>51</v>
      </c>
      <c r="R215" t="str">
        <v>99621H</v>
      </c>
      <c r="S215">
        <v>27</v>
      </c>
      <c r="U215" t="str">
        <v>99621C</v>
      </c>
      <c r="V215" t="str">
        <v>1168A</v>
      </c>
      <c r="W215">
        <v>90</v>
      </c>
    </row>
    <row r="216" spans="1:23" x14ac:dyDescent="0.3">
      <c r="A216" s="3" t="s">
        <v>394</v>
      </c>
      <c r="B216" s="3" t="s">
        <v>423</v>
      </c>
      <c r="C216" s="3" t="s">
        <v>403</v>
      </c>
      <c r="D216" s="3" t="s">
        <v>458</v>
      </c>
      <c r="E216" s="3">
        <v>64</v>
      </c>
      <c r="F216" s="3">
        <v>64</v>
      </c>
      <c r="G216" s="3">
        <v>60</v>
      </c>
      <c r="H216" s="3">
        <v>60</v>
      </c>
      <c r="K216" t="str">
        <v>1010W</v>
      </c>
      <c r="L216">
        <v>118</v>
      </c>
      <c r="N216" t="str">
        <v>10M</v>
      </c>
      <c r="O216" t="str">
        <v>938U</v>
      </c>
      <c r="P216">
        <v>64</v>
      </c>
      <c r="R216" t="str">
        <v>1010W</v>
      </c>
      <c r="S216">
        <v>118</v>
      </c>
      <c r="U216" t="str">
        <v>7784W</v>
      </c>
      <c r="V216" t="str">
        <v>884B</v>
      </c>
      <c r="W216">
        <v>107</v>
      </c>
    </row>
    <row r="217" spans="1:23" x14ac:dyDescent="0.3">
      <c r="A217" s="3" t="s">
        <v>432</v>
      </c>
      <c r="B217" s="3" t="s">
        <v>455</v>
      </c>
      <c r="C217" s="3" t="s">
        <v>424</v>
      </c>
      <c r="D217" s="3" t="s">
        <v>387</v>
      </c>
      <c r="E217" s="3">
        <v>63</v>
      </c>
      <c r="F217" s="3">
        <v>63</v>
      </c>
      <c r="G217" s="3">
        <v>106</v>
      </c>
      <c r="H217" s="3">
        <v>106</v>
      </c>
      <c r="K217" t="str">
        <v>39313Z</v>
      </c>
      <c r="L217">
        <v>118</v>
      </c>
      <c r="N217" t="str">
        <v>16689Z</v>
      </c>
      <c r="O217" t="str">
        <v>10A</v>
      </c>
      <c r="P217">
        <v>63</v>
      </c>
      <c r="R217" t="str">
        <v>39313Z</v>
      </c>
      <c r="S217">
        <v>118</v>
      </c>
      <c r="U217" t="str">
        <v>938F</v>
      </c>
      <c r="V217" t="str">
        <v>47000X</v>
      </c>
      <c r="W217">
        <v>114</v>
      </c>
    </row>
    <row r="218" spans="1:23" x14ac:dyDescent="0.3">
      <c r="A218" s="3" t="s">
        <v>439</v>
      </c>
      <c r="B218" s="3" t="s">
        <v>434</v>
      </c>
      <c r="C218" s="3" t="s">
        <v>456</v>
      </c>
      <c r="D218" s="3" t="s">
        <v>388</v>
      </c>
      <c r="E218" s="3">
        <v>56</v>
      </c>
      <c r="F218" s="3">
        <v>56</v>
      </c>
      <c r="G218" s="3">
        <v>56</v>
      </c>
      <c r="H218" s="3">
        <v>56</v>
      </c>
      <c r="K218" t="str">
        <v>502X</v>
      </c>
      <c r="L218">
        <v>96</v>
      </c>
      <c r="N218" t="str">
        <v>938K</v>
      </c>
      <c r="O218" t="str">
        <v>9805A</v>
      </c>
      <c r="P218">
        <v>56</v>
      </c>
      <c r="R218" t="str">
        <v>502X</v>
      </c>
      <c r="S218">
        <v>96</v>
      </c>
      <c r="U218" t="str">
        <v>66475C</v>
      </c>
      <c r="V218" t="str">
        <v>98225H</v>
      </c>
      <c r="W218">
        <v>81</v>
      </c>
    </row>
    <row r="219" spans="1:23" x14ac:dyDescent="0.3">
      <c r="A219" s="3" t="s">
        <v>438</v>
      </c>
      <c r="B219" s="3" t="s">
        <v>411</v>
      </c>
      <c r="C219" s="3" t="s">
        <v>409</v>
      </c>
      <c r="D219" s="3" t="s">
        <v>447</v>
      </c>
      <c r="E219" s="3">
        <v>77</v>
      </c>
      <c r="F219" s="3">
        <v>77</v>
      </c>
      <c r="G219" s="3">
        <v>63</v>
      </c>
      <c r="H219" s="3">
        <v>63</v>
      </c>
      <c r="K219" t="str">
        <v>938P</v>
      </c>
      <c r="L219">
        <v>96</v>
      </c>
      <c r="N219" t="str">
        <v>47874J</v>
      </c>
      <c r="O219" t="str">
        <v>10J</v>
      </c>
      <c r="P219">
        <v>77</v>
      </c>
      <c r="R219" t="str">
        <v>938P</v>
      </c>
      <c r="S219">
        <v>96</v>
      </c>
      <c r="U219" t="str">
        <v>10T</v>
      </c>
      <c r="V219" t="str">
        <v>7700H</v>
      </c>
      <c r="W219">
        <v>150</v>
      </c>
    </row>
    <row r="220" spans="1:23" x14ac:dyDescent="0.3">
      <c r="A220" s="3" t="s">
        <v>389</v>
      </c>
      <c r="B220" s="3" t="s">
        <v>414</v>
      </c>
      <c r="C220" s="3" t="s">
        <v>399</v>
      </c>
      <c r="D220" s="3" t="s">
        <v>454</v>
      </c>
      <c r="E220" s="3">
        <v>98</v>
      </c>
      <c r="F220" s="3">
        <v>98</v>
      </c>
      <c r="G220" s="3">
        <v>37</v>
      </c>
      <c r="H220" s="3">
        <v>37</v>
      </c>
      <c r="K220" t="str">
        <v>98225F</v>
      </c>
      <c r="L220">
        <v>106</v>
      </c>
      <c r="N220" t="str">
        <v>10C</v>
      </c>
      <c r="O220" t="str">
        <v>884B</v>
      </c>
      <c r="P220">
        <v>98</v>
      </c>
      <c r="R220" t="str">
        <v>98225F</v>
      </c>
      <c r="S220">
        <v>106</v>
      </c>
      <c r="U220" t="str">
        <v>1258V</v>
      </c>
      <c r="V220" t="str">
        <v>938N</v>
      </c>
      <c r="W220">
        <v>54</v>
      </c>
    </row>
    <row r="221" spans="1:23" x14ac:dyDescent="0.3">
      <c r="A221" s="3" t="s">
        <v>444</v>
      </c>
      <c r="B221" s="3" t="s">
        <v>417</v>
      </c>
      <c r="C221" s="3" t="s">
        <v>437</v>
      </c>
      <c r="D221" s="3" t="s">
        <v>392</v>
      </c>
      <c r="E221" s="3">
        <v>57</v>
      </c>
      <c r="F221" s="3">
        <v>57</v>
      </c>
      <c r="G221" s="3">
        <v>99</v>
      </c>
      <c r="H221" s="3">
        <v>99</v>
      </c>
      <c r="K221" t="str">
        <v>7899A</v>
      </c>
      <c r="L221">
        <v>106</v>
      </c>
      <c r="N221" t="str">
        <v>8675V</v>
      </c>
      <c r="O221" t="str">
        <v>99621A</v>
      </c>
      <c r="P221">
        <v>57</v>
      </c>
      <c r="R221" t="str">
        <v>7899A</v>
      </c>
      <c r="S221">
        <v>106</v>
      </c>
      <c r="U221" t="str">
        <v>938C</v>
      </c>
      <c r="V221" t="str">
        <v>3512B</v>
      </c>
      <c r="W221">
        <v>39</v>
      </c>
    </row>
    <row r="222" spans="1:23" x14ac:dyDescent="0.3">
      <c r="A222" s="3" t="s">
        <v>428</v>
      </c>
      <c r="B222" s="3" t="s">
        <v>418</v>
      </c>
      <c r="C222" s="3" t="s">
        <v>408</v>
      </c>
      <c r="D222" s="3" t="s">
        <v>422</v>
      </c>
      <c r="E222" s="3">
        <v>123</v>
      </c>
      <c r="F222" s="3">
        <v>123</v>
      </c>
      <c r="G222" s="3">
        <v>80</v>
      </c>
      <c r="H222" s="3">
        <v>80</v>
      </c>
      <c r="K222" t="str">
        <v>9364H</v>
      </c>
      <c r="L222">
        <v>57</v>
      </c>
      <c r="N222" t="str">
        <v>652A</v>
      </c>
      <c r="O222" t="str">
        <v>938H</v>
      </c>
      <c r="P222">
        <v>123</v>
      </c>
      <c r="R222" t="str">
        <v>9364H</v>
      </c>
      <c r="S222">
        <v>57</v>
      </c>
      <c r="U222" t="str">
        <v>10C</v>
      </c>
      <c r="V222" t="str">
        <v>47874J</v>
      </c>
      <c r="W222">
        <v>120</v>
      </c>
    </row>
    <row r="223" spans="1:23" x14ac:dyDescent="0.3">
      <c r="A223" s="3" t="s">
        <v>403</v>
      </c>
      <c r="B223" s="3" t="s">
        <v>421</v>
      </c>
      <c r="C223" s="3" t="s">
        <v>419</v>
      </c>
      <c r="D223" s="3" t="s">
        <v>431</v>
      </c>
      <c r="E223" s="3">
        <v>135</v>
      </c>
      <c r="F223" s="3">
        <v>135</v>
      </c>
      <c r="G223" s="3">
        <v>42</v>
      </c>
      <c r="H223" s="3">
        <v>42</v>
      </c>
      <c r="K223" t="str">
        <v>84141B</v>
      </c>
      <c r="L223">
        <v>57</v>
      </c>
      <c r="N223" t="str">
        <v>9364G</v>
      </c>
      <c r="O223" t="str">
        <v>10012G</v>
      </c>
      <c r="P223">
        <v>135</v>
      </c>
      <c r="R223" t="str">
        <v>84141B</v>
      </c>
      <c r="S223">
        <v>57</v>
      </c>
      <c r="U223" t="str">
        <v>51581E</v>
      </c>
      <c r="V223" t="str">
        <v>84141A</v>
      </c>
      <c r="W223">
        <v>84</v>
      </c>
    </row>
    <row r="224" spans="1:23" x14ac:dyDescent="0.3">
      <c r="A224" s="3" t="s">
        <v>442</v>
      </c>
      <c r="B224" s="3" t="s">
        <v>433</v>
      </c>
      <c r="C224" s="3" t="s">
        <v>446</v>
      </c>
      <c r="D224" s="3" t="s">
        <v>401</v>
      </c>
      <c r="E224" s="3">
        <v>72</v>
      </c>
      <c r="F224" s="3">
        <v>72</v>
      </c>
      <c r="G224" s="3">
        <v>132</v>
      </c>
      <c r="H224" s="3">
        <v>132</v>
      </c>
      <c r="K224" t="str">
        <v>938J</v>
      </c>
      <c r="L224">
        <v>40</v>
      </c>
      <c r="N224" t="str">
        <v>5327K</v>
      </c>
      <c r="O224" t="str">
        <v>10X</v>
      </c>
      <c r="P224">
        <v>72</v>
      </c>
      <c r="R224" t="str">
        <v>938J</v>
      </c>
      <c r="S224">
        <v>40</v>
      </c>
      <c r="U224" t="str">
        <v>16689E</v>
      </c>
      <c r="V224" t="str">
        <v>51777H</v>
      </c>
      <c r="W224">
        <v>74</v>
      </c>
    </row>
    <row r="225" spans="1:23" x14ac:dyDescent="0.3">
      <c r="A225" s="3" t="s">
        <v>426</v>
      </c>
      <c r="B225" s="3" t="s">
        <v>416</v>
      </c>
      <c r="C225" s="3" t="s">
        <v>406</v>
      </c>
      <c r="D225" s="3" t="s">
        <v>412</v>
      </c>
      <c r="E225" s="3">
        <v>135</v>
      </c>
      <c r="F225" s="3">
        <v>135</v>
      </c>
      <c r="G225" s="3">
        <v>22</v>
      </c>
      <c r="H225" s="3">
        <v>22</v>
      </c>
      <c r="K225" t="str">
        <v>80001B</v>
      </c>
      <c r="L225">
        <v>40</v>
      </c>
      <c r="N225" t="str">
        <v>1698Y</v>
      </c>
      <c r="O225" t="str">
        <v>1687C</v>
      </c>
      <c r="P225">
        <v>135</v>
      </c>
      <c r="R225" t="str">
        <v>80001B</v>
      </c>
      <c r="S225">
        <v>40</v>
      </c>
      <c r="U225" t="str">
        <v>938U</v>
      </c>
      <c r="V225" t="str">
        <v>1698Y</v>
      </c>
      <c r="W225">
        <v>80</v>
      </c>
    </row>
    <row r="226" spans="1:23" x14ac:dyDescent="0.3">
      <c r="A226" s="3" t="s">
        <v>451</v>
      </c>
      <c r="B226" s="3" t="s">
        <v>434</v>
      </c>
      <c r="C226" s="3" t="s">
        <v>457</v>
      </c>
      <c r="D226" s="3" t="s">
        <v>407</v>
      </c>
      <c r="E226" s="3">
        <v>49</v>
      </c>
      <c r="F226" s="3">
        <v>49</v>
      </c>
      <c r="G226" s="3">
        <v>114</v>
      </c>
      <c r="H226" s="3">
        <v>114</v>
      </c>
      <c r="K226" t="str">
        <v>98548C</v>
      </c>
      <c r="L226">
        <v>37</v>
      </c>
      <c r="N226" t="str">
        <v>938N</v>
      </c>
      <c r="O226" t="str">
        <v>9805A</v>
      </c>
      <c r="P226">
        <v>49</v>
      </c>
      <c r="R226" t="str">
        <v>98548C</v>
      </c>
      <c r="S226">
        <v>37</v>
      </c>
      <c r="U226" t="str">
        <v>98225M</v>
      </c>
      <c r="V226" t="str">
        <v>502A</v>
      </c>
      <c r="W226">
        <v>111</v>
      </c>
    </row>
    <row r="227" spans="1:23" x14ac:dyDescent="0.3">
      <c r="A227" s="3" t="s">
        <v>397</v>
      </c>
      <c r="B227" s="3" t="s">
        <v>448</v>
      </c>
      <c r="C227" s="3" t="s">
        <v>409</v>
      </c>
      <c r="D227" s="3" t="s">
        <v>456</v>
      </c>
      <c r="E227" s="3">
        <v>82</v>
      </c>
      <c r="F227" s="3">
        <v>82</v>
      </c>
      <c r="G227" s="3">
        <v>62</v>
      </c>
      <c r="H227" s="3">
        <v>62</v>
      </c>
      <c r="K227" t="str">
        <v>938W</v>
      </c>
      <c r="L227">
        <v>37</v>
      </c>
      <c r="N227" t="str">
        <v>938A</v>
      </c>
      <c r="O227" t="str">
        <v>84141X</v>
      </c>
      <c r="P227">
        <v>82</v>
      </c>
      <c r="R227" t="str">
        <v>938W</v>
      </c>
      <c r="S227">
        <v>37</v>
      </c>
      <c r="U227" t="str">
        <v>44244N</v>
      </c>
      <c r="V227" t="str">
        <v>90385G</v>
      </c>
      <c r="W227">
        <v>74</v>
      </c>
    </row>
    <row r="228" spans="1:23" x14ac:dyDescent="0.3">
      <c r="A228" s="3" t="s">
        <v>461</v>
      </c>
      <c r="B228" s="3" t="s">
        <v>453</v>
      </c>
      <c r="C228" s="3" t="s">
        <v>389</v>
      </c>
      <c r="D228" s="3" t="s">
        <v>424</v>
      </c>
      <c r="E228" s="3">
        <v>97</v>
      </c>
      <c r="F228" s="3">
        <v>97</v>
      </c>
      <c r="G228" s="3">
        <v>65</v>
      </c>
      <c r="H228" s="3">
        <v>65</v>
      </c>
      <c r="K228" t="str">
        <v>920B</v>
      </c>
      <c r="L228">
        <v>121</v>
      </c>
      <c r="N228" t="str">
        <v>1258V</v>
      </c>
      <c r="O228" t="str">
        <v>5155A</v>
      </c>
      <c r="P228">
        <v>97</v>
      </c>
      <c r="R228" t="str">
        <v>920B</v>
      </c>
      <c r="S228">
        <v>121</v>
      </c>
      <c r="U228" t="str">
        <v>10M</v>
      </c>
      <c r="V228" t="str">
        <v>98040C</v>
      </c>
      <c r="W228">
        <v>106</v>
      </c>
    </row>
    <row r="229" spans="1:23" x14ac:dyDescent="0.3">
      <c r="A229" s="3" t="s">
        <v>411</v>
      </c>
      <c r="B229" s="3" t="s">
        <v>452</v>
      </c>
      <c r="C229" s="3" t="s">
        <v>455</v>
      </c>
      <c r="D229" s="3" t="s">
        <v>394</v>
      </c>
      <c r="E229" s="3">
        <v>82</v>
      </c>
      <c r="F229" s="3">
        <v>82</v>
      </c>
      <c r="G229" s="3">
        <v>115</v>
      </c>
      <c r="H229" s="3">
        <v>115</v>
      </c>
      <c r="K229" t="str">
        <v>10Z</v>
      </c>
      <c r="L229">
        <v>121</v>
      </c>
      <c r="N229" t="str">
        <v>10J</v>
      </c>
      <c r="O229" t="str">
        <v>3512E</v>
      </c>
      <c r="P229">
        <v>82</v>
      </c>
      <c r="R229" t="str">
        <v>10Z</v>
      </c>
      <c r="S229">
        <v>121</v>
      </c>
      <c r="U229" t="str">
        <v>9364C</v>
      </c>
      <c r="V229" t="str">
        <v>609A</v>
      </c>
      <c r="W229">
        <v>87</v>
      </c>
    </row>
    <row r="230" spans="1:23" x14ac:dyDescent="0.3">
      <c r="A230" s="3" t="s">
        <v>396</v>
      </c>
      <c r="B230" s="3" t="s">
        <v>432</v>
      </c>
      <c r="C230" s="3" t="s">
        <v>427</v>
      </c>
      <c r="D230" s="3" t="s">
        <v>402</v>
      </c>
      <c r="E230" s="3">
        <v>67</v>
      </c>
      <c r="F230" s="3">
        <v>67</v>
      </c>
      <c r="G230" s="3">
        <v>88</v>
      </c>
      <c r="H230" s="3">
        <v>88</v>
      </c>
      <c r="K230" t="str">
        <v>12516A</v>
      </c>
      <c r="L230">
        <v>40</v>
      </c>
      <c r="N230" t="str">
        <v>51777H</v>
      </c>
      <c r="O230" t="str">
        <v>16689Z</v>
      </c>
      <c r="P230">
        <v>67</v>
      </c>
      <c r="R230" t="str">
        <v>12516A</v>
      </c>
      <c r="S230">
        <v>40</v>
      </c>
      <c r="U230" t="str">
        <v>6526D</v>
      </c>
      <c r="V230" t="str">
        <v>16689Z</v>
      </c>
      <c r="W230">
        <v>58</v>
      </c>
    </row>
    <row r="231" spans="1:23" x14ac:dyDescent="0.3">
      <c r="A231" s="3" t="s">
        <v>404</v>
      </c>
      <c r="B231" s="3" t="s">
        <v>449</v>
      </c>
      <c r="C231" s="3" t="s">
        <v>438</v>
      </c>
      <c r="D231" s="3" t="s">
        <v>413</v>
      </c>
      <c r="E231" s="3">
        <v>97</v>
      </c>
      <c r="F231" s="3">
        <v>97</v>
      </c>
      <c r="G231" s="3">
        <v>119</v>
      </c>
      <c r="H231" s="3">
        <v>119</v>
      </c>
      <c r="K231" t="str">
        <v>10G</v>
      </c>
      <c r="L231">
        <v>40</v>
      </c>
      <c r="N231" t="str">
        <v>44244N</v>
      </c>
      <c r="O231" t="str">
        <v>98225M</v>
      </c>
      <c r="P231">
        <v>97</v>
      </c>
      <c r="R231" t="str">
        <v>10G</v>
      </c>
      <c r="S231">
        <v>40</v>
      </c>
      <c r="U231" t="str">
        <v>98225H</v>
      </c>
      <c r="V231" t="str">
        <v>917A</v>
      </c>
      <c r="W231">
        <v>83</v>
      </c>
    </row>
    <row r="232" spans="1:23" x14ac:dyDescent="0.3">
      <c r="A232" s="3" t="s">
        <v>395</v>
      </c>
      <c r="B232" s="3" t="s">
        <v>436</v>
      </c>
      <c r="C232" s="3" t="s">
        <v>387</v>
      </c>
      <c r="D232" s="3" t="s">
        <v>443</v>
      </c>
      <c r="E232" s="3">
        <v>90</v>
      </c>
      <c r="F232" s="3">
        <v>90</v>
      </c>
      <c r="G232" s="3">
        <v>46</v>
      </c>
      <c r="H232" s="3">
        <v>46</v>
      </c>
      <c r="K232" t="str">
        <v>5327S</v>
      </c>
      <c r="L232">
        <v>143</v>
      </c>
      <c r="N232" t="str">
        <v>99621C</v>
      </c>
      <c r="O232" t="str">
        <v>1168A</v>
      </c>
      <c r="P232">
        <v>90</v>
      </c>
      <c r="R232" t="str">
        <v>5327S</v>
      </c>
      <c r="S232">
        <v>143</v>
      </c>
      <c r="U232" t="str">
        <v>10F</v>
      </c>
      <c r="V232" t="str">
        <v>884B</v>
      </c>
      <c r="W232">
        <v>103</v>
      </c>
    </row>
    <row r="233" spans="1:23" x14ac:dyDescent="0.3">
      <c r="A233" s="3" t="s">
        <v>390</v>
      </c>
      <c r="B233" s="3" t="s">
        <v>414</v>
      </c>
      <c r="C233" s="3" t="s">
        <v>441</v>
      </c>
      <c r="D233" s="3" t="s">
        <v>458</v>
      </c>
      <c r="E233" s="3">
        <v>107</v>
      </c>
      <c r="F233" s="3">
        <v>107</v>
      </c>
      <c r="G233" s="3">
        <v>72</v>
      </c>
      <c r="H233" s="3">
        <v>72</v>
      </c>
      <c r="K233" t="str">
        <v>938G</v>
      </c>
      <c r="L233">
        <v>143</v>
      </c>
      <c r="N233" t="str">
        <v>7784W</v>
      </c>
      <c r="O233" t="str">
        <v>884B</v>
      </c>
      <c r="P233">
        <v>107</v>
      </c>
      <c r="R233" t="str">
        <v>938G</v>
      </c>
      <c r="S233">
        <v>143</v>
      </c>
      <c r="U233" t="str">
        <v>938F</v>
      </c>
      <c r="V233" t="str">
        <v>938X</v>
      </c>
      <c r="W233">
        <v>83</v>
      </c>
    </row>
    <row r="234" spans="1:23" x14ac:dyDescent="0.3">
      <c r="A234" s="3" t="s">
        <v>393</v>
      </c>
      <c r="B234" s="3" t="s">
        <v>399</v>
      </c>
      <c r="C234" s="3" t="s">
        <v>423</v>
      </c>
      <c r="D234" s="3" t="s">
        <v>439</v>
      </c>
      <c r="E234" s="3">
        <v>114</v>
      </c>
      <c r="F234" s="3">
        <v>114</v>
      </c>
      <c r="G234" s="3">
        <v>106</v>
      </c>
      <c r="H234" s="3">
        <v>106</v>
      </c>
      <c r="K234" t="str">
        <v>604X</v>
      </c>
      <c r="L234">
        <v>65</v>
      </c>
      <c r="N234" t="str">
        <v>938F</v>
      </c>
      <c r="O234" t="str">
        <v>47000X</v>
      </c>
      <c r="P234">
        <v>114</v>
      </c>
      <c r="R234" t="str">
        <v>604X</v>
      </c>
      <c r="S234">
        <v>65</v>
      </c>
      <c r="U234" t="str">
        <v>1000A</v>
      </c>
      <c r="V234" t="str">
        <v>10A</v>
      </c>
      <c r="W234">
        <v>85</v>
      </c>
    </row>
    <row r="235" spans="1:23" x14ac:dyDescent="0.3">
      <c r="A235" s="3" t="s">
        <v>460</v>
      </c>
      <c r="B235" s="3" t="s">
        <v>447</v>
      </c>
      <c r="C235" s="3" t="s">
        <v>398</v>
      </c>
      <c r="D235" s="3" t="s">
        <v>388</v>
      </c>
      <c r="E235" s="3">
        <v>81</v>
      </c>
      <c r="F235" s="3">
        <v>81</v>
      </c>
      <c r="G235" s="3">
        <v>74</v>
      </c>
      <c r="H235" s="3">
        <v>74</v>
      </c>
      <c r="K235" t="str">
        <v>10N</v>
      </c>
      <c r="L235">
        <v>65</v>
      </c>
      <c r="N235" t="str">
        <v>66475C</v>
      </c>
      <c r="O235" t="str">
        <v>98225H</v>
      </c>
      <c r="P235">
        <v>81</v>
      </c>
      <c r="R235" t="str">
        <v>10N</v>
      </c>
      <c r="S235">
        <v>65</v>
      </c>
      <c r="U235" t="str">
        <v>10C</v>
      </c>
      <c r="V235" t="str">
        <v>5327K</v>
      </c>
      <c r="W235">
        <v>95</v>
      </c>
    </row>
    <row r="236" spans="1:23" x14ac:dyDescent="0.3">
      <c r="A236" s="3" t="s">
        <v>429</v>
      </c>
      <c r="B236" s="3" t="s">
        <v>454</v>
      </c>
      <c r="C236" s="3" t="s">
        <v>401</v>
      </c>
      <c r="D236" s="3" t="s">
        <v>418</v>
      </c>
      <c r="E236" s="3">
        <v>150</v>
      </c>
      <c r="F236" s="3">
        <v>150</v>
      </c>
      <c r="G236" s="3">
        <v>71</v>
      </c>
      <c r="H236" s="3">
        <v>71</v>
      </c>
      <c r="K236" t="str">
        <v>10009A</v>
      </c>
      <c r="L236">
        <v>119</v>
      </c>
      <c r="N236" t="str">
        <v>10T</v>
      </c>
      <c r="O236" t="str">
        <v>7700H</v>
      </c>
      <c r="P236">
        <v>150</v>
      </c>
      <c r="R236" t="str">
        <v>10009A</v>
      </c>
      <c r="S236">
        <v>119</v>
      </c>
      <c r="U236" t="str">
        <v>229V</v>
      </c>
      <c r="V236" t="str">
        <v>938K</v>
      </c>
      <c r="W236">
        <v>103</v>
      </c>
    </row>
    <row r="237" spans="1:23" x14ac:dyDescent="0.3">
      <c r="A237" s="3" t="s">
        <v>461</v>
      </c>
      <c r="B237" s="3" t="s">
        <v>451</v>
      </c>
      <c r="C237" s="3" t="s">
        <v>428</v>
      </c>
      <c r="D237" s="3" t="s">
        <v>411</v>
      </c>
      <c r="E237" s="3">
        <v>54</v>
      </c>
      <c r="F237" s="3">
        <v>54</v>
      </c>
      <c r="G237" s="3">
        <v>95</v>
      </c>
      <c r="H237" s="3">
        <v>95</v>
      </c>
      <c r="K237" t="str">
        <v>1469A</v>
      </c>
      <c r="L237">
        <v>119</v>
      </c>
      <c r="N237" t="str">
        <v>1258V</v>
      </c>
      <c r="O237" t="str">
        <v>938N</v>
      </c>
      <c r="P237">
        <v>54</v>
      </c>
      <c r="R237" t="str">
        <v>1469A</v>
      </c>
      <c r="S237">
        <v>119</v>
      </c>
      <c r="U237" t="str">
        <v>7899B</v>
      </c>
      <c r="V237" t="str">
        <v>47000X</v>
      </c>
      <c r="W237">
        <v>118</v>
      </c>
    </row>
    <row r="238" spans="1:23" x14ac:dyDescent="0.3">
      <c r="A238" s="3" t="s">
        <v>413</v>
      </c>
      <c r="B238" s="3" t="s">
        <v>456</v>
      </c>
      <c r="C238" s="3" t="s">
        <v>406</v>
      </c>
      <c r="D238" s="3" t="s">
        <v>446</v>
      </c>
      <c r="E238" s="3">
        <v>39</v>
      </c>
      <c r="F238" s="3">
        <v>39</v>
      </c>
      <c r="G238" s="3">
        <v>223</v>
      </c>
      <c r="H238" s="3">
        <v>223</v>
      </c>
      <c r="K238" t="str">
        <v>44244S</v>
      </c>
      <c r="L238">
        <v>135</v>
      </c>
      <c r="N238" t="str">
        <v>938C</v>
      </c>
      <c r="O238" t="str">
        <v>3512B</v>
      </c>
      <c r="P238">
        <v>39</v>
      </c>
      <c r="R238" t="str">
        <v>44244S</v>
      </c>
      <c r="S238">
        <v>135</v>
      </c>
      <c r="U238" t="str">
        <v>90385G</v>
      </c>
      <c r="V238" t="str">
        <v>1698Y</v>
      </c>
      <c r="W238">
        <v>92</v>
      </c>
    </row>
    <row r="239" spans="1:23" x14ac:dyDescent="0.3">
      <c r="A239" s="3" t="s">
        <v>389</v>
      </c>
      <c r="B239" s="3" t="s">
        <v>438</v>
      </c>
      <c r="C239" s="3" t="s">
        <v>431</v>
      </c>
      <c r="D239" s="3" t="s">
        <v>452</v>
      </c>
      <c r="E239" s="3">
        <v>120</v>
      </c>
      <c r="F239" s="3">
        <v>120</v>
      </c>
      <c r="G239" s="3">
        <v>37</v>
      </c>
      <c r="H239" s="3">
        <v>37</v>
      </c>
      <c r="K239" t="str">
        <v>47874A</v>
      </c>
      <c r="L239">
        <v>135</v>
      </c>
      <c r="N239" t="str">
        <v>10C</v>
      </c>
      <c r="O239" t="str">
        <v>47874J</v>
      </c>
      <c r="P239">
        <v>120</v>
      </c>
      <c r="R239" t="str">
        <v>47874A</v>
      </c>
      <c r="S239">
        <v>135</v>
      </c>
      <c r="U239" t="str">
        <v>938U</v>
      </c>
      <c r="V239" t="str">
        <v>609A</v>
      </c>
      <c r="W239">
        <v>85</v>
      </c>
    </row>
    <row r="240" spans="1:23" x14ac:dyDescent="0.3">
      <c r="A240" s="3" t="s">
        <v>387</v>
      </c>
      <c r="B240" s="3" t="s">
        <v>402</v>
      </c>
      <c r="C240" s="3" t="s">
        <v>457</v>
      </c>
      <c r="D240" s="3" t="s">
        <v>408</v>
      </c>
      <c r="E240" s="3">
        <v>84</v>
      </c>
      <c r="F240" s="3">
        <v>84</v>
      </c>
      <c r="G240" s="3">
        <v>93</v>
      </c>
      <c r="H240" s="3">
        <v>93</v>
      </c>
      <c r="K240" t="str">
        <v>98225J</v>
      </c>
      <c r="L240">
        <v>106</v>
      </c>
      <c r="N240" t="str">
        <v>51581E</v>
      </c>
      <c r="O240" t="str">
        <v>84141A</v>
      </c>
      <c r="P240">
        <v>84</v>
      </c>
      <c r="R240" t="str">
        <v>98225J</v>
      </c>
      <c r="S240">
        <v>106</v>
      </c>
      <c r="U240" t="str">
        <v>1258V</v>
      </c>
      <c r="V240" t="str">
        <v>9364C</v>
      </c>
      <c r="W240">
        <v>130</v>
      </c>
    </row>
    <row r="241" spans="1:23" x14ac:dyDescent="0.3">
      <c r="A241" s="3" t="s">
        <v>409</v>
      </c>
      <c r="B241" s="3" t="s">
        <v>396</v>
      </c>
      <c r="C241" s="3" t="s">
        <v>444</v>
      </c>
      <c r="D241" s="3" t="s">
        <v>436</v>
      </c>
      <c r="E241" s="3">
        <v>74</v>
      </c>
      <c r="F241" s="3">
        <v>74</v>
      </c>
      <c r="G241" s="3">
        <v>104</v>
      </c>
      <c r="H241" s="3">
        <v>104</v>
      </c>
      <c r="K241" t="str">
        <v>99621B</v>
      </c>
      <c r="L241">
        <v>106</v>
      </c>
      <c r="N241" t="str">
        <v>16689E</v>
      </c>
      <c r="O241" t="str">
        <v>51777H</v>
      </c>
      <c r="P241">
        <v>74</v>
      </c>
      <c r="R241" t="str">
        <v>99621B</v>
      </c>
      <c r="S241">
        <v>106</v>
      </c>
      <c r="U241" t="str">
        <v>99621C</v>
      </c>
      <c r="V241" t="str">
        <v>10012G</v>
      </c>
      <c r="W241">
        <v>87</v>
      </c>
    </row>
    <row r="242" spans="1:23" x14ac:dyDescent="0.3">
      <c r="A242" s="3" t="s">
        <v>423</v>
      </c>
      <c r="B242" s="3" t="s">
        <v>426</v>
      </c>
      <c r="C242" s="3" t="s">
        <v>442</v>
      </c>
      <c r="D242" s="3" t="s">
        <v>437</v>
      </c>
      <c r="E242" s="3">
        <v>80</v>
      </c>
      <c r="F242" s="3">
        <v>80</v>
      </c>
      <c r="G242" s="3">
        <v>109</v>
      </c>
      <c r="H242" s="3">
        <v>109</v>
      </c>
      <c r="K242" t="str">
        <v>90385R</v>
      </c>
      <c r="L242">
        <v>45</v>
      </c>
      <c r="N242" t="str">
        <v>938U</v>
      </c>
      <c r="O242" t="str">
        <v>1698Y</v>
      </c>
      <c r="P242">
        <v>80</v>
      </c>
      <c r="R242" t="str">
        <v>90385R</v>
      </c>
      <c r="S242">
        <v>45</v>
      </c>
      <c r="U242" t="str">
        <v>6526H</v>
      </c>
      <c r="V242" t="str">
        <v>9805A</v>
      </c>
      <c r="W242">
        <v>100</v>
      </c>
    </row>
    <row r="243" spans="1:23" x14ac:dyDescent="0.3">
      <c r="A243" s="3" t="s">
        <v>449</v>
      </c>
      <c r="B243" s="3" t="s">
        <v>424</v>
      </c>
      <c r="C243" s="3" t="s">
        <v>439</v>
      </c>
      <c r="D243" s="3" t="s">
        <v>417</v>
      </c>
      <c r="E243" s="3">
        <v>111</v>
      </c>
      <c r="F243" s="3">
        <v>111</v>
      </c>
      <c r="G243" s="3">
        <v>39</v>
      </c>
      <c r="H243" s="3">
        <v>39</v>
      </c>
      <c r="K243" t="str">
        <v>3512D</v>
      </c>
      <c r="L243">
        <v>45</v>
      </c>
      <c r="N243" t="str">
        <v>98225M</v>
      </c>
      <c r="O243" t="str">
        <v>502A</v>
      </c>
      <c r="P243">
        <v>111</v>
      </c>
      <c r="R243" t="str">
        <v>3512D</v>
      </c>
      <c r="S243">
        <v>45</v>
      </c>
      <c r="U243" t="str">
        <v>16689E</v>
      </c>
      <c r="V243" t="str">
        <v>16689A</v>
      </c>
      <c r="W243">
        <v>97</v>
      </c>
    </row>
    <row r="244" spans="1:23" x14ac:dyDescent="0.3">
      <c r="A244" s="3" t="s">
        <v>404</v>
      </c>
      <c r="B244" s="3" t="s">
        <v>388</v>
      </c>
      <c r="C244" s="3" t="s">
        <v>399</v>
      </c>
      <c r="D244" s="3" t="s">
        <v>453</v>
      </c>
      <c r="E244" s="3">
        <v>74</v>
      </c>
      <c r="F244" s="3">
        <v>74</v>
      </c>
      <c r="G244" s="3">
        <v>123</v>
      </c>
      <c r="H244" s="3">
        <v>123</v>
      </c>
      <c r="K244" t="str">
        <v>884A</v>
      </c>
      <c r="L244">
        <v>104</v>
      </c>
      <c r="N244" t="str">
        <v>44244N</v>
      </c>
      <c r="O244" t="str">
        <v>90385G</v>
      </c>
      <c r="P244">
        <v>74</v>
      </c>
      <c r="R244" t="str">
        <v>884A</v>
      </c>
      <c r="S244">
        <v>104</v>
      </c>
      <c r="U244" t="str">
        <v>51777H</v>
      </c>
      <c r="V244" t="str">
        <v>938C</v>
      </c>
      <c r="W244">
        <v>84</v>
      </c>
    </row>
    <row r="245" spans="1:23" x14ac:dyDescent="0.3">
      <c r="A245" s="3" t="s">
        <v>394</v>
      </c>
      <c r="B245" s="3" t="s">
        <v>422</v>
      </c>
      <c r="C245" s="3" t="s">
        <v>390</v>
      </c>
      <c r="D245" s="3" t="s">
        <v>434</v>
      </c>
      <c r="E245" s="3">
        <v>106</v>
      </c>
      <c r="F245" s="3">
        <v>106</v>
      </c>
      <c r="G245" s="3">
        <v>41</v>
      </c>
      <c r="H245" s="3">
        <v>41</v>
      </c>
      <c r="K245" t="str">
        <v>299Y</v>
      </c>
      <c r="L245">
        <v>104</v>
      </c>
      <c r="N245" t="str">
        <v>10M</v>
      </c>
      <c r="O245" t="str">
        <v>98040C</v>
      </c>
      <c r="P245">
        <v>106</v>
      </c>
      <c r="R245" t="str">
        <v>299Y</v>
      </c>
      <c r="S245">
        <v>104</v>
      </c>
      <c r="U245" t="str">
        <v>938R</v>
      </c>
      <c r="V245" t="str">
        <v>1023E</v>
      </c>
      <c r="W245">
        <v>102</v>
      </c>
    </row>
    <row r="246" spans="1:23" x14ac:dyDescent="0.3">
      <c r="A246" s="3" t="s">
        <v>427</v>
      </c>
      <c r="B246" s="3" t="s">
        <v>443</v>
      </c>
      <c r="C246" s="3" t="s">
        <v>448</v>
      </c>
      <c r="D246" s="3" t="s">
        <v>392</v>
      </c>
      <c r="E246" s="3">
        <v>87</v>
      </c>
      <c r="F246" s="3">
        <v>87</v>
      </c>
      <c r="G246" s="3">
        <v>104</v>
      </c>
      <c r="H246" s="3">
        <v>104</v>
      </c>
      <c r="K246" t="str">
        <v>3583A</v>
      </c>
      <c r="L246">
        <v>96</v>
      </c>
      <c r="N246" t="str">
        <v>9364C</v>
      </c>
      <c r="O246" t="str">
        <v>609A</v>
      </c>
      <c r="P246">
        <v>87</v>
      </c>
      <c r="R246" t="str">
        <v>3583A</v>
      </c>
      <c r="S246">
        <v>96</v>
      </c>
      <c r="U246" t="str">
        <v>1168A</v>
      </c>
      <c r="V246" t="str">
        <v>66475C</v>
      </c>
      <c r="W246">
        <v>148</v>
      </c>
    </row>
    <row r="247" spans="1:23" x14ac:dyDescent="0.3">
      <c r="A247" s="3" t="s">
        <v>412</v>
      </c>
      <c r="B247" s="3" t="s">
        <v>432</v>
      </c>
      <c r="C247" s="3" t="s">
        <v>419</v>
      </c>
      <c r="D247" s="3" t="s">
        <v>454</v>
      </c>
      <c r="E247" s="3">
        <v>58</v>
      </c>
      <c r="F247" s="3">
        <v>58</v>
      </c>
      <c r="G247" s="3">
        <v>120</v>
      </c>
      <c r="H247" s="3">
        <v>120</v>
      </c>
      <c r="K247" t="str">
        <v>7700E</v>
      </c>
      <c r="L247">
        <v>96</v>
      </c>
      <c r="N247" t="str">
        <v>6526D</v>
      </c>
      <c r="O247" t="str">
        <v>16689Z</v>
      </c>
      <c r="P247">
        <v>58</v>
      </c>
      <c r="R247" t="str">
        <v>7700E</v>
      </c>
      <c r="S247">
        <v>96</v>
      </c>
      <c r="U247" t="str">
        <v>5155A</v>
      </c>
      <c r="V247" t="str">
        <v>1687C</v>
      </c>
      <c r="W247">
        <v>89</v>
      </c>
    </row>
    <row r="248" spans="1:23" x14ac:dyDescent="0.3">
      <c r="A248" s="3" t="s">
        <v>447</v>
      </c>
      <c r="B248" s="3" t="s">
        <v>458</v>
      </c>
      <c r="C248" s="3" t="s">
        <v>421</v>
      </c>
      <c r="D248" s="3" t="s">
        <v>433</v>
      </c>
      <c r="E248" s="3">
        <v>83</v>
      </c>
      <c r="F248" s="3">
        <v>83</v>
      </c>
      <c r="G248" s="3">
        <v>138</v>
      </c>
      <c r="H248" s="3">
        <v>138</v>
      </c>
      <c r="K248" t="str">
        <v>16689X</v>
      </c>
      <c r="L248">
        <v>64</v>
      </c>
      <c r="N248" t="str">
        <v>98225H</v>
      </c>
      <c r="O248" t="str">
        <v>917A</v>
      </c>
      <c r="P248">
        <v>83</v>
      </c>
      <c r="R248" t="str">
        <v>16689X</v>
      </c>
      <c r="S248">
        <v>64</v>
      </c>
      <c r="U248" t="str">
        <v>84141X</v>
      </c>
      <c r="V248" t="str">
        <v>98040C</v>
      </c>
      <c r="W248">
        <v>42</v>
      </c>
    </row>
    <row r="249" spans="1:23" x14ac:dyDescent="0.3">
      <c r="A249" s="3" t="s">
        <v>407</v>
      </c>
      <c r="B249" s="3" t="s">
        <v>414</v>
      </c>
      <c r="C249" s="3" t="s">
        <v>395</v>
      </c>
      <c r="D249" s="3" t="s">
        <v>429</v>
      </c>
      <c r="E249" s="3">
        <v>103</v>
      </c>
      <c r="F249" s="3">
        <v>103</v>
      </c>
      <c r="G249" s="3">
        <v>80</v>
      </c>
      <c r="H249" s="3">
        <v>80</v>
      </c>
      <c r="K249" t="str">
        <v>949Z</v>
      </c>
      <c r="L249">
        <v>64</v>
      </c>
      <c r="N249" t="str">
        <v>10F</v>
      </c>
      <c r="O249" t="str">
        <v>884B</v>
      </c>
      <c r="P249">
        <v>103</v>
      </c>
      <c r="R249" t="str">
        <v>949Z</v>
      </c>
      <c r="S249">
        <v>64</v>
      </c>
      <c r="U249" t="str">
        <v>8675V</v>
      </c>
      <c r="V249" t="str">
        <v>938A</v>
      </c>
      <c r="W249">
        <v>85</v>
      </c>
    </row>
    <row r="250" spans="1:23" x14ac:dyDescent="0.3">
      <c r="A250" s="3" t="s">
        <v>393</v>
      </c>
      <c r="B250" s="3" t="s">
        <v>398</v>
      </c>
      <c r="C250" s="3" t="s">
        <v>416</v>
      </c>
      <c r="D250" s="3" t="s">
        <v>403</v>
      </c>
      <c r="E250" s="3">
        <v>83</v>
      </c>
      <c r="F250" s="3">
        <v>83</v>
      </c>
      <c r="G250" s="3">
        <v>52</v>
      </c>
      <c r="H250" s="3">
        <v>52</v>
      </c>
      <c r="K250" t="str">
        <v>938E</v>
      </c>
      <c r="L250">
        <v>45</v>
      </c>
      <c r="N250" t="str">
        <v>938F</v>
      </c>
      <c r="O250" t="str">
        <v>938X</v>
      </c>
      <c r="P250">
        <v>83</v>
      </c>
      <c r="R250" t="str">
        <v>938E</v>
      </c>
      <c r="S250">
        <v>45</v>
      </c>
      <c r="U250" t="str">
        <v>10X</v>
      </c>
      <c r="V250" t="str">
        <v>10A</v>
      </c>
      <c r="W250">
        <v>98</v>
      </c>
    </row>
    <row r="251" spans="1:23" x14ac:dyDescent="0.3">
      <c r="A251" s="3" t="s">
        <v>441</v>
      </c>
      <c r="B251" s="3" t="s">
        <v>455</v>
      </c>
      <c r="C251" s="3" t="s">
        <v>460</v>
      </c>
      <c r="D251" s="3" t="s">
        <v>397</v>
      </c>
      <c r="E251" s="3">
        <v>85</v>
      </c>
      <c r="F251" s="3">
        <v>85</v>
      </c>
      <c r="G251" s="3">
        <v>40</v>
      </c>
      <c r="H251" s="3">
        <v>40</v>
      </c>
      <c r="K251" t="str">
        <v>609B</v>
      </c>
      <c r="L251">
        <v>45</v>
      </c>
      <c r="N251" t="str">
        <v>1000A</v>
      </c>
      <c r="O251" t="str">
        <v>10A</v>
      </c>
      <c r="P251">
        <v>85</v>
      </c>
      <c r="R251" t="str">
        <v>609B</v>
      </c>
      <c r="S251">
        <v>45</v>
      </c>
      <c r="U251" t="str">
        <v>16689E</v>
      </c>
      <c r="V251" t="str">
        <v>7784W</v>
      </c>
      <c r="W251">
        <v>65</v>
      </c>
    </row>
    <row r="252" spans="1:23" x14ac:dyDescent="0.3">
      <c r="A252" s="3" t="s">
        <v>389</v>
      </c>
      <c r="B252" s="3" t="s">
        <v>442</v>
      </c>
      <c r="C252" s="3" t="s">
        <v>417</v>
      </c>
      <c r="D252" s="3" t="s">
        <v>406</v>
      </c>
      <c r="E252" s="3">
        <v>95</v>
      </c>
      <c r="F252" s="3">
        <v>95</v>
      </c>
      <c r="G252" s="3">
        <v>60</v>
      </c>
      <c r="H252" s="3">
        <v>60</v>
      </c>
      <c r="K252" t="str">
        <v>51581S</v>
      </c>
      <c r="L252">
        <v>155</v>
      </c>
      <c r="N252" t="str">
        <v>10C</v>
      </c>
      <c r="O252" t="str">
        <v>5327K</v>
      </c>
      <c r="P252">
        <v>95</v>
      </c>
      <c r="R252" t="str">
        <v>51581S</v>
      </c>
      <c r="S252">
        <v>155</v>
      </c>
      <c r="U252" t="str">
        <v>229V</v>
      </c>
      <c r="V252" t="str">
        <v>99621A</v>
      </c>
      <c r="W252">
        <v>143</v>
      </c>
    </row>
    <row r="253" spans="1:23" x14ac:dyDescent="0.3">
      <c r="A253" s="3" t="s">
        <v>446</v>
      </c>
      <c r="B253" s="3" t="s">
        <v>439</v>
      </c>
      <c r="C253" s="3" t="s">
        <v>411</v>
      </c>
      <c r="D253" s="3" t="s">
        <v>418</v>
      </c>
      <c r="E253" s="3">
        <v>103</v>
      </c>
      <c r="F253" s="3">
        <v>103</v>
      </c>
      <c r="G253" s="3">
        <v>37</v>
      </c>
      <c r="H253" s="3">
        <v>37</v>
      </c>
      <c r="K253" t="str">
        <v>6526E</v>
      </c>
      <c r="L253">
        <v>155</v>
      </c>
      <c r="N253" t="str">
        <v>229V</v>
      </c>
      <c r="O253" t="str">
        <v>938K</v>
      </c>
      <c r="P253">
        <v>103</v>
      </c>
      <c r="R253" t="str">
        <v>6526E</v>
      </c>
      <c r="S253">
        <v>155</v>
      </c>
      <c r="U253" t="str">
        <v>3512B</v>
      </c>
      <c r="V253" t="str">
        <v>938H</v>
      </c>
      <c r="W253">
        <v>69</v>
      </c>
    </row>
    <row r="254" spans="1:23" x14ac:dyDescent="0.3">
      <c r="A254" s="3" t="s">
        <v>401</v>
      </c>
      <c r="B254" s="3" t="s">
        <v>399</v>
      </c>
      <c r="C254" s="3" t="s">
        <v>438</v>
      </c>
      <c r="D254" s="3" t="s">
        <v>392</v>
      </c>
      <c r="E254" s="3">
        <v>118</v>
      </c>
      <c r="F254" s="3">
        <v>118</v>
      </c>
      <c r="G254" s="3">
        <v>64</v>
      </c>
      <c r="H254" s="3">
        <v>64</v>
      </c>
      <c r="K254" t="str">
        <v>7700P</v>
      </c>
      <c r="L254">
        <v>45</v>
      </c>
      <c r="N254" t="str">
        <v>7899B</v>
      </c>
      <c r="O254" t="str">
        <v>47000X</v>
      </c>
      <c r="P254">
        <v>118</v>
      </c>
      <c r="R254" t="str">
        <v>7700P</v>
      </c>
      <c r="S254">
        <v>45</v>
      </c>
      <c r="U254" t="str">
        <v>47874J</v>
      </c>
      <c r="V254" t="str">
        <v>884B</v>
      </c>
      <c r="W254">
        <v>90</v>
      </c>
    </row>
    <row r="255" spans="1:23" x14ac:dyDescent="0.3">
      <c r="A255" s="3" t="s">
        <v>388</v>
      </c>
      <c r="B255" s="3" t="s">
        <v>426</v>
      </c>
      <c r="C255" s="3" t="s">
        <v>454</v>
      </c>
      <c r="D255" s="3" t="s">
        <v>424</v>
      </c>
      <c r="E255" s="3">
        <v>92</v>
      </c>
      <c r="F255" s="3">
        <v>92</v>
      </c>
      <c r="G255" s="3">
        <v>54</v>
      </c>
      <c r="H255" s="3">
        <v>54</v>
      </c>
      <c r="K255" t="str">
        <v>5233J</v>
      </c>
      <c r="L255">
        <v>45</v>
      </c>
      <c r="N255" t="str">
        <v>90385G</v>
      </c>
      <c r="O255" t="str">
        <v>1698Y</v>
      </c>
      <c r="P255">
        <v>92</v>
      </c>
      <c r="R255" t="str">
        <v>5233J</v>
      </c>
      <c r="S255">
        <v>45</v>
      </c>
      <c r="U255" t="str">
        <v>98040C</v>
      </c>
      <c r="V255" t="str">
        <v>5327K</v>
      </c>
      <c r="W255">
        <v>80</v>
      </c>
    </row>
    <row r="256" spans="1:23" x14ac:dyDescent="0.3">
      <c r="A256" s="3" t="s">
        <v>423</v>
      </c>
      <c r="B256" s="3" t="s">
        <v>443</v>
      </c>
      <c r="C256" s="3" t="s">
        <v>402</v>
      </c>
      <c r="D256" s="3" t="s">
        <v>452</v>
      </c>
      <c r="E256" s="3">
        <v>85</v>
      </c>
      <c r="F256" s="3">
        <v>85</v>
      </c>
      <c r="G256" s="3">
        <v>40</v>
      </c>
      <c r="H256" s="3">
        <v>40</v>
      </c>
      <c r="K256" t="str">
        <v>920B</v>
      </c>
      <c r="L256">
        <v>117</v>
      </c>
      <c r="N256" t="str">
        <v>938U</v>
      </c>
      <c r="O256" t="str">
        <v>609A</v>
      </c>
      <c r="P256">
        <v>85</v>
      </c>
      <c r="R256" t="str">
        <v>920B</v>
      </c>
      <c r="S256">
        <v>117</v>
      </c>
      <c r="U256" t="str">
        <v>502A</v>
      </c>
      <c r="V256" t="str">
        <v>98225H</v>
      </c>
      <c r="W256">
        <v>103</v>
      </c>
    </row>
    <row r="257" spans="1:23" x14ac:dyDescent="0.3">
      <c r="A257" s="3" t="s">
        <v>461</v>
      </c>
      <c r="B257" s="3" t="s">
        <v>427</v>
      </c>
      <c r="C257" s="3" t="s">
        <v>456</v>
      </c>
      <c r="D257" s="3" t="s">
        <v>449</v>
      </c>
      <c r="E257" s="3">
        <v>130</v>
      </c>
      <c r="F257" s="3">
        <v>130</v>
      </c>
      <c r="G257" s="3">
        <v>25</v>
      </c>
      <c r="H257" s="3">
        <v>25</v>
      </c>
      <c r="K257" t="str">
        <v>39313Z</v>
      </c>
      <c r="L257">
        <v>117</v>
      </c>
      <c r="N257" t="str">
        <v>1258V</v>
      </c>
      <c r="O257" t="str">
        <v>9364C</v>
      </c>
      <c r="P257">
        <v>130</v>
      </c>
      <c r="R257" t="str">
        <v>39313Z</v>
      </c>
      <c r="S257">
        <v>117</v>
      </c>
      <c r="U257" t="str">
        <v>10T</v>
      </c>
      <c r="V257" t="str">
        <v>3512E</v>
      </c>
      <c r="W257">
        <v>83</v>
      </c>
    </row>
    <row r="258" spans="1:23" x14ac:dyDescent="0.3">
      <c r="A258" s="3" t="s">
        <v>395</v>
      </c>
      <c r="B258" s="3" t="s">
        <v>421</v>
      </c>
      <c r="C258" s="3" t="s">
        <v>428</v>
      </c>
      <c r="D258" s="3" t="s">
        <v>390</v>
      </c>
      <c r="E258" s="3">
        <v>87</v>
      </c>
      <c r="F258" s="3">
        <v>87</v>
      </c>
      <c r="G258" s="3">
        <v>53</v>
      </c>
      <c r="H258" s="3">
        <v>53</v>
      </c>
      <c r="K258" t="str">
        <v>7899A</v>
      </c>
      <c r="L258">
        <v>111</v>
      </c>
      <c r="N258" t="str">
        <v>99621C</v>
      </c>
      <c r="O258" t="str">
        <v>10012G</v>
      </c>
      <c r="P258">
        <v>87</v>
      </c>
      <c r="R258" t="str">
        <v>7899A</v>
      </c>
      <c r="S258">
        <v>111</v>
      </c>
      <c r="U258" t="str">
        <v>652A</v>
      </c>
      <c r="V258" t="str">
        <v>44244N</v>
      </c>
      <c r="W258">
        <v>93</v>
      </c>
    </row>
    <row r="259" spans="1:23" x14ac:dyDescent="0.3">
      <c r="A259" s="3" t="s">
        <v>408</v>
      </c>
      <c r="B259" s="3" t="s">
        <v>434</v>
      </c>
      <c r="C259" s="3" t="s">
        <v>393</v>
      </c>
      <c r="D259" s="3" t="s">
        <v>404</v>
      </c>
      <c r="E259" s="3">
        <v>100</v>
      </c>
      <c r="F259" s="3">
        <v>100</v>
      </c>
      <c r="G259" s="3">
        <v>87</v>
      </c>
      <c r="H259" s="3">
        <v>87</v>
      </c>
      <c r="K259" t="str">
        <v>80001B</v>
      </c>
      <c r="L259">
        <v>111</v>
      </c>
      <c r="N259" t="str">
        <v>6526H</v>
      </c>
      <c r="O259" t="str">
        <v>9805A</v>
      </c>
      <c r="P259">
        <v>100</v>
      </c>
      <c r="R259" t="str">
        <v>80001B</v>
      </c>
      <c r="S259">
        <v>111</v>
      </c>
      <c r="U259" t="str">
        <v>1000A</v>
      </c>
      <c r="V259" t="str">
        <v>537K</v>
      </c>
      <c r="W259">
        <v>37</v>
      </c>
    </row>
    <row r="260" spans="1:23" x14ac:dyDescent="0.3">
      <c r="A260" s="3" t="s">
        <v>409</v>
      </c>
      <c r="B260" s="3" t="s">
        <v>437</v>
      </c>
      <c r="C260" s="3" t="s">
        <v>458</v>
      </c>
      <c r="D260" s="3" t="s">
        <v>387</v>
      </c>
      <c r="E260" s="3">
        <v>97</v>
      </c>
      <c r="F260" s="3">
        <v>97</v>
      </c>
      <c r="G260" s="3">
        <v>79</v>
      </c>
      <c r="H260" s="3">
        <v>79</v>
      </c>
      <c r="K260" t="str">
        <v>2605B</v>
      </c>
      <c r="L260">
        <v>48</v>
      </c>
      <c r="N260" t="str">
        <v>16689E</v>
      </c>
      <c r="O260" t="str">
        <v>16689A</v>
      </c>
      <c r="P260">
        <v>97</v>
      </c>
      <c r="R260" t="str">
        <v>2605B</v>
      </c>
      <c r="S260">
        <v>48</v>
      </c>
      <c r="U260" t="str">
        <v>10C</v>
      </c>
      <c r="V260" t="str">
        <v>1023E</v>
      </c>
      <c r="W260">
        <v>95</v>
      </c>
    </row>
    <row r="261" spans="1:23" x14ac:dyDescent="0.3">
      <c r="A261" s="3" t="s">
        <v>396</v>
      </c>
      <c r="B261" s="3" t="s">
        <v>413</v>
      </c>
      <c r="C261" s="3" t="s">
        <v>429</v>
      </c>
      <c r="D261" s="3" t="s">
        <v>419</v>
      </c>
      <c r="E261" s="3">
        <v>84</v>
      </c>
      <c r="F261" s="3">
        <v>84</v>
      </c>
      <c r="G261" s="3">
        <v>86</v>
      </c>
      <c r="H261" s="3">
        <v>86</v>
      </c>
      <c r="K261" t="str">
        <v>16689D</v>
      </c>
      <c r="L261">
        <v>48</v>
      </c>
      <c r="N261" t="str">
        <v>51777H</v>
      </c>
      <c r="O261" t="str">
        <v>938C</v>
      </c>
      <c r="P261">
        <v>84</v>
      </c>
      <c r="R261" t="str">
        <v>16689D</v>
      </c>
      <c r="S261">
        <v>48</v>
      </c>
      <c r="U261" t="str">
        <v>938X</v>
      </c>
      <c r="V261" t="str">
        <v>8675V</v>
      </c>
      <c r="W261">
        <v>168</v>
      </c>
    </row>
    <row r="262" spans="1:23" x14ac:dyDescent="0.3">
      <c r="A262" s="3" t="s">
        <v>431</v>
      </c>
      <c r="B262" s="3" t="s">
        <v>457</v>
      </c>
      <c r="C262" s="3" t="s">
        <v>398</v>
      </c>
      <c r="D262" s="3" t="s">
        <v>394</v>
      </c>
      <c r="E262" s="3">
        <v>102</v>
      </c>
      <c r="F262" s="3">
        <v>102</v>
      </c>
      <c r="G262" s="3">
        <v>105</v>
      </c>
      <c r="H262" s="3">
        <v>105</v>
      </c>
      <c r="K262" t="str">
        <v>84141B</v>
      </c>
      <c r="L262">
        <v>90</v>
      </c>
      <c r="N262" t="str">
        <v>938R</v>
      </c>
      <c r="O262" t="str">
        <v>1023E</v>
      </c>
      <c r="P262">
        <v>102</v>
      </c>
      <c r="R262" t="str">
        <v>84141B</v>
      </c>
      <c r="S262">
        <v>90</v>
      </c>
      <c r="U262" t="str">
        <v>8675F</v>
      </c>
      <c r="V262" t="str">
        <v>16689Z</v>
      </c>
      <c r="W262">
        <v>52</v>
      </c>
    </row>
    <row r="263" spans="1:23" x14ac:dyDescent="0.3">
      <c r="A263" s="3" t="s">
        <v>436</v>
      </c>
      <c r="B263" s="3" t="s">
        <v>460</v>
      </c>
      <c r="C263" s="3" t="s">
        <v>412</v>
      </c>
      <c r="D263" s="3" t="s">
        <v>451</v>
      </c>
      <c r="E263" s="3">
        <v>148</v>
      </c>
      <c r="F263" s="3">
        <v>148</v>
      </c>
      <c r="G263" s="3">
        <v>86</v>
      </c>
      <c r="H263" s="3">
        <v>86</v>
      </c>
      <c r="K263" t="str">
        <v>10W</v>
      </c>
      <c r="L263">
        <v>90</v>
      </c>
      <c r="N263" t="str">
        <v>1168A</v>
      </c>
      <c r="O263" t="str">
        <v>66475C</v>
      </c>
      <c r="P263">
        <v>148</v>
      </c>
      <c r="R263" t="str">
        <v>10W</v>
      </c>
      <c r="S263">
        <v>90</v>
      </c>
      <c r="U263" t="str">
        <v>917A</v>
      </c>
      <c r="V263" t="str">
        <v>10J</v>
      </c>
      <c r="W263">
        <v>79</v>
      </c>
    </row>
    <row r="264" spans="1:23" x14ac:dyDescent="0.3">
      <c r="A264" s="3" t="s">
        <v>453</v>
      </c>
      <c r="B264" s="3" t="s">
        <v>416</v>
      </c>
      <c r="C264" s="3" t="s">
        <v>447</v>
      </c>
      <c r="D264" s="3" t="s">
        <v>414</v>
      </c>
      <c r="E264" s="3">
        <v>89</v>
      </c>
      <c r="F264" s="3">
        <v>89</v>
      </c>
      <c r="G264" s="3">
        <v>77</v>
      </c>
      <c r="H264" s="3">
        <v>77</v>
      </c>
      <c r="K264" t="str">
        <v>604X</v>
      </c>
      <c r="L264">
        <v>98</v>
      </c>
      <c r="N264" t="str">
        <v>5155A</v>
      </c>
      <c r="O264" t="str">
        <v>1687C</v>
      </c>
      <c r="P264">
        <v>89</v>
      </c>
      <c r="R264" t="str">
        <v>604X</v>
      </c>
      <c r="S264">
        <v>98</v>
      </c>
      <c r="U264" t="str">
        <v>938R</v>
      </c>
      <c r="V264" t="str">
        <v>7700H</v>
      </c>
      <c r="W264">
        <v>62</v>
      </c>
    </row>
    <row r="265" spans="1:23" x14ac:dyDescent="0.3">
      <c r="A265" s="3" t="s">
        <v>448</v>
      </c>
      <c r="B265" s="3" t="s">
        <v>422</v>
      </c>
      <c r="C265" s="3" t="s">
        <v>403</v>
      </c>
      <c r="D265" s="3" t="s">
        <v>441</v>
      </c>
      <c r="E265" s="3">
        <v>42</v>
      </c>
      <c r="F265" s="3">
        <v>42</v>
      </c>
      <c r="G265" s="3">
        <v>75</v>
      </c>
      <c r="H265" s="3">
        <v>75</v>
      </c>
      <c r="K265" t="str">
        <v>8931R</v>
      </c>
      <c r="L265">
        <v>98</v>
      </c>
      <c r="N265" t="str">
        <v>84141X</v>
      </c>
      <c r="O265" t="str">
        <v>98040C</v>
      </c>
      <c r="P265">
        <v>42</v>
      </c>
      <c r="R265" t="str">
        <v>8931R</v>
      </c>
      <c r="S265">
        <v>98</v>
      </c>
      <c r="U265" t="str">
        <v>10F</v>
      </c>
      <c r="V265" t="str">
        <v>7899B</v>
      </c>
      <c r="W265">
        <v>94</v>
      </c>
    </row>
    <row r="266" spans="1:23" x14ac:dyDescent="0.3">
      <c r="A266" s="3" t="s">
        <v>444</v>
      </c>
      <c r="B266" s="3" t="s">
        <v>397</v>
      </c>
      <c r="C266" s="3" t="s">
        <v>432</v>
      </c>
      <c r="D266" s="3" t="s">
        <v>407</v>
      </c>
      <c r="E266" s="3">
        <v>85</v>
      </c>
      <c r="F266" s="3">
        <v>85</v>
      </c>
      <c r="G266" s="3">
        <v>92</v>
      </c>
      <c r="H266" s="3">
        <v>92</v>
      </c>
      <c r="K266" t="str">
        <v>8675R</v>
      </c>
      <c r="L266">
        <v>109</v>
      </c>
      <c r="N266" t="str">
        <v>8675V</v>
      </c>
      <c r="O266" t="str">
        <v>938A</v>
      </c>
      <c r="P266">
        <v>85</v>
      </c>
      <c r="R266" t="str">
        <v>8675R</v>
      </c>
      <c r="S266">
        <v>109</v>
      </c>
      <c r="U266" t="str">
        <v>609A</v>
      </c>
      <c r="V266" t="str">
        <v>6526D</v>
      </c>
      <c r="W266">
        <v>80</v>
      </c>
    </row>
    <row r="267" spans="1:23" x14ac:dyDescent="0.3">
      <c r="A267" s="3" t="s">
        <v>433</v>
      </c>
      <c r="B267" s="3" t="s">
        <v>455</v>
      </c>
      <c r="C267" s="3" t="s">
        <v>408</v>
      </c>
      <c r="D267" s="3" t="s">
        <v>427</v>
      </c>
      <c r="E267" s="3">
        <v>98</v>
      </c>
      <c r="F267" s="3">
        <v>98</v>
      </c>
      <c r="G267" s="3">
        <v>92</v>
      </c>
      <c r="H267" s="3">
        <v>92</v>
      </c>
      <c r="K267" t="str">
        <v>93199G</v>
      </c>
      <c r="L267">
        <v>109</v>
      </c>
      <c r="N267" t="str">
        <v>10X</v>
      </c>
      <c r="O267" t="str">
        <v>10A</v>
      </c>
      <c r="P267">
        <v>98</v>
      </c>
      <c r="R267" t="str">
        <v>93199G</v>
      </c>
      <c r="S267">
        <v>109</v>
      </c>
      <c r="U267" t="str">
        <v>502A</v>
      </c>
      <c r="V267" t="str">
        <v>10T</v>
      </c>
      <c r="W267">
        <v>70</v>
      </c>
    </row>
    <row r="268" spans="1:23" x14ac:dyDescent="0.3">
      <c r="A268" s="3" t="s">
        <v>409</v>
      </c>
      <c r="B268" s="3" t="s">
        <v>390</v>
      </c>
      <c r="C268" s="3" t="s">
        <v>443</v>
      </c>
      <c r="D268" s="3" t="s">
        <v>399</v>
      </c>
      <c r="E268" s="3">
        <v>65</v>
      </c>
      <c r="F268" s="3">
        <v>65</v>
      </c>
      <c r="G268" s="3">
        <v>106</v>
      </c>
      <c r="H268" s="3">
        <v>106</v>
      </c>
      <c r="K268" t="str">
        <v>502X</v>
      </c>
      <c r="L268">
        <v>131</v>
      </c>
      <c r="N268" t="str">
        <v>16689E</v>
      </c>
      <c r="O268" t="str">
        <v>7784W</v>
      </c>
      <c r="P268">
        <v>65</v>
      </c>
      <c r="R268" t="str">
        <v>502X</v>
      </c>
      <c r="S268">
        <v>131</v>
      </c>
      <c r="U268" t="str">
        <v>3512E</v>
      </c>
      <c r="V268" t="str">
        <v>1687C</v>
      </c>
      <c r="W268">
        <v>62</v>
      </c>
    </row>
    <row r="269" spans="1:23" x14ac:dyDescent="0.3">
      <c r="A269" s="3" t="s">
        <v>446</v>
      </c>
      <c r="B269" s="3" t="s">
        <v>417</v>
      </c>
      <c r="C269" s="3" t="s">
        <v>394</v>
      </c>
      <c r="D269" s="3" t="s">
        <v>388</v>
      </c>
      <c r="E269" s="3">
        <v>143</v>
      </c>
      <c r="F269" s="3">
        <v>143</v>
      </c>
      <c r="G269" s="3">
        <v>60</v>
      </c>
      <c r="H269" s="3">
        <v>60</v>
      </c>
      <c r="K269" t="str">
        <v>99621H</v>
      </c>
      <c r="L269">
        <v>131</v>
      </c>
      <c r="N269" t="str">
        <v>229V</v>
      </c>
      <c r="O269" t="str">
        <v>99621A</v>
      </c>
      <c r="P269">
        <v>143</v>
      </c>
      <c r="R269" t="str">
        <v>99621H</v>
      </c>
      <c r="S269">
        <v>131</v>
      </c>
      <c r="U269" t="str">
        <v>938A</v>
      </c>
      <c r="V269" t="str">
        <v>10012G</v>
      </c>
      <c r="W269">
        <v>109</v>
      </c>
    </row>
    <row r="270" spans="1:23" x14ac:dyDescent="0.3">
      <c r="A270" s="3" t="s">
        <v>456</v>
      </c>
      <c r="B270" s="3" t="s">
        <v>418</v>
      </c>
      <c r="C270" s="3" t="s">
        <v>460</v>
      </c>
      <c r="D270" s="3" t="s">
        <v>437</v>
      </c>
      <c r="E270" s="3">
        <v>69</v>
      </c>
      <c r="F270" s="3">
        <v>69</v>
      </c>
      <c r="G270" s="3">
        <v>131</v>
      </c>
      <c r="H270" s="3">
        <v>131</v>
      </c>
      <c r="K270" t="str">
        <v>9364D</v>
      </c>
      <c r="L270">
        <v>102</v>
      </c>
      <c r="N270" t="str">
        <v>3512B</v>
      </c>
      <c r="O270" t="str">
        <v>938H</v>
      </c>
      <c r="P270">
        <v>69</v>
      </c>
      <c r="R270" t="str">
        <v>9364D</v>
      </c>
      <c r="S270">
        <v>102</v>
      </c>
      <c r="U270" t="str">
        <v>537K</v>
      </c>
      <c r="V270" t="str">
        <v>938X</v>
      </c>
      <c r="W270">
        <v>60</v>
      </c>
    </row>
    <row r="271" spans="1:23" x14ac:dyDescent="0.3">
      <c r="A271" s="3" t="s">
        <v>438</v>
      </c>
      <c r="B271" s="3" t="s">
        <v>414</v>
      </c>
      <c r="C271" s="3" t="s">
        <v>434</v>
      </c>
      <c r="D271" s="3" t="s">
        <v>421</v>
      </c>
      <c r="E271" s="3">
        <v>90</v>
      </c>
      <c r="F271" s="3">
        <v>90</v>
      </c>
      <c r="G271" s="3">
        <v>112</v>
      </c>
      <c r="H271" s="3">
        <v>112</v>
      </c>
      <c r="K271" t="str">
        <v>10Z</v>
      </c>
      <c r="L271">
        <v>102</v>
      </c>
      <c r="N271" t="str">
        <v>47874J</v>
      </c>
      <c r="O271" t="str">
        <v>884B</v>
      </c>
      <c r="P271">
        <v>90</v>
      </c>
      <c r="R271" t="str">
        <v>10Z</v>
      </c>
      <c r="S271">
        <v>102</v>
      </c>
      <c r="U271" t="str">
        <v>1000A</v>
      </c>
      <c r="V271" t="str">
        <v>9364C</v>
      </c>
      <c r="W271">
        <v>98</v>
      </c>
    </row>
    <row r="272" spans="1:23" x14ac:dyDescent="0.3">
      <c r="A272" s="3" t="s">
        <v>422</v>
      </c>
      <c r="B272" s="3" t="s">
        <v>442</v>
      </c>
      <c r="C272" s="3" t="s">
        <v>453</v>
      </c>
      <c r="D272" s="3" t="s">
        <v>396</v>
      </c>
      <c r="E272" s="3">
        <v>80</v>
      </c>
      <c r="F272" s="3">
        <v>80</v>
      </c>
      <c r="G272" s="3">
        <v>80</v>
      </c>
      <c r="H272" s="3">
        <v>80</v>
      </c>
      <c r="K272" t="str">
        <v>61002G</v>
      </c>
      <c r="L272">
        <v>48</v>
      </c>
      <c r="N272" t="str">
        <v>98040C</v>
      </c>
      <c r="O272" t="str">
        <v>5327K</v>
      </c>
      <c r="P272">
        <v>80</v>
      </c>
      <c r="R272" t="str">
        <v>61002G</v>
      </c>
      <c r="S272">
        <v>48</v>
      </c>
      <c r="U272" t="str">
        <v>84141X</v>
      </c>
      <c r="V272" t="str">
        <v>90385G</v>
      </c>
      <c r="W272">
        <v>83</v>
      </c>
    </row>
    <row r="273" spans="1:23" x14ac:dyDescent="0.3">
      <c r="A273" s="3" t="s">
        <v>424</v>
      </c>
      <c r="B273" s="3" t="s">
        <v>447</v>
      </c>
      <c r="C273" s="3" t="s">
        <v>397</v>
      </c>
      <c r="D273" s="3" t="s">
        <v>395</v>
      </c>
      <c r="E273" s="3">
        <v>103</v>
      </c>
      <c r="F273" s="3">
        <v>103</v>
      </c>
      <c r="G273" s="3">
        <v>45</v>
      </c>
      <c r="H273" s="3">
        <v>45</v>
      </c>
      <c r="K273" t="str">
        <v>44244S</v>
      </c>
      <c r="L273">
        <v>48</v>
      </c>
      <c r="N273" t="str">
        <v>502A</v>
      </c>
      <c r="O273" t="str">
        <v>98225H</v>
      </c>
      <c r="P273">
        <v>103</v>
      </c>
      <c r="R273" t="str">
        <v>44244S</v>
      </c>
      <c r="S273">
        <v>48</v>
      </c>
      <c r="U273" t="str">
        <v>938H</v>
      </c>
      <c r="V273" t="str">
        <v>98225M</v>
      </c>
      <c r="W273">
        <v>31</v>
      </c>
    </row>
    <row r="274" spans="1:23" x14ac:dyDescent="0.3">
      <c r="A274" s="3" t="s">
        <v>429</v>
      </c>
      <c r="B274" s="3" t="s">
        <v>452</v>
      </c>
      <c r="C274" s="3" t="s">
        <v>406</v>
      </c>
      <c r="D274" s="3" t="s">
        <v>403</v>
      </c>
      <c r="E274" s="3">
        <v>83</v>
      </c>
      <c r="F274" s="3">
        <v>83</v>
      </c>
      <c r="G274" s="3">
        <v>70</v>
      </c>
      <c r="H274" s="3">
        <v>70</v>
      </c>
      <c r="K274" t="str">
        <v>938W</v>
      </c>
      <c r="L274">
        <v>32</v>
      </c>
      <c r="N274" t="str">
        <v>10T</v>
      </c>
      <c r="O274" t="str">
        <v>3512E</v>
      </c>
      <c r="P274">
        <v>83</v>
      </c>
      <c r="R274" t="str">
        <v>938W</v>
      </c>
      <c r="S274">
        <v>32</v>
      </c>
      <c r="U274" t="str">
        <v>2681A</v>
      </c>
      <c r="V274" t="str">
        <v>938U</v>
      </c>
      <c r="W274">
        <v>43</v>
      </c>
    </row>
    <row r="275" spans="1:23" x14ac:dyDescent="0.3">
      <c r="A275" s="3" t="s">
        <v>428</v>
      </c>
      <c r="B275" s="3" t="s">
        <v>404</v>
      </c>
      <c r="C275" s="3" t="s">
        <v>412</v>
      </c>
      <c r="D275" s="3" t="s">
        <v>433</v>
      </c>
      <c r="E275" s="3">
        <v>93</v>
      </c>
      <c r="F275" s="3">
        <v>93</v>
      </c>
      <c r="G275" s="3">
        <v>55</v>
      </c>
      <c r="H275" s="3">
        <v>55</v>
      </c>
      <c r="K275" t="str">
        <v>1091A</v>
      </c>
      <c r="L275">
        <v>32</v>
      </c>
      <c r="N275" t="str">
        <v>652A</v>
      </c>
      <c r="O275" t="str">
        <v>44244N</v>
      </c>
      <c r="P275">
        <v>93</v>
      </c>
      <c r="R275" t="str">
        <v>1091A</v>
      </c>
      <c r="S275">
        <v>32</v>
      </c>
      <c r="U275" t="str">
        <v>10F</v>
      </c>
      <c r="V275" t="str">
        <v>7700H</v>
      </c>
      <c r="W275">
        <v>63</v>
      </c>
    </row>
    <row r="276" spans="1:23" x14ac:dyDescent="0.3">
      <c r="A276" s="3" t="s">
        <v>441</v>
      </c>
      <c r="B276" s="3" t="s">
        <v>419</v>
      </c>
      <c r="C276" s="3" t="s">
        <v>461</v>
      </c>
      <c r="D276" s="3" t="s">
        <v>387</v>
      </c>
      <c r="E276" s="3">
        <v>37</v>
      </c>
      <c r="F276" s="3">
        <v>37</v>
      </c>
      <c r="G276" s="3">
        <v>92</v>
      </c>
      <c r="H276" s="3">
        <v>92</v>
      </c>
      <c r="K276" t="str">
        <v>9364H</v>
      </c>
      <c r="L276">
        <v>68</v>
      </c>
      <c r="N276" t="str">
        <v>1000A</v>
      </c>
      <c r="O276" t="str">
        <v>537K</v>
      </c>
      <c r="P276">
        <v>37</v>
      </c>
      <c r="R276" t="str">
        <v>9364H</v>
      </c>
      <c r="S276">
        <v>68</v>
      </c>
      <c r="U276" t="str">
        <v>84141A</v>
      </c>
      <c r="V276" t="str">
        <v>5155A</v>
      </c>
      <c r="W276">
        <v>130</v>
      </c>
    </row>
    <row r="277" spans="1:23" x14ac:dyDescent="0.3">
      <c r="A277" s="3" t="s">
        <v>389</v>
      </c>
      <c r="B277" s="3" t="s">
        <v>457</v>
      </c>
      <c r="C277" s="3" t="s">
        <v>449</v>
      </c>
      <c r="D277" s="3" t="s">
        <v>416</v>
      </c>
      <c r="E277" s="3">
        <v>95</v>
      </c>
      <c r="F277" s="3">
        <v>95</v>
      </c>
      <c r="G277" s="3">
        <v>112</v>
      </c>
      <c r="H277" s="3">
        <v>112</v>
      </c>
      <c r="K277" t="str">
        <v>938P</v>
      </c>
      <c r="L277">
        <v>68</v>
      </c>
      <c r="N277" t="str">
        <v>10C</v>
      </c>
      <c r="O277" t="str">
        <v>1023E</v>
      </c>
      <c r="P277">
        <v>95</v>
      </c>
      <c r="R277" t="str">
        <v>938P</v>
      </c>
      <c r="S277">
        <v>68</v>
      </c>
      <c r="U277" t="str">
        <v>6526H</v>
      </c>
      <c r="V277" t="str">
        <v>9364G</v>
      </c>
      <c r="W277">
        <v>92</v>
      </c>
    </row>
    <row r="278" spans="1:23" x14ac:dyDescent="0.3">
      <c r="A278" s="3" t="s">
        <v>398</v>
      </c>
      <c r="B278" s="3" t="s">
        <v>444</v>
      </c>
      <c r="C278" s="3" t="s">
        <v>423</v>
      </c>
      <c r="D278" s="3" t="s">
        <v>451</v>
      </c>
      <c r="E278" s="3">
        <v>168</v>
      </c>
      <c r="F278" s="3">
        <v>168</v>
      </c>
      <c r="G278" s="3">
        <v>48</v>
      </c>
      <c r="H278" s="3">
        <v>48</v>
      </c>
      <c r="K278" t="str">
        <v>1469A</v>
      </c>
      <c r="L278">
        <v>97</v>
      </c>
      <c r="N278" t="str">
        <v>938X</v>
      </c>
      <c r="O278" t="str">
        <v>8675V</v>
      </c>
      <c r="P278">
        <v>168</v>
      </c>
      <c r="R278" t="str">
        <v>1469A</v>
      </c>
      <c r="S278">
        <v>97</v>
      </c>
      <c r="U278" t="str">
        <v>917A</v>
      </c>
      <c r="V278" t="str">
        <v>652A</v>
      </c>
      <c r="W278">
        <v>129</v>
      </c>
    </row>
    <row r="279" spans="1:23" x14ac:dyDescent="0.3">
      <c r="A279" s="3" t="s">
        <v>392</v>
      </c>
      <c r="B279" s="3" t="s">
        <v>432</v>
      </c>
      <c r="C279" s="3" t="s">
        <v>413</v>
      </c>
      <c r="D279" s="3" t="s">
        <v>426</v>
      </c>
      <c r="E279" s="3">
        <v>52</v>
      </c>
      <c r="F279" s="3">
        <v>52</v>
      </c>
      <c r="G279" s="3">
        <v>62</v>
      </c>
      <c r="H279" s="3">
        <v>62</v>
      </c>
      <c r="K279" t="str">
        <v>47874R</v>
      </c>
      <c r="L279">
        <v>97</v>
      </c>
      <c r="N279" t="str">
        <v>8675F</v>
      </c>
      <c r="O279" t="str">
        <v>16689Z</v>
      </c>
      <c r="P279">
        <v>52</v>
      </c>
      <c r="R279" t="str">
        <v>47874R</v>
      </c>
      <c r="S279">
        <v>97</v>
      </c>
      <c r="U279" t="str">
        <v>44244N</v>
      </c>
      <c r="V279" t="str">
        <v>51777H</v>
      </c>
      <c r="W279">
        <v>71</v>
      </c>
    </row>
    <row r="280" spans="1:23" x14ac:dyDescent="0.3">
      <c r="A280" s="3" t="s">
        <v>458</v>
      </c>
      <c r="B280" s="3" t="s">
        <v>411</v>
      </c>
      <c r="C280" s="3" t="s">
        <v>393</v>
      </c>
      <c r="D280" s="3" t="s">
        <v>436</v>
      </c>
      <c r="E280" s="3">
        <v>79</v>
      </c>
      <c r="F280" s="3">
        <v>79</v>
      </c>
      <c r="G280" s="3">
        <v>111</v>
      </c>
      <c r="H280" s="3">
        <v>111</v>
      </c>
      <c r="K280" t="str">
        <v>16689X</v>
      </c>
      <c r="L280">
        <v>69</v>
      </c>
      <c r="N280" t="str">
        <v>917A</v>
      </c>
      <c r="O280" t="str">
        <v>10J</v>
      </c>
      <c r="P280">
        <v>79</v>
      </c>
      <c r="R280" t="str">
        <v>16689X</v>
      </c>
      <c r="S280">
        <v>69</v>
      </c>
      <c r="U280" t="str">
        <v>51581E</v>
      </c>
      <c r="V280" t="str">
        <v>10J</v>
      </c>
      <c r="W280">
        <v>84</v>
      </c>
    </row>
    <row r="281" spans="1:23" x14ac:dyDescent="0.3">
      <c r="A281" s="3" t="s">
        <v>431</v>
      </c>
      <c r="B281" s="3" t="s">
        <v>454</v>
      </c>
      <c r="C281" s="3" t="s">
        <v>439</v>
      </c>
      <c r="D281" s="3" t="s">
        <v>402</v>
      </c>
      <c r="E281" s="3">
        <v>62</v>
      </c>
      <c r="F281" s="3">
        <v>62</v>
      </c>
      <c r="G281" s="3">
        <v>22</v>
      </c>
      <c r="H281" s="3">
        <v>22</v>
      </c>
      <c r="K281" t="str">
        <v>10E</v>
      </c>
      <c r="L281">
        <v>69</v>
      </c>
      <c r="N281" t="str">
        <v>938R</v>
      </c>
      <c r="O281" t="str">
        <v>7700H</v>
      </c>
      <c r="P281">
        <v>62</v>
      </c>
      <c r="R281" t="str">
        <v>10E</v>
      </c>
      <c r="S281">
        <v>69</v>
      </c>
      <c r="U281" t="str">
        <v>10M</v>
      </c>
      <c r="V281" t="str">
        <v>16689A</v>
      </c>
      <c r="W281">
        <v>80</v>
      </c>
    </row>
    <row r="282" spans="1:23" x14ac:dyDescent="0.3">
      <c r="A282" s="3" t="s">
        <v>407</v>
      </c>
      <c r="B282" s="3" t="s">
        <v>401</v>
      </c>
      <c r="C282" s="3" t="s">
        <v>448</v>
      </c>
      <c r="D282" s="3" t="s">
        <v>455</v>
      </c>
      <c r="E282" s="3">
        <v>94</v>
      </c>
      <c r="F282" s="3">
        <v>94</v>
      </c>
      <c r="G282" s="3">
        <v>70</v>
      </c>
      <c r="H282" s="3">
        <v>70</v>
      </c>
      <c r="K282" t="str">
        <v>884A</v>
      </c>
      <c r="L282">
        <v>104</v>
      </c>
      <c r="N282" t="str">
        <v>10F</v>
      </c>
      <c r="O282" t="str">
        <v>7899B</v>
      </c>
      <c r="P282">
        <v>94</v>
      </c>
      <c r="R282" t="str">
        <v>884A</v>
      </c>
      <c r="S282">
        <v>104</v>
      </c>
      <c r="U282" t="str" cm="1">
        <f t="array" ref="U282:U561">_xlfn.TOCOL(C320:C599)</f>
        <v>10B</v>
      </c>
      <c r="V282" t="str" cm="1">
        <f t="array" ref="V282:V561">_xlfn.TOCOL(D320:D599)</f>
        <v>5233J</v>
      </c>
      <c r="W282" cm="1">
        <f t="array" ref="W282:W561">_xlfn.TOCOL(G320:G599)</f>
        <v>107</v>
      </c>
    </row>
    <row r="283" spans="1:23" x14ac:dyDescent="0.3">
      <c r="A283" s="3" t="s">
        <v>443</v>
      </c>
      <c r="B283" s="3" t="s">
        <v>412</v>
      </c>
      <c r="C283" s="3" t="s">
        <v>446</v>
      </c>
      <c r="D283" s="3" t="s">
        <v>422</v>
      </c>
      <c r="E283" s="3">
        <v>80</v>
      </c>
      <c r="F283" s="3">
        <v>80</v>
      </c>
      <c r="G283" s="3">
        <v>123</v>
      </c>
      <c r="H283" s="3">
        <v>123</v>
      </c>
      <c r="K283" t="str">
        <v>10009A</v>
      </c>
      <c r="L283">
        <v>104</v>
      </c>
      <c r="N283" t="str">
        <v>609A</v>
      </c>
      <c r="O283" t="str">
        <v>6526D</v>
      </c>
      <c r="P283">
        <v>80</v>
      </c>
      <c r="R283" t="str">
        <v>10009A</v>
      </c>
      <c r="S283">
        <v>104</v>
      </c>
      <c r="U283" t="str">
        <v>12516A</v>
      </c>
      <c r="V283" t="str">
        <v>84141B</v>
      </c>
      <c r="W283">
        <v>56</v>
      </c>
    </row>
    <row r="284" spans="1:23" x14ac:dyDescent="0.3">
      <c r="A284" s="3" t="s">
        <v>424</v>
      </c>
      <c r="B284" s="3" t="s">
        <v>429</v>
      </c>
      <c r="C284" s="3" t="s">
        <v>438</v>
      </c>
      <c r="D284" s="3" t="s">
        <v>390</v>
      </c>
      <c r="E284" s="3">
        <v>70</v>
      </c>
      <c r="F284" s="3">
        <v>70</v>
      </c>
      <c r="G284" s="3">
        <v>47</v>
      </c>
      <c r="H284" s="3">
        <v>47</v>
      </c>
      <c r="K284" t="str">
        <v>10G</v>
      </c>
      <c r="L284">
        <v>44</v>
      </c>
      <c r="N284" t="str">
        <v>502A</v>
      </c>
      <c r="O284" t="str">
        <v>10T</v>
      </c>
      <c r="P284">
        <v>70</v>
      </c>
      <c r="R284" t="str">
        <v>10G</v>
      </c>
      <c r="S284">
        <v>44</v>
      </c>
      <c r="U284" t="str">
        <v>1010W</v>
      </c>
      <c r="V284" t="str">
        <v>51581S</v>
      </c>
      <c r="W284">
        <v>122</v>
      </c>
    </row>
    <row r="285" spans="1:23" x14ac:dyDescent="0.3">
      <c r="A285" s="3" t="s">
        <v>452</v>
      </c>
      <c r="B285" s="3" t="s">
        <v>416</v>
      </c>
      <c r="C285" s="3" t="s">
        <v>409</v>
      </c>
      <c r="D285" s="3" t="s">
        <v>460</v>
      </c>
      <c r="E285" s="3">
        <v>62</v>
      </c>
      <c r="F285" s="3">
        <v>62</v>
      </c>
      <c r="G285" s="3">
        <v>105</v>
      </c>
      <c r="H285" s="3">
        <v>105</v>
      </c>
      <c r="K285" t="str">
        <v>938M</v>
      </c>
      <c r="L285">
        <v>44</v>
      </c>
      <c r="N285" t="str">
        <v>3512E</v>
      </c>
      <c r="O285" t="str">
        <v>1687C</v>
      </c>
      <c r="P285">
        <v>62</v>
      </c>
      <c r="R285" t="str">
        <v>938M</v>
      </c>
      <c r="S285">
        <v>44</v>
      </c>
      <c r="U285" t="str">
        <v>886N</v>
      </c>
      <c r="V285" t="str">
        <v>8931R</v>
      </c>
      <c r="W285">
        <v>115</v>
      </c>
    </row>
    <row r="286" spans="1:23" x14ac:dyDescent="0.3">
      <c r="A286" s="3" t="s">
        <v>397</v>
      </c>
      <c r="B286" s="3" t="s">
        <v>421</v>
      </c>
      <c r="C286" s="3" t="s">
        <v>392</v>
      </c>
      <c r="D286" s="3" t="s">
        <v>451</v>
      </c>
      <c r="E286" s="3">
        <v>109</v>
      </c>
      <c r="F286" s="3">
        <v>109</v>
      </c>
      <c r="G286" s="3">
        <v>87</v>
      </c>
      <c r="H286" s="3">
        <v>87</v>
      </c>
      <c r="K286" t="str">
        <v>3583A</v>
      </c>
      <c r="L286">
        <v>91</v>
      </c>
      <c r="N286" t="str">
        <v>938A</v>
      </c>
      <c r="O286" t="str">
        <v>10012G</v>
      </c>
      <c r="P286">
        <v>109</v>
      </c>
      <c r="R286" t="str">
        <v>3583A</v>
      </c>
      <c r="S286">
        <v>91</v>
      </c>
      <c r="U286" t="str">
        <v>47874R</v>
      </c>
      <c r="V286" t="str">
        <v>949Z</v>
      </c>
      <c r="W286">
        <v>144</v>
      </c>
    </row>
    <row r="287" spans="1:23" x14ac:dyDescent="0.3">
      <c r="A287" s="3" t="s">
        <v>419</v>
      </c>
      <c r="B287" s="3" t="s">
        <v>398</v>
      </c>
      <c r="C287" s="3" t="s">
        <v>442</v>
      </c>
      <c r="D287" s="3" t="s">
        <v>456</v>
      </c>
      <c r="E287" s="3">
        <v>60</v>
      </c>
      <c r="F287" s="3">
        <v>60</v>
      </c>
      <c r="G287" s="3">
        <v>80</v>
      </c>
      <c r="H287" s="3">
        <v>80</v>
      </c>
      <c r="K287" t="str">
        <v>938J</v>
      </c>
      <c r="L287">
        <v>91</v>
      </c>
      <c r="N287" t="str">
        <v>537K</v>
      </c>
      <c r="O287" t="str">
        <v>938X</v>
      </c>
      <c r="P287">
        <v>60</v>
      </c>
      <c r="R287" t="str">
        <v>938J</v>
      </c>
      <c r="S287">
        <v>91</v>
      </c>
      <c r="U287" t="str">
        <v>7700P</v>
      </c>
      <c r="V287" t="str">
        <v>7700E</v>
      </c>
      <c r="W287">
        <v>30</v>
      </c>
    </row>
    <row r="288" spans="1:23" x14ac:dyDescent="0.3">
      <c r="A288" s="3" t="s">
        <v>441</v>
      </c>
      <c r="B288" s="3" t="s">
        <v>427</v>
      </c>
      <c r="C288" s="3" t="s">
        <v>389</v>
      </c>
      <c r="D288" s="3" t="s">
        <v>393</v>
      </c>
      <c r="E288" s="3">
        <v>98</v>
      </c>
      <c r="F288" s="3">
        <v>98</v>
      </c>
      <c r="G288" s="3">
        <v>90</v>
      </c>
      <c r="H288" s="3">
        <v>90</v>
      </c>
      <c r="K288" t="str">
        <v>98548C</v>
      </c>
      <c r="L288">
        <v>93</v>
      </c>
      <c r="N288" t="str">
        <v>1000A</v>
      </c>
      <c r="O288" t="str">
        <v>9364C</v>
      </c>
      <c r="P288">
        <v>98</v>
      </c>
      <c r="R288" t="str">
        <v>98548C</v>
      </c>
      <c r="S288">
        <v>93</v>
      </c>
      <c r="U288" t="str">
        <v>920B</v>
      </c>
      <c r="V288" t="str">
        <v>90385R</v>
      </c>
      <c r="W288">
        <v>65</v>
      </c>
    </row>
    <row r="289" spans="1:23" x14ac:dyDescent="0.3">
      <c r="A289" s="3" t="s">
        <v>448</v>
      </c>
      <c r="B289" s="3" t="s">
        <v>388</v>
      </c>
      <c r="C289" s="3" t="s">
        <v>414</v>
      </c>
      <c r="D289" s="3" t="s">
        <v>461</v>
      </c>
      <c r="E289" s="3">
        <v>83</v>
      </c>
      <c r="F289" s="3">
        <v>83</v>
      </c>
      <c r="G289" s="3">
        <v>87</v>
      </c>
      <c r="H289" s="3">
        <v>87</v>
      </c>
      <c r="K289" t="str">
        <v>98225J</v>
      </c>
      <c r="L289">
        <v>93</v>
      </c>
      <c r="N289" t="str">
        <v>84141X</v>
      </c>
      <c r="O289" t="str">
        <v>90385G</v>
      </c>
      <c r="P289">
        <v>83</v>
      </c>
      <c r="R289" t="str">
        <v>98225J</v>
      </c>
      <c r="S289">
        <v>93</v>
      </c>
      <c r="U289" t="str">
        <v>10W</v>
      </c>
      <c r="V289" t="str">
        <v>61002G</v>
      </c>
      <c r="W289">
        <v>82</v>
      </c>
    </row>
    <row r="290" spans="1:23" x14ac:dyDescent="0.3">
      <c r="A290" s="3" t="s">
        <v>418</v>
      </c>
      <c r="B290" s="3" t="s">
        <v>449</v>
      </c>
      <c r="C290" s="3" t="s">
        <v>434</v>
      </c>
      <c r="D290" s="3" t="s">
        <v>444</v>
      </c>
      <c r="E290" s="3">
        <v>31</v>
      </c>
      <c r="F290" s="3">
        <v>31</v>
      </c>
      <c r="G290" s="3">
        <v>90</v>
      </c>
      <c r="H290" s="3">
        <v>90</v>
      </c>
      <c r="K290" t="str">
        <v>949Z</v>
      </c>
      <c r="L290">
        <v>104</v>
      </c>
      <c r="N290" t="str">
        <v>938H</v>
      </c>
      <c r="O290" t="str">
        <v>98225M</v>
      </c>
      <c r="P290">
        <v>31</v>
      </c>
      <c r="R290" t="str">
        <v>949Z</v>
      </c>
      <c r="S290">
        <v>104</v>
      </c>
      <c r="U290" t="str">
        <v>938T</v>
      </c>
      <c r="V290" t="str">
        <v>93199G</v>
      </c>
      <c r="W290">
        <v>73</v>
      </c>
    </row>
    <row r="291" spans="1:23" x14ac:dyDescent="0.3">
      <c r="A291" s="3" t="s">
        <v>406</v>
      </c>
      <c r="B291" s="3" t="s">
        <v>423</v>
      </c>
      <c r="C291" s="3" t="s">
        <v>433</v>
      </c>
      <c r="D291" s="3" t="s">
        <v>457</v>
      </c>
      <c r="E291" s="3">
        <v>43</v>
      </c>
      <c r="F291" s="3">
        <v>43</v>
      </c>
      <c r="G291" s="3">
        <v>105</v>
      </c>
      <c r="H291" s="3">
        <v>105</v>
      </c>
      <c r="K291" t="str">
        <v>938T</v>
      </c>
      <c r="L291">
        <v>104</v>
      </c>
      <c r="N291" t="str">
        <v>2681A</v>
      </c>
      <c r="O291" t="str">
        <v>938U</v>
      </c>
      <c r="P291">
        <v>43</v>
      </c>
      <c r="R291" t="str">
        <v>938T</v>
      </c>
      <c r="S291">
        <v>104</v>
      </c>
      <c r="U291" t="str">
        <v>3512D</v>
      </c>
      <c r="V291" t="str">
        <v>9364D</v>
      </c>
      <c r="W291">
        <v>116</v>
      </c>
    </row>
    <row r="292" spans="1:23" x14ac:dyDescent="0.3">
      <c r="A292" s="3" t="s">
        <v>407</v>
      </c>
      <c r="B292" s="3" t="s">
        <v>454</v>
      </c>
      <c r="C292" s="3" t="s">
        <v>417</v>
      </c>
      <c r="D292" s="3" t="s">
        <v>447</v>
      </c>
      <c r="E292" s="3">
        <v>63</v>
      </c>
      <c r="F292" s="3">
        <v>63</v>
      </c>
      <c r="G292" s="3">
        <v>20</v>
      </c>
      <c r="H292" s="3">
        <v>20</v>
      </c>
      <c r="K292" t="str">
        <v>90385R</v>
      </c>
      <c r="L292">
        <v>106</v>
      </c>
      <c r="N292" t="str">
        <v>10F</v>
      </c>
      <c r="O292" t="str">
        <v>7700H</v>
      </c>
      <c r="P292">
        <v>63</v>
      </c>
      <c r="R292" t="str">
        <v>90385R</v>
      </c>
      <c r="S292">
        <v>106</v>
      </c>
      <c r="U292" t="str">
        <v>44244S</v>
      </c>
      <c r="V292" t="str">
        <v>3484X</v>
      </c>
      <c r="W292">
        <v>70</v>
      </c>
    </row>
    <row r="293" spans="1:23" x14ac:dyDescent="0.3">
      <c r="A293" s="3" t="s">
        <v>402</v>
      </c>
      <c r="B293" s="3" t="s">
        <v>453</v>
      </c>
      <c r="C293" s="3" t="s">
        <v>436</v>
      </c>
      <c r="D293" s="3" t="s">
        <v>455</v>
      </c>
      <c r="E293" s="3">
        <v>130</v>
      </c>
      <c r="F293" s="3">
        <v>130</v>
      </c>
      <c r="G293" s="3">
        <v>83</v>
      </c>
      <c r="H293" s="3">
        <v>83</v>
      </c>
      <c r="K293" t="str">
        <v>5327S</v>
      </c>
      <c r="L293">
        <v>106</v>
      </c>
      <c r="N293" t="str">
        <v>84141A</v>
      </c>
      <c r="O293" t="str">
        <v>5155A</v>
      </c>
      <c r="P293">
        <v>130</v>
      </c>
      <c r="R293" t="str">
        <v>5327S</v>
      </c>
      <c r="S293">
        <v>106</v>
      </c>
      <c r="U293" t="str">
        <v>98548C</v>
      </c>
      <c r="V293" t="str">
        <v>10S</v>
      </c>
      <c r="W293">
        <v>87</v>
      </c>
    </row>
    <row r="294" spans="1:23" x14ac:dyDescent="0.3">
      <c r="A294" s="3" t="s">
        <v>408</v>
      </c>
      <c r="B294" s="3" t="s">
        <v>403</v>
      </c>
      <c r="C294" s="3" t="s">
        <v>399</v>
      </c>
      <c r="D294" s="3" t="s">
        <v>413</v>
      </c>
      <c r="E294" s="3">
        <v>92</v>
      </c>
      <c r="F294" s="3">
        <v>92</v>
      </c>
      <c r="G294" s="3">
        <v>59</v>
      </c>
      <c r="H294" s="3">
        <v>59</v>
      </c>
      <c r="K294" t="str">
        <v>10K</v>
      </c>
      <c r="L294">
        <v>140</v>
      </c>
      <c r="N294" t="str">
        <v>6526H</v>
      </c>
      <c r="O294" t="str">
        <v>9364G</v>
      </c>
      <c r="P294">
        <v>92</v>
      </c>
      <c r="R294" t="str">
        <v>10K</v>
      </c>
      <c r="S294">
        <v>140</v>
      </c>
      <c r="U294" t="str">
        <v>609B</v>
      </c>
      <c r="V294" t="str">
        <v>3583A</v>
      </c>
      <c r="W294">
        <v>47</v>
      </c>
    </row>
    <row r="295" spans="1:23" x14ac:dyDescent="0.3">
      <c r="A295" s="3" t="s">
        <v>458</v>
      </c>
      <c r="B295" s="3" t="s">
        <v>428</v>
      </c>
      <c r="C295" s="3" t="s">
        <v>439</v>
      </c>
      <c r="D295" s="3" t="s">
        <v>432</v>
      </c>
      <c r="E295" s="3">
        <v>129</v>
      </c>
      <c r="F295" s="3">
        <v>129</v>
      </c>
      <c r="G295" s="3">
        <v>59</v>
      </c>
      <c r="H295" s="3">
        <v>59</v>
      </c>
      <c r="K295" t="str">
        <v>1010W</v>
      </c>
      <c r="L295">
        <v>140</v>
      </c>
      <c r="N295" t="str">
        <v>917A</v>
      </c>
      <c r="O295" t="str">
        <v>652A</v>
      </c>
      <c r="P295">
        <v>129</v>
      </c>
      <c r="R295" t="str">
        <v>1010W</v>
      </c>
      <c r="S295">
        <v>140</v>
      </c>
      <c r="U295" t="str">
        <v>10G</v>
      </c>
      <c r="V295" t="str">
        <v>10K</v>
      </c>
      <c r="W295">
        <v>78</v>
      </c>
    </row>
    <row r="296" spans="1:23" x14ac:dyDescent="0.3">
      <c r="A296" s="3" t="s">
        <v>404</v>
      </c>
      <c r="B296" s="3" t="s">
        <v>396</v>
      </c>
      <c r="C296" s="3" t="s">
        <v>395</v>
      </c>
      <c r="D296" s="3" t="s">
        <v>431</v>
      </c>
      <c r="E296" s="3">
        <v>71</v>
      </c>
      <c r="F296" s="3">
        <v>71</v>
      </c>
      <c r="G296" s="3">
        <v>63</v>
      </c>
      <c r="H296" s="3">
        <v>63</v>
      </c>
      <c r="K296" t="str">
        <v>47874A</v>
      </c>
      <c r="L296">
        <v>67</v>
      </c>
      <c r="N296" t="str">
        <v>44244N</v>
      </c>
      <c r="O296" t="str">
        <v>51777H</v>
      </c>
      <c r="P296">
        <v>71</v>
      </c>
      <c r="R296" t="str">
        <v>47874A</v>
      </c>
      <c r="S296">
        <v>67</v>
      </c>
      <c r="U296" t="str">
        <v>938E</v>
      </c>
      <c r="V296" t="str">
        <v>938W</v>
      </c>
      <c r="W296">
        <v>15</v>
      </c>
    </row>
    <row r="297" spans="1:23" x14ac:dyDescent="0.3">
      <c r="A297" s="3" t="s">
        <v>387</v>
      </c>
      <c r="B297" s="3" t="s">
        <v>411</v>
      </c>
      <c r="C297" s="3" t="s">
        <v>401</v>
      </c>
      <c r="D297" s="3" t="s">
        <v>426</v>
      </c>
      <c r="E297" s="3">
        <v>84</v>
      </c>
      <c r="F297" s="3">
        <v>84</v>
      </c>
      <c r="G297" s="3">
        <v>127</v>
      </c>
      <c r="H297" s="3">
        <v>127</v>
      </c>
      <c r="K297" t="str">
        <v>299Y</v>
      </c>
      <c r="L297">
        <v>67</v>
      </c>
      <c r="N297" t="str">
        <v>51581E</v>
      </c>
      <c r="O297" t="str">
        <v>10J</v>
      </c>
      <c r="P297">
        <v>84</v>
      </c>
      <c r="R297" t="str">
        <v>299Y</v>
      </c>
      <c r="S297">
        <v>67</v>
      </c>
      <c r="U297" t="str">
        <v>99621B</v>
      </c>
      <c r="V297" t="str">
        <v>10B</v>
      </c>
      <c r="W297">
        <v>120</v>
      </c>
    </row>
    <row r="298" spans="1:23" x14ac:dyDescent="0.3">
      <c r="A298" s="3" t="s">
        <v>394</v>
      </c>
      <c r="B298" s="3" t="s">
        <v>437</v>
      </c>
      <c r="C298" s="3" t="s">
        <v>397</v>
      </c>
      <c r="D298" s="3" t="s">
        <v>433</v>
      </c>
      <c r="E298" s="3">
        <v>80</v>
      </c>
      <c r="F298" s="3">
        <v>80</v>
      </c>
      <c r="G298" s="3">
        <v>96</v>
      </c>
      <c r="H298" s="3">
        <v>96</v>
      </c>
      <c r="K298" t="str">
        <v>3484X</v>
      </c>
      <c r="L298">
        <v>142</v>
      </c>
      <c r="N298" t="str">
        <v>10M</v>
      </c>
      <c r="O298" t="str">
        <v>16689A</v>
      </c>
      <c r="P298">
        <v>80</v>
      </c>
      <c r="R298" t="str">
        <v>3484X</v>
      </c>
      <c r="S298">
        <v>142</v>
      </c>
      <c r="U298" t="str">
        <v>938B</v>
      </c>
      <c r="V298" t="str">
        <v>7899A</v>
      </c>
      <c r="W298">
        <v>25</v>
      </c>
    </row>
    <row r="299" spans="1:23" x14ac:dyDescent="0.3">
      <c r="A299" s="3" t="s">
        <v>446</v>
      </c>
      <c r="B299" s="3" t="s">
        <v>389</v>
      </c>
      <c r="C299" s="3" t="s">
        <v>416</v>
      </c>
      <c r="D299" s="3" t="s">
        <v>429</v>
      </c>
      <c r="E299" s="3">
        <v>163</v>
      </c>
      <c r="F299" s="3">
        <v>163</v>
      </c>
      <c r="G299" s="3">
        <v>65</v>
      </c>
      <c r="H299" s="3">
        <v>65</v>
      </c>
      <c r="K299" t="str">
        <v>11101B</v>
      </c>
      <c r="L299">
        <v>142</v>
      </c>
      <c r="N299" t="str">
        <v>229V</v>
      </c>
      <c r="O299" t="str">
        <v>10C</v>
      </c>
      <c r="P299">
        <v>163</v>
      </c>
      <c r="R299" t="str">
        <v>11101B</v>
      </c>
      <c r="S299">
        <v>142</v>
      </c>
      <c r="U299" t="str">
        <v>9364H</v>
      </c>
      <c r="V299" t="str">
        <v>938T</v>
      </c>
      <c r="W299">
        <v>111</v>
      </c>
    </row>
    <row r="300" spans="1:23" x14ac:dyDescent="0.3">
      <c r="A300" s="3" t="s">
        <v>428</v>
      </c>
      <c r="B300" s="3" t="s">
        <v>441</v>
      </c>
      <c r="C300" s="3" t="s">
        <v>437</v>
      </c>
      <c r="D300" s="3" t="s">
        <v>461</v>
      </c>
      <c r="E300" s="3">
        <v>103</v>
      </c>
      <c r="F300" s="3">
        <v>103</v>
      </c>
      <c r="G300" s="3">
        <v>80</v>
      </c>
      <c r="H300" s="3">
        <v>80</v>
      </c>
      <c r="K300" t="str">
        <v>12516A</v>
      </c>
      <c r="L300">
        <v>49</v>
      </c>
      <c r="N300" t="str">
        <v>652A</v>
      </c>
      <c r="O300" t="str">
        <v>1000A</v>
      </c>
      <c r="P300">
        <v>103</v>
      </c>
      <c r="R300" t="str">
        <v>12516A</v>
      </c>
      <c r="S300">
        <v>49</v>
      </c>
      <c r="U300" t="str">
        <v>11101B</v>
      </c>
      <c r="V300" t="str">
        <v>10E</v>
      </c>
      <c r="W300">
        <v>117</v>
      </c>
    </row>
    <row r="301" spans="1:23" x14ac:dyDescent="0.3">
      <c r="A301" s="3" t="s">
        <v>436</v>
      </c>
      <c r="B301" s="3" t="s">
        <v>460</v>
      </c>
      <c r="C301" s="3" t="s">
        <v>408</v>
      </c>
      <c r="D301" s="3" t="s">
        <v>387</v>
      </c>
      <c r="E301" s="3">
        <v>103</v>
      </c>
      <c r="F301" s="3">
        <v>103</v>
      </c>
      <c r="G301" s="3">
        <v>87</v>
      </c>
      <c r="H301" s="3">
        <v>87</v>
      </c>
      <c r="K301" t="str">
        <v>99621B</v>
      </c>
      <c r="L301">
        <v>49</v>
      </c>
      <c r="N301" t="str">
        <v>1168A</v>
      </c>
      <c r="O301" t="str">
        <v>66475C</v>
      </c>
      <c r="P301">
        <v>103</v>
      </c>
      <c r="R301" t="str">
        <v>99621B</v>
      </c>
      <c r="S301">
        <v>49</v>
      </c>
      <c r="U301" t="str">
        <v>1091A</v>
      </c>
      <c r="V301" t="str">
        <v>99621H</v>
      </c>
      <c r="W301">
        <v>72</v>
      </c>
    </row>
    <row r="302" spans="1:23" x14ac:dyDescent="0.3">
      <c r="A302" s="3" t="s">
        <v>398</v>
      </c>
      <c r="B302" s="3" t="s">
        <v>426</v>
      </c>
      <c r="C302" s="3" t="s">
        <v>421</v>
      </c>
      <c r="D302" s="3" t="s">
        <v>427</v>
      </c>
      <c r="E302" s="3">
        <v>65</v>
      </c>
      <c r="F302" s="3">
        <v>65</v>
      </c>
      <c r="G302" s="3">
        <v>100</v>
      </c>
      <c r="H302" s="3">
        <v>100</v>
      </c>
      <c r="K302" t="str">
        <v>10B</v>
      </c>
      <c r="L302">
        <v>94</v>
      </c>
      <c r="N302" t="str">
        <v>938X</v>
      </c>
      <c r="O302" t="str">
        <v>1698Y</v>
      </c>
      <c r="P302">
        <v>65</v>
      </c>
      <c r="R302" t="str">
        <v>10B</v>
      </c>
      <c r="S302">
        <v>94</v>
      </c>
      <c r="U302" t="str">
        <v>938J</v>
      </c>
      <c r="V302" t="str">
        <v>10N</v>
      </c>
      <c r="W302">
        <v>77</v>
      </c>
    </row>
    <row r="303" spans="1:23" x14ac:dyDescent="0.3">
      <c r="A303" s="3" t="s">
        <v>446</v>
      </c>
      <c r="B303" s="3" t="s">
        <v>389</v>
      </c>
      <c r="C303" s="3" t="s">
        <v>428</v>
      </c>
      <c r="D303" s="3" t="s">
        <v>441</v>
      </c>
      <c r="E303" s="3">
        <v>105</v>
      </c>
      <c r="F303" s="3">
        <v>105</v>
      </c>
      <c r="G303" s="3">
        <v>90</v>
      </c>
      <c r="H303" s="3">
        <v>90</v>
      </c>
      <c r="K303" t="str">
        <v>10S</v>
      </c>
      <c r="L303">
        <v>94</v>
      </c>
      <c r="N303" t="str">
        <v>229V</v>
      </c>
      <c r="O303" t="str">
        <v>10C</v>
      </c>
      <c r="P303">
        <v>105</v>
      </c>
      <c r="R303" t="str">
        <v>10S</v>
      </c>
      <c r="S303">
        <v>94</v>
      </c>
      <c r="U303" t="str">
        <v>1469A</v>
      </c>
      <c r="V303" t="str">
        <v>938G</v>
      </c>
      <c r="W303">
        <v>59</v>
      </c>
    </row>
    <row r="304" spans="1:23" x14ac:dyDescent="0.3">
      <c r="A304" s="3" t="s">
        <v>436</v>
      </c>
      <c r="B304" s="3" t="s">
        <v>460</v>
      </c>
      <c r="C304" s="3" t="s">
        <v>421</v>
      </c>
      <c r="D304" s="3" t="s">
        <v>427</v>
      </c>
      <c r="E304" s="3">
        <v>85</v>
      </c>
      <c r="F304" s="3">
        <v>85</v>
      </c>
      <c r="G304" s="3">
        <v>128</v>
      </c>
      <c r="H304" s="3">
        <v>128</v>
      </c>
      <c r="K304" t="str">
        <v>3512D</v>
      </c>
      <c r="L304">
        <v>53</v>
      </c>
      <c r="N304" t="str">
        <v>1168A</v>
      </c>
      <c r="O304" t="str">
        <v>66475C</v>
      </c>
      <c r="P304">
        <v>85</v>
      </c>
      <c r="R304" t="str">
        <v>3512D</v>
      </c>
      <c r="S304">
        <v>53</v>
      </c>
      <c r="U304" t="str">
        <v>938E</v>
      </c>
      <c r="V304" t="str">
        <v>84141B</v>
      </c>
      <c r="W304">
        <v>78</v>
      </c>
    </row>
    <row r="305" spans="1:23" x14ac:dyDescent="0.3">
      <c r="A305" s="3" t="s">
        <v>446</v>
      </c>
      <c r="B305" s="3" t="s">
        <v>389</v>
      </c>
      <c r="C305" s="3" t="s">
        <v>421</v>
      </c>
      <c r="D305" s="3" t="s">
        <v>427</v>
      </c>
      <c r="E305" s="3">
        <v>158</v>
      </c>
      <c r="F305" s="3">
        <v>158</v>
      </c>
      <c r="G305" s="3">
        <v>90</v>
      </c>
      <c r="H305" s="3">
        <v>90</v>
      </c>
      <c r="K305" t="str">
        <v>98225F</v>
      </c>
      <c r="L305">
        <v>53</v>
      </c>
      <c r="N305" t="str">
        <v>229V</v>
      </c>
      <c r="O305" t="str">
        <v>10C</v>
      </c>
      <c r="P305">
        <v>158</v>
      </c>
      <c r="R305" t="str">
        <v>98225F</v>
      </c>
      <c r="S305">
        <v>53</v>
      </c>
      <c r="U305" t="str">
        <v>609B</v>
      </c>
      <c r="V305" t="str">
        <v>98548C</v>
      </c>
      <c r="W305">
        <v>58</v>
      </c>
    </row>
    <row r="306" spans="1:23" x14ac:dyDescent="0.3">
      <c r="A306" s="3" t="s">
        <v>446</v>
      </c>
      <c r="B306" s="3" t="s">
        <v>389</v>
      </c>
      <c r="C306" s="3" t="s">
        <v>421</v>
      </c>
      <c r="D306" s="3" t="s">
        <v>427</v>
      </c>
      <c r="E306" s="3">
        <v>105</v>
      </c>
      <c r="F306" s="3">
        <v>105</v>
      </c>
      <c r="G306" s="3">
        <v>97</v>
      </c>
      <c r="H306" s="3">
        <v>97</v>
      </c>
      <c r="K306" t="str">
        <v>938G</v>
      </c>
      <c r="L306">
        <v>113</v>
      </c>
      <c r="N306" t="str">
        <v>229V</v>
      </c>
      <c r="O306" t="str">
        <v>10C</v>
      </c>
      <c r="P306">
        <v>105</v>
      </c>
      <c r="R306" t="str">
        <v>938G</v>
      </c>
      <c r="S306">
        <v>113</v>
      </c>
      <c r="U306" t="str">
        <v>98225J</v>
      </c>
      <c r="V306" t="str">
        <v>2605B</v>
      </c>
      <c r="W306">
        <v>102</v>
      </c>
    </row>
    <row r="307" spans="1:23" x14ac:dyDescent="0.3">
      <c r="A307" s="3" t="s">
        <v>446</v>
      </c>
      <c r="B307" s="3" t="s">
        <v>389</v>
      </c>
      <c r="C307" s="3" t="s">
        <v>395</v>
      </c>
      <c r="D307" s="3" t="s">
        <v>394</v>
      </c>
      <c r="E307" s="3">
        <v>160</v>
      </c>
      <c r="F307" s="3">
        <v>160</v>
      </c>
      <c r="G307" s="3">
        <v>54</v>
      </c>
      <c r="H307" s="3">
        <v>54</v>
      </c>
      <c r="K307" t="str">
        <v>10N</v>
      </c>
      <c r="L307">
        <v>113</v>
      </c>
      <c r="N307" t="str">
        <v>229V</v>
      </c>
      <c r="O307" t="str">
        <v>10C</v>
      </c>
      <c r="P307">
        <v>160</v>
      </c>
      <c r="R307" t="str">
        <v>10N</v>
      </c>
      <c r="S307">
        <v>113</v>
      </c>
      <c r="U307" t="str">
        <v>47874A</v>
      </c>
      <c r="V307" t="str">
        <v>938P</v>
      </c>
      <c r="W307">
        <v>36</v>
      </c>
    </row>
    <row r="308" spans="1:23" x14ac:dyDescent="0.3">
      <c r="A308" s="3" t="s">
        <v>453</v>
      </c>
      <c r="B308" s="3" t="s">
        <v>392</v>
      </c>
      <c r="C308" s="3" t="s">
        <v>416</v>
      </c>
      <c r="D308" s="3" t="s">
        <v>429</v>
      </c>
      <c r="E308" s="3">
        <v>0</v>
      </c>
      <c r="F308" s="3">
        <v>0</v>
      </c>
      <c r="G308" s="3">
        <v>115</v>
      </c>
      <c r="H308" s="3">
        <v>115</v>
      </c>
      <c r="K308" t="str">
        <v>7700E</v>
      </c>
      <c r="L308">
        <v>63</v>
      </c>
      <c r="N308" t="str">
        <v>5155A</v>
      </c>
      <c r="O308" t="str">
        <v>8675F</v>
      </c>
      <c r="P308">
        <v>0</v>
      </c>
      <c r="R308" t="str">
        <v>7700E</v>
      </c>
      <c r="S308">
        <v>63</v>
      </c>
      <c r="U308" t="str">
        <v>16689X</v>
      </c>
      <c r="V308" t="str">
        <v>1248X</v>
      </c>
      <c r="W308">
        <v>47</v>
      </c>
    </row>
    <row r="309" spans="1:23" x14ac:dyDescent="0.3">
      <c r="A309" s="3" t="s">
        <v>428</v>
      </c>
      <c r="B309" s="3" t="s">
        <v>441</v>
      </c>
      <c r="C309" s="3" t="s">
        <v>401</v>
      </c>
      <c r="D309" s="3" t="s">
        <v>407</v>
      </c>
      <c r="E309" s="3">
        <v>140</v>
      </c>
      <c r="F309" s="3">
        <v>140</v>
      </c>
      <c r="G309" s="3">
        <v>55</v>
      </c>
      <c r="H309" s="3">
        <v>55</v>
      </c>
      <c r="K309" t="str">
        <v>938B</v>
      </c>
      <c r="L309">
        <v>63</v>
      </c>
      <c r="N309" t="str">
        <v>652A</v>
      </c>
      <c r="O309" t="str">
        <v>1000A</v>
      </c>
      <c r="P309">
        <v>140</v>
      </c>
      <c r="R309" t="str">
        <v>938B</v>
      </c>
      <c r="S309">
        <v>63</v>
      </c>
      <c r="U309" t="str">
        <v>8675R</v>
      </c>
      <c r="V309" t="str">
        <v>16689D</v>
      </c>
      <c r="W309">
        <v>65</v>
      </c>
    </row>
    <row r="310" spans="1:23" x14ac:dyDescent="0.3">
      <c r="A310" s="3" t="s">
        <v>437</v>
      </c>
      <c r="B310" s="3" t="s">
        <v>461</v>
      </c>
      <c r="C310" s="3" t="s">
        <v>403</v>
      </c>
      <c r="D310" s="3" t="s">
        <v>393</v>
      </c>
      <c r="E310" s="3">
        <v>121</v>
      </c>
      <c r="F310" s="3">
        <v>121</v>
      </c>
      <c r="G310" s="3">
        <v>72</v>
      </c>
      <c r="H310" s="3">
        <v>72</v>
      </c>
      <c r="K310" t="str">
        <v>1248X</v>
      </c>
      <c r="L310">
        <v>132</v>
      </c>
      <c r="N310" t="str">
        <v>16689A</v>
      </c>
      <c r="O310" t="str">
        <v>1258V</v>
      </c>
      <c r="P310">
        <v>121</v>
      </c>
      <c r="R310" t="str">
        <v>1248X</v>
      </c>
      <c r="S310">
        <v>132</v>
      </c>
      <c r="U310" t="str">
        <v>6526E</v>
      </c>
      <c r="V310" t="str">
        <v>10009A</v>
      </c>
      <c r="W310">
        <v>108</v>
      </c>
    </row>
    <row r="311" spans="1:23" x14ac:dyDescent="0.3">
      <c r="A311" s="3" t="s">
        <v>436</v>
      </c>
      <c r="B311" s="3" t="s">
        <v>460</v>
      </c>
      <c r="C311" s="3" t="s">
        <v>419</v>
      </c>
      <c r="D311" s="3" t="s">
        <v>396</v>
      </c>
      <c r="E311" s="3">
        <v>84</v>
      </c>
      <c r="F311" s="3">
        <v>84</v>
      </c>
      <c r="G311" s="3">
        <v>60</v>
      </c>
      <c r="H311" s="3">
        <v>60</v>
      </c>
      <c r="K311" t="str">
        <v>886N</v>
      </c>
      <c r="L311">
        <v>132</v>
      </c>
      <c r="N311" t="str">
        <v>1168A</v>
      </c>
      <c r="O311" t="str">
        <v>66475C</v>
      </c>
      <c r="P311">
        <v>84</v>
      </c>
      <c r="R311" t="str">
        <v>886N</v>
      </c>
      <c r="S311">
        <v>132</v>
      </c>
      <c r="U311" t="str">
        <v>502X</v>
      </c>
      <c r="V311" t="str">
        <v>80001B</v>
      </c>
      <c r="W311">
        <v>136</v>
      </c>
    </row>
    <row r="312" spans="1:23" x14ac:dyDescent="0.3">
      <c r="A312" s="3" t="s">
        <v>414</v>
      </c>
      <c r="B312" s="3" t="s">
        <v>457</v>
      </c>
      <c r="C312" s="3" t="s">
        <v>408</v>
      </c>
      <c r="D312" s="3" t="s">
        <v>387</v>
      </c>
      <c r="E312" s="3">
        <v>0</v>
      </c>
      <c r="F312" s="3">
        <v>0</v>
      </c>
      <c r="G312" s="3">
        <v>72</v>
      </c>
      <c r="H312" s="3">
        <v>72</v>
      </c>
      <c r="K312" t="str">
        <v>10E</v>
      </c>
      <c r="L312">
        <v>49</v>
      </c>
      <c r="N312" t="str">
        <v>884B</v>
      </c>
      <c r="O312" t="str">
        <v>1023E</v>
      </c>
      <c r="P312">
        <v>0</v>
      </c>
      <c r="R312" t="str">
        <v>10E</v>
      </c>
      <c r="S312">
        <v>49</v>
      </c>
      <c r="U312" t="str">
        <v>604X</v>
      </c>
      <c r="V312" t="str">
        <v>39313Z</v>
      </c>
      <c r="W312">
        <v>63</v>
      </c>
    </row>
    <row r="313" spans="1:23" x14ac:dyDescent="0.3">
      <c r="A313" s="3" t="s">
        <v>398</v>
      </c>
      <c r="B313" s="3" t="s">
        <v>426</v>
      </c>
      <c r="C313" s="3" t="s">
        <v>423</v>
      </c>
      <c r="D313" s="3" t="s">
        <v>397</v>
      </c>
      <c r="E313" s="3">
        <v>158</v>
      </c>
      <c r="F313" s="3">
        <v>158</v>
      </c>
      <c r="G313" s="3">
        <v>0</v>
      </c>
      <c r="H313" s="3">
        <v>0</v>
      </c>
      <c r="K313" t="str">
        <v>609B</v>
      </c>
      <c r="L313">
        <v>49</v>
      </c>
      <c r="N313" t="str">
        <v>938X</v>
      </c>
      <c r="O313" t="str">
        <v>1698Y</v>
      </c>
      <c r="P313">
        <v>158</v>
      </c>
      <c r="R313" t="str">
        <v>609B</v>
      </c>
      <c r="S313">
        <v>49</v>
      </c>
      <c r="U313" t="str">
        <v>11101B</v>
      </c>
      <c r="V313" t="str">
        <v>10N</v>
      </c>
      <c r="W313">
        <v>133</v>
      </c>
    </row>
    <row r="314" spans="1:23" x14ac:dyDescent="0.3">
      <c r="A314" s="3" t="s">
        <v>421</v>
      </c>
      <c r="B314" s="3" t="s">
        <v>427</v>
      </c>
      <c r="C314" s="3" t="s">
        <v>422</v>
      </c>
      <c r="D314" s="3" t="s">
        <v>433</v>
      </c>
      <c r="E314" s="3">
        <v>168</v>
      </c>
      <c r="F314" s="3">
        <v>168</v>
      </c>
      <c r="G314" s="3">
        <v>100</v>
      </c>
      <c r="H314" s="3">
        <v>100</v>
      </c>
      <c r="K314" t="str">
        <v>98548C</v>
      </c>
      <c r="L314">
        <v>75</v>
      </c>
      <c r="N314" t="str">
        <v>10012G</v>
      </c>
      <c r="O314" t="str">
        <v>9364C</v>
      </c>
      <c r="P314">
        <v>168</v>
      </c>
      <c r="R314" t="str">
        <v>98548C</v>
      </c>
      <c r="S314">
        <v>75</v>
      </c>
      <c r="U314" t="str">
        <v>884A</v>
      </c>
      <c r="V314" t="str">
        <v>7700P</v>
      </c>
      <c r="W314">
        <v>75</v>
      </c>
    </row>
    <row r="315" spans="1:23" x14ac:dyDescent="0.3">
      <c r="A315" s="6" t="s">
        <v>446</v>
      </c>
      <c r="B315" s="6" t="s">
        <v>389</v>
      </c>
      <c r="C315" s="6" t="s">
        <v>27</v>
      </c>
      <c r="D315" s="6" t="s">
        <v>43</v>
      </c>
      <c r="E315" s="6">
        <v>138</v>
      </c>
      <c r="F315" s="6">
        <v>138</v>
      </c>
      <c r="G315" s="6">
        <v>77</v>
      </c>
      <c r="H315" s="6">
        <v>77</v>
      </c>
      <c r="K315" t="str">
        <v>938M</v>
      </c>
      <c r="L315">
        <v>75</v>
      </c>
      <c r="N315" t="str">
        <v>229V</v>
      </c>
      <c r="O315" t="str">
        <v>10C</v>
      </c>
      <c r="P315">
        <v>138</v>
      </c>
      <c r="R315" t="str">
        <v>938M</v>
      </c>
      <c r="S315">
        <v>75</v>
      </c>
      <c r="U315" t="str">
        <v>3484X</v>
      </c>
      <c r="V315" t="str">
        <v>90385R</v>
      </c>
      <c r="W315">
        <v>74</v>
      </c>
    </row>
    <row r="316" spans="1:23" x14ac:dyDescent="0.3">
      <c r="A316" s="6" t="s">
        <v>446</v>
      </c>
      <c r="B316" s="6" t="s">
        <v>389</v>
      </c>
      <c r="C316" s="6" t="s">
        <v>27</v>
      </c>
      <c r="D316" s="6" t="s">
        <v>43</v>
      </c>
      <c r="E316" s="6">
        <v>129</v>
      </c>
      <c r="F316" s="6">
        <v>129</v>
      </c>
      <c r="G316" s="6">
        <v>89</v>
      </c>
      <c r="H316" s="6">
        <v>89</v>
      </c>
      <c r="K316" t="str">
        <v>84141B</v>
      </c>
      <c r="L316">
        <v>100</v>
      </c>
      <c r="N316" t="str">
        <v>229V</v>
      </c>
      <c r="O316" t="str">
        <v>10C</v>
      </c>
      <c r="P316">
        <v>129</v>
      </c>
      <c r="R316" t="str">
        <v>84141B</v>
      </c>
      <c r="S316">
        <v>100</v>
      </c>
      <c r="U316" t="str">
        <v>47874A</v>
      </c>
      <c r="V316" t="str">
        <v>1091A</v>
      </c>
      <c r="W316">
        <v>91</v>
      </c>
    </row>
    <row r="317" spans="1:23" x14ac:dyDescent="0.3">
      <c r="K317" t="str">
        <v>44244S</v>
      </c>
      <c r="L317">
        <v>100</v>
      </c>
      <c r="N317" t="str" cm="1">
        <f t="array" ref="N317:N631">_xlfn.TOCOL(C2:C316)</f>
        <v>10B</v>
      </c>
      <c r="O317" t="str" cm="1">
        <f t="array" ref="O317:O631">_xlfn.TOCOL(D2:D316)</f>
        <v>5233J</v>
      </c>
      <c r="P317" cm="1">
        <f t="array" ref="P317:P631">_xlfn.TOCOL(G2:G316)</f>
        <v>107</v>
      </c>
      <c r="R317" t="str">
        <v>44244S</v>
      </c>
      <c r="S317">
        <v>100</v>
      </c>
      <c r="U317" t="str">
        <v>938P</v>
      </c>
      <c r="V317" t="str">
        <v>5233J</v>
      </c>
      <c r="W317">
        <v>7</v>
      </c>
    </row>
    <row r="318" spans="1:23" x14ac:dyDescent="0.3">
      <c r="K318" t="str">
        <v>39313Z</v>
      </c>
      <c r="L318">
        <v>39</v>
      </c>
      <c r="N318" t="str">
        <v>12516A</v>
      </c>
      <c r="O318" t="str">
        <v>84141B</v>
      </c>
      <c r="P318">
        <v>56</v>
      </c>
      <c r="R318" t="str">
        <v>39313Z</v>
      </c>
      <c r="S318">
        <v>39</v>
      </c>
      <c r="U318" t="str">
        <v>1248X</v>
      </c>
      <c r="V318" t="str">
        <v>47874R</v>
      </c>
      <c r="W318">
        <v>38</v>
      </c>
    </row>
    <row r="319" spans="1:23" x14ac:dyDescent="0.3">
      <c r="K319" t="str">
        <v>938P</v>
      </c>
      <c r="L319">
        <v>39</v>
      </c>
      <c r="N319" t="str">
        <v>1010W</v>
      </c>
      <c r="O319" t="str">
        <v>51581S</v>
      </c>
      <c r="P319">
        <v>122</v>
      </c>
      <c r="R319" t="str">
        <v>938P</v>
      </c>
      <c r="S319">
        <v>39</v>
      </c>
      <c r="U319" t="str">
        <v>93199G</v>
      </c>
      <c r="V319" t="str">
        <v>10G</v>
      </c>
      <c r="W319">
        <v>30</v>
      </c>
    </row>
    <row r="320" spans="1:23" x14ac:dyDescent="0.3">
      <c r="A320" s="2" t="s">
        <v>11</v>
      </c>
      <c r="B320" s="2" t="s">
        <v>12</v>
      </c>
      <c r="C320" s="2" t="s">
        <v>13</v>
      </c>
      <c r="D320" s="2" t="s">
        <v>14</v>
      </c>
      <c r="E320" s="2">
        <v>59</v>
      </c>
      <c r="F320" s="2">
        <v>59</v>
      </c>
      <c r="G320" s="2">
        <v>107</v>
      </c>
      <c r="H320" s="2">
        <v>107</v>
      </c>
      <c r="K320" t="str">
        <v>3583A</v>
      </c>
      <c r="L320">
        <v>116</v>
      </c>
      <c r="N320" t="str">
        <v>886N</v>
      </c>
      <c r="O320" t="str">
        <v>8931R</v>
      </c>
      <c r="P320">
        <v>115</v>
      </c>
      <c r="R320" t="str">
        <v>3583A</v>
      </c>
      <c r="S320">
        <v>116</v>
      </c>
      <c r="U320" t="str">
        <v>299Y</v>
      </c>
      <c r="V320" t="str">
        <v>604X</v>
      </c>
      <c r="W320">
        <v>39</v>
      </c>
    </row>
    <row r="321" spans="1:23" x14ac:dyDescent="0.3">
      <c r="A321" s="2" t="s">
        <v>18</v>
      </c>
      <c r="B321" s="2" t="s">
        <v>19</v>
      </c>
      <c r="C321" s="2" t="s">
        <v>20</v>
      </c>
      <c r="D321" s="2" t="s">
        <v>21</v>
      </c>
      <c r="E321" s="2">
        <v>135</v>
      </c>
      <c r="F321" s="2">
        <v>135</v>
      </c>
      <c r="G321" s="2">
        <v>56</v>
      </c>
      <c r="H321" s="2">
        <v>56</v>
      </c>
      <c r="K321" t="str">
        <v>61002G</v>
      </c>
      <c r="L321">
        <v>116</v>
      </c>
      <c r="N321" t="str">
        <v>47874R</v>
      </c>
      <c r="O321" t="str">
        <v>949Z</v>
      </c>
      <c r="P321">
        <v>144</v>
      </c>
      <c r="R321" t="str">
        <v>61002G</v>
      </c>
      <c r="S321">
        <v>116</v>
      </c>
      <c r="U321" t="str">
        <v>51581S</v>
      </c>
      <c r="V321" t="str">
        <v>10K</v>
      </c>
      <c r="W321">
        <v>107</v>
      </c>
    </row>
    <row r="322" spans="1:23" x14ac:dyDescent="0.3">
      <c r="A322" s="2" t="s">
        <v>25</v>
      </c>
      <c r="B322" s="2" t="s">
        <v>26</v>
      </c>
      <c r="C322" s="2" t="s">
        <v>27</v>
      </c>
      <c r="D322" s="2" t="s">
        <v>28</v>
      </c>
      <c r="E322" s="2">
        <v>48</v>
      </c>
      <c r="F322" s="2">
        <v>48</v>
      </c>
      <c r="G322" s="2">
        <v>122</v>
      </c>
      <c r="H322" s="2">
        <v>122</v>
      </c>
      <c r="K322" t="str">
        <v>51581S</v>
      </c>
      <c r="L322">
        <v>108</v>
      </c>
      <c r="N322" t="str">
        <v>7700P</v>
      </c>
      <c r="O322" t="str">
        <v>7700E</v>
      </c>
      <c r="P322">
        <v>30</v>
      </c>
      <c r="R322" t="str">
        <v>51581S</v>
      </c>
      <c r="S322">
        <v>108</v>
      </c>
      <c r="U322" t="str">
        <v>9364H</v>
      </c>
      <c r="V322" t="str">
        <v>12516A</v>
      </c>
      <c r="W322">
        <v>93</v>
      </c>
    </row>
    <row r="323" spans="1:23" x14ac:dyDescent="0.3">
      <c r="A323" s="2" t="s">
        <v>31</v>
      </c>
      <c r="B323" s="2" t="s">
        <v>32</v>
      </c>
      <c r="C323" s="2" t="s">
        <v>33</v>
      </c>
      <c r="D323" s="2" t="s">
        <v>34</v>
      </c>
      <c r="E323" s="2">
        <v>72</v>
      </c>
      <c r="F323" s="2">
        <v>72</v>
      </c>
      <c r="G323" s="2">
        <v>115</v>
      </c>
      <c r="H323" s="2">
        <v>115</v>
      </c>
      <c r="K323" t="str">
        <v>90385R</v>
      </c>
      <c r="L323">
        <v>108</v>
      </c>
      <c r="N323" t="str">
        <v>920B</v>
      </c>
      <c r="O323" t="str">
        <v>90385R</v>
      </c>
      <c r="P323">
        <v>65</v>
      </c>
      <c r="R323" t="str">
        <v>90385R</v>
      </c>
      <c r="S323">
        <v>108</v>
      </c>
      <c r="U323" t="str">
        <v>938G</v>
      </c>
      <c r="V323" t="str">
        <v>502X</v>
      </c>
      <c r="W323">
        <v>133</v>
      </c>
    </row>
    <row r="324" spans="1:23" x14ac:dyDescent="0.3">
      <c r="A324" s="2" t="s">
        <v>37</v>
      </c>
      <c r="B324" s="2" t="s">
        <v>38</v>
      </c>
      <c r="C324" s="2" t="s">
        <v>39</v>
      </c>
      <c r="D324" s="2" t="s">
        <v>40</v>
      </c>
      <c r="E324" s="2">
        <v>14</v>
      </c>
      <c r="F324" s="2">
        <v>14</v>
      </c>
      <c r="G324" s="2">
        <v>144</v>
      </c>
      <c r="H324" s="2">
        <v>144</v>
      </c>
      <c r="K324" t="str">
        <v>47874A</v>
      </c>
      <c r="L324">
        <v>52</v>
      </c>
      <c r="N324" t="str">
        <v>10W</v>
      </c>
      <c r="O324" t="str">
        <v>61002G</v>
      </c>
      <c r="P324">
        <v>82</v>
      </c>
      <c r="R324" t="str">
        <v>47874A</v>
      </c>
      <c r="S324">
        <v>52</v>
      </c>
      <c r="U324" t="str">
        <v>8675R</v>
      </c>
      <c r="V324" t="str">
        <v>949Z</v>
      </c>
      <c r="W324">
        <v>118</v>
      </c>
    </row>
    <row r="325" spans="1:23" x14ac:dyDescent="0.3">
      <c r="A325" s="2" t="s">
        <v>43</v>
      </c>
      <c r="B325" s="2" t="s">
        <v>44</v>
      </c>
      <c r="C325" s="2" t="s">
        <v>45</v>
      </c>
      <c r="D325" s="2" t="s">
        <v>46</v>
      </c>
      <c r="E325" s="2">
        <v>113</v>
      </c>
      <c r="F325" s="2">
        <v>113</v>
      </c>
      <c r="G325" s="2">
        <v>30</v>
      </c>
      <c r="H325" s="2">
        <v>30</v>
      </c>
      <c r="K325" t="str">
        <v>2605B</v>
      </c>
      <c r="L325">
        <v>52</v>
      </c>
      <c r="N325" t="str">
        <v>938T</v>
      </c>
      <c r="O325" t="str">
        <v>93199G</v>
      </c>
      <c r="P325">
        <v>73</v>
      </c>
      <c r="R325" t="str">
        <v>2605B</v>
      </c>
      <c r="S325">
        <v>52</v>
      </c>
      <c r="U325" t="str">
        <v>10Z</v>
      </c>
      <c r="V325" t="str">
        <v>938M</v>
      </c>
      <c r="W325">
        <v>67</v>
      </c>
    </row>
    <row r="326" spans="1:23" x14ac:dyDescent="0.3">
      <c r="A326" s="2" t="s">
        <v>49</v>
      </c>
      <c r="B326" s="2" t="s">
        <v>50</v>
      </c>
      <c r="C326" s="2" t="s">
        <v>51</v>
      </c>
      <c r="D326" s="2" t="s">
        <v>52</v>
      </c>
      <c r="E326" s="2">
        <v>110</v>
      </c>
      <c r="F326" s="2">
        <v>110</v>
      </c>
      <c r="G326" s="2">
        <v>65</v>
      </c>
      <c r="H326" s="2">
        <v>65</v>
      </c>
      <c r="K326" t="str">
        <v>16689X</v>
      </c>
      <c r="L326">
        <v>45</v>
      </c>
      <c r="N326" t="str">
        <v>3512D</v>
      </c>
      <c r="O326" t="str">
        <v>9364D</v>
      </c>
      <c r="P326">
        <v>116</v>
      </c>
      <c r="R326" t="str">
        <v>16689X</v>
      </c>
      <c r="S326">
        <v>45</v>
      </c>
      <c r="U326" t="str">
        <v>5327S</v>
      </c>
      <c r="V326" t="str">
        <v>7700E</v>
      </c>
      <c r="W326">
        <v>105</v>
      </c>
    </row>
    <row r="327" spans="1:23" x14ac:dyDescent="0.3">
      <c r="A327" s="2" t="s">
        <v>55</v>
      </c>
      <c r="B327" s="2" t="s">
        <v>56</v>
      </c>
      <c r="C327" s="2" t="s">
        <v>57</v>
      </c>
      <c r="D327" s="2" t="s">
        <v>58</v>
      </c>
      <c r="E327" s="2">
        <v>78</v>
      </c>
      <c r="F327" s="2">
        <v>78</v>
      </c>
      <c r="G327" s="2">
        <v>82</v>
      </c>
      <c r="H327" s="2">
        <v>82</v>
      </c>
      <c r="K327" t="str">
        <v>299Y</v>
      </c>
      <c r="L327">
        <v>45</v>
      </c>
      <c r="N327" t="str">
        <v>44244S</v>
      </c>
      <c r="O327" t="str">
        <v>3484X</v>
      </c>
      <c r="P327">
        <v>70</v>
      </c>
      <c r="R327" t="str">
        <v>299Y</v>
      </c>
      <c r="S327">
        <v>45</v>
      </c>
      <c r="U327" t="str">
        <v>3583A</v>
      </c>
      <c r="V327" t="str">
        <v>938W</v>
      </c>
      <c r="W327">
        <v>97</v>
      </c>
    </row>
    <row r="328" spans="1:23" x14ac:dyDescent="0.3">
      <c r="A328" s="2" t="s">
        <v>61</v>
      </c>
      <c r="B328" s="2" t="s">
        <v>62</v>
      </c>
      <c r="C328" s="2" t="s">
        <v>63</v>
      </c>
      <c r="D328" s="2" t="s">
        <v>64</v>
      </c>
      <c r="E328" s="2">
        <v>47</v>
      </c>
      <c r="F328" s="2">
        <v>47</v>
      </c>
      <c r="G328" s="2">
        <v>73</v>
      </c>
      <c r="H328" s="2">
        <v>73</v>
      </c>
      <c r="K328" t="str">
        <v>5233J</v>
      </c>
      <c r="L328">
        <v>108</v>
      </c>
      <c r="N328" t="str">
        <v>98548C</v>
      </c>
      <c r="O328" t="str">
        <v>10S</v>
      </c>
      <c r="P328">
        <v>87</v>
      </c>
      <c r="R328" t="str">
        <v>5233J</v>
      </c>
      <c r="S328">
        <v>108</v>
      </c>
      <c r="U328" t="str">
        <v>93199G</v>
      </c>
      <c r="V328" t="str">
        <v>10E</v>
      </c>
      <c r="W328">
        <v>26</v>
      </c>
    </row>
    <row r="329" spans="1:23" x14ac:dyDescent="0.3">
      <c r="A329" s="2" t="s">
        <v>67</v>
      </c>
      <c r="B329" s="2" t="s">
        <v>68</v>
      </c>
      <c r="C329" s="2" t="s">
        <v>69</v>
      </c>
      <c r="D329" s="2" t="s">
        <v>70</v>
      </c>
      <c r="E329" s="2">
        <v>53</v>
      </c>
      <c r="F329" s="2">
        <v>53</v>
      </c>
      <c r="G329" s="2">
        <v>116</v>
      </c>
      <c r="H329" s="2">
        <v>116</v>
      </c>
      <c r="K329" t="str">
        <v>1091A</v>
      </c>
      <c r="L329">
        <v>108</v>
      </c>
      <c r="N329" t="str">
        <v>609B</v>
      </c>
      <c r="O329" t="str">
        <v>3583A</v>
      </c>
      <c r="P329">
        <v>47</v>
      </c>
      <c r="R329" t="str">
        <v>1091A</v>
      </c>
      <c r="S329">
        <v>108</v>
      </c>
      <c r="U329" t="str">
        <v>16689D</v>
      </c>
      <c r="V329" t="str">
        <v>10S</v>
      </c>
      <c r="W329">
        <v>49</v>
      </c>
    </row>
    <row r="330" spans="1:23" x14ac:dyDescent="0.3">
      <c r="A330" s="2" t="s">
        <v>73</v>
      </c>
      <c r="B330" s="2" t="s">
        <v>74</v>
      </c>
      <c r="C330" s="2" t="s">
        <v>75</v>
      </c>
      <c r="D330" s="2" t="s">
        <v>76</v>
      </c>
      <c r="E330" s="2">
        <v>118</v>
      </c>
      <c r="F330" s="2">
        <v>118</v>
      </c>
      <c r="G330" s="2">
        <v>70</v>
      </c>
      <c r="H330" s="2">
        <v>70</v>
      </c>
      <c r="K330" t="str">
        <v>10S</v>
      </c>
      <c r="L330">
        <v>30</v>
      </c>
      <c r="N330" t="str">
        <v>10G</v>
      </c>
      <c r="O330" t="str">
        <v>10K</v>
      </c>
      <c r="P330">
        <v>78</v>
      </c>
      <c r="R330" t="str">
        <v>10S</v>
      </c>
      <c r="S330">
        <v>30</v>
      </c>
      <c r="U330" t="str">
        <v>886N</v>
      </c>
      <c r="V330" t="str">
        <v>938T</v>
      </c>
      <c r="W330">
        <v>138</v>
      </c>
    </row>
    <row r="331" spans="1:23" x14ac:dyDescent="0.3">
      <c r="A331" s="2" t="s">
        <v>79</v>
      </c>
      <c r="B331" s="2" t="s">
        <v>80</v>
      </c>
      <c r="C331" s="2" t="s">
        <v>81</v>
      </c>
      <c r="D331" s="2" t="s">
        <v>82</v>
      </c>
      <c r="E331" s="2">
        <v>110</v>
      </c>
      <c r="F331" s="2">
        <v>110</v>
      </c>
      <c r="G331" s="2">
        <v>87</v>
      </c>
      <c r="H331" s="2">
        <v>87</v>
      </c>
      <c r="K331" t="str">
        <v>938J</v>
      </c>
      <c r="L331">
        <v>30</v>
      </c>
      <c r="N331" t="str">
        <v>938E</v>
      </c>
      <c r="O331" t="str">
        <v>938W</v>
      </c>
      <c r="P331">
        <v>15</v>
      </c>
      <c r="R331" t="str">
        <v>938J</v>
      </c>
      <c r="S331">
        <v>30</v>
      </c>
      <c r="U331" t="str">
        <v>938B</v>
      </c>
      <c r="V331" t="str">
        <v>10W</v>
      </c>
      <c r="W331">
        <v>78</v>
      </c>
    </row>
    <row r="332" spans="1:23" x14ac:dyDescent="0.3">
      <c r="A332" s="2" t="s">
        <v>85</v>
      </c>
      <c r="B332" s="2" t="s">
        <v>86</v>
      </c>
      <c r="C332" s="2" t="s">
        <v>87</v>
      </c>
      <c r="D332" s="2" t="s">
        <v>88</v>
      </c>
      <c r="E332" s="2">
        <v>88</v>
      </c>
      <c r="F332" s="2">
        <v>88</v>
      </c>
      <c r="G332" s="2">
        <v>47</v>
      </c>
      <c r="H332" s="2">
        <v>47</v>
      </c>
      <c r="K332" t="str">
        <v>884A</v>
      </c>
      <c r="L332">
        <v>73</v>
      </c>
      <c r="N332" t="str">
        <v>99621B</v>
      </c>
      <c r="O332" t="str">
        <v>10B</v>
      </c>
      <c r="P332">
        <v>120</v>
      </c>
      <c r="R332" t="str">
        <v>884A</v>
      </c>
      <c r="S332">
        <v>73</v>
      </c>
      <c r="U332" t="str">
        <v>7700P</v>
      </c>
      <c r="V332" t="str">
        <v>8931R</v>
      </c>
      <c r="W332">
        <v>81</v>
      </c>
    </row>
    <row r="333" spans="1:23" x14ac:dyDescent="0.3">
      <c r="A333" s="2" t="s">
        <v>91</v>
      </c>
      <c r="B333" s="2" t="s">
        <v>92</v>
      </c>
      <c r="C333" s="2" t="s">
        <v>93</v>
      </c>
      <c r="D333" s="2" t="s">
        <v>94</v>
      </c>
      <c r="E333" s="2">
        <v>80</v>
      </c>
      <c r="F333" s="2">
        <v>80</v>
      </c>
      <c r="G333" s="2">
        <v>78</v>
      </c>
      <c r="H333" s="2">
        <v>78</v>
      </c>
      <c r="K333" t="str">
        <v>938E</v>
      </c>
      <c r="L333">
        <v>73</v>
      </c>
      <c r="N333" t="str">
        <v>938B</v>
      </c>
      <c r="O333" t="str">
        <v>7899A</v>
      </c>
      <c r="P333">
        <v>25</v>
      </c>
      <c r="R333" t="str">
        <v>938E</v>
      </c>
      <c r="S333">
        <v>73</v>
      </c>
      <c r="U333" t="str">
        <v>938M</v>
      </c>
      <c r="V333" t="str">
        <v>5233J</v>
      </c>
      <c r="W333">
        <v>115</v>
      </c>
    </row>
    <row r="334" spans="1:23" x14ac:dyDescent="0.3">
      <c r="A334" s="2" t="s">
        <v>97</v>
      </c>
      <c r="B334" s="2" t="s">
        <v>98</v>
      </c>
      <c r="C334" s="2" t="s">
        <v>99</v>
      </c>
      <c r="D334" s="2" t="s">
        <v>100</v>
      </c>
      <c r="E334" s="2">
        <v>122</v>
      </c>
      <c r="F334" s="2">
        <v>122</v>
      </c>
      <c r="G334" s="2">
        <v>15</v>
      </c>
      <c r="H334" s="2">
        <v>15</v>
      </c>
      <c r="K334" t="str">
        <v>920B</v>
      </c>
      <c r="L334">
        <v>80</v>
      </c>
      <c r="N334" t="str">
        <v>9364H</v>
      </c>
      <c r="O334" t="str">
        <v>938T</v>
      </c>
      <c r="P334">
        <v>111</v>
      </c>
      <c r="R334" t="str">
        <v>920B</v>
      </c>
      <c r="S334">
        <v>80</v>
      </c>
      <c r="U334" t="str">
        <v>9364D</v>
      </c>
      <c r="V334" t="str">
        <v>10B</v>
      </c>
      <c r="W334">
        <v>80</v>
      </c>
    </row>
    <row r="335" spans="1:23" x14ac:dyDescent="0.3">
      <c r="A335" s="2" t="s">
        <v>103</v>
      </c>
      <c r="B335" s="2" t="s">
        <v>104</v>
      </c>
      <c r="C335" s="2" t="s">
        <v>49</v>
      </c>
      <c r="D335" s="2" t="s">
        <v>13</v>
      </c>
      <c r="E335" s="2">
        <v>70</v>
      </c>
      <c r="F335" s="2">
        <v>70</v>
      </c>
      <c r="G335" s="2">
        <v>120</v>
      </c>
      <c r="H335" s="2">
        <v>120</v>
      </c>
      <c r="K335" t="str">
        <v>5327S</v>
      </c>
      <c r="L335">
        <v>80</v>
      </c>
      <c r="N335" t="str">
        <v>11101B</v>
      </c>
      <c r="O335" t="str">
        <v>10E</v>
      </c>
      <c r="P335">
        <v>117</v>
      </c>
      <c r="R335" t="str">
        <v>5327S</v>
      </c>
      <c r="S335">
        <v>80</v>
      </c>
      <c r="U335" t="str">
        <v>1010W</v>
      </c>
      <c r="V335" t="str">
        <v>39313Z</v>
      </c>
      <c r="W335">
        <v>118</v>
      </c>
    </row>
    <row r="336" spans="1:23" x14ac:dyDescent="0.3">
      <c r="A336" s="2" t="s">
        <v>27</v>
      </c>
      <c r="B336" s="2" t="s">
        <v>58</v>
      </c>
      <c r="C336" s="2" t="s">
        <v>68</v>
      </c>
      <c r="D336" s="2" t="s">
        <v>37</v>
      </c>
      <c r="E336" s="2">
        <v>108</v>
      </c>
      <c r="F336" s="2">
        <v>108</v>
      </c>
      <c r="G336" s="2">
        <v>25</v>
      </c>
      <c r="H336" s="2">
        <v>25</v>
      </c>
      <c r="K336" t="str">
        <v>3484X</v>
      </c>
      <c r="L336">
        <v>85</v>
      </c>
      <c r="N336" t="str">
        <v>1091A</v>
      </c>
      <c r="O336" t="str">
        <v>99621H</v>
      </c>
      <c r="P336">
        <v>72</v>
      </c>
      <c r="R336" t="str">
        <v>3484X</v>
      </c>
      <c r="S336">
        <v>85</v>
      </c>
      <c r="U336" t="str">
        <v>98225F</v>
      </c>
      <c r="V336" t="str">
        <v>7899A</v>
      </c>
      <c r="W336">
        <v>106</v>
      </c>
    </row>
    <row r="337" spans="1:23" x14ac:dyDescent="0.3">
      <c r="A337" s="2" t="s">
        <v>69</v>
      </c>
      <c r="B337" s="2" t="s">
        <v>75</v>
      </c>
      <c r="C337" s="2" t="s">
        <v>50</v>
      </c>
      <c r="D337" s="2" t="s">
        <v>63</v>
      </c>
      <c r="E337" s="2">
        <v>63</v>
      </c>
      <c r="F337" s="2">
        <v>63</v>
      </c>
      <c r="G337" s="2">
        <v>111</v>
      </c>
      <c r="H337" s="2">
        <v>111</v>
      </c>
      <c r="K337" t="str">
        <v>8675R</v>
      </c>
      <c r="L337">
        <v>85</v>
      </c>
      <c r="N337" t="str">
        <v>938J</v>
      </c>
      <c r="O337" t="str">
        <v>10N</v>
      </c>
      <c r="P337">
        <v>77</v>
      </c>
      <c r="R337" t="str">
        <v>8675R</v>
      </c>
      <c r="S337">
        <v>85</v>
      </c>
      <c r="U337" t="str">
        <v>938J</v>
      </c>
      <c r="V337" t="str">
        <v>80001B</v>
      </c>
      <c r="W337">
        <v>40</v>
      </c>
    </row>
    <row r="338" spans="1:23" x14ac:dyDescent="0.3">
      <c r="A338" s="2" t="s">
        <v>51</v>
      </c>
      <c r="B338" s="2" t="s">
        <v>55</v>
      </c>
      <c r="C338" s="2" t="s">
        <v>43</v>
      </c>
      <c r="D338" s="2" t="s">
        <v>67</v>
      </c>
      <c r="E338" s="2">
        <v>27</v>
      </c>
      <c r="F338" s="2">
        <v>27</v>
      </c>
      <c r="G338" s="2">
        <v>117</v>
      </c>
      <c r="H338" s="2">
        <v>117</v>
      </c>
      <c r="K338" t="str">
        <v>7700E</v>
      </c>
      <c r="L338">
        <v>127</v>
      </c>
      <c r="N338" t="str">
        <v>1469A</v>
      </c>
      <c r="O338" t="str">
        <v>938G</v>
      </c>
      <c r="P338">
        <v>59</v>
      </c>
      <c r="R338" t="str">
        <v>7700E</v>
      </c>
      <c r="S338">
        <v>127</v>
      </c>
      <c r="U338" t="str">
        <v>920B</v>
      </c>
      <c r="V338" t="str">
        <v>10Z</v>
      </c>
      <c r="W338">
        <v>121</v>
      </c>
    </row>
    <row r="339" spans="1:23" x14ac:dyDescent="0.3">
      <c r="A339" s="2" t="s">
        <v>32</v>
      </c>
      <c r="B339" s="2" t="s">
        <v>62</v>
      </c>
      <c r="C339" s="2" t="s">
        <v>73</v>
      </c>
      <c r="D339" s="2" t="s">
        <v>44</v>
      </c>
      <c r="E339" s="2">
        <v>128</v>
      </c>
      <c r="F339" s="2">
        <v>128</v>
      </c>
      <c r="G339" s="2">
        <v>72</v>
      </c>
      <c r="H339" s="2">
        <v>72</v>
      </c>
      <c r="K339" t="str">
        <v>93199G</v>
      </c>
      <c r="L339">
        <v>127</v>
      </c>
      <c r="N339" t="str">
        <v>938E</v>
      </c>
      <c r="O339" t="str">
        <v>84141B</v>
      </c>
      <c r="P339">
        <v>78</v>
      </c>
      <c r="R339" t="str">
        <v>93199G</v>
      </c>
      <c r="S339">
        <v>127</v>
      </c>
      <c r="U339" t="str">
        <v>5327S</v>
      </c>
      <c r="V339" t="str">
        <v>938G</v>
      </c>
      <c r="W339">
        <v>143</v>
      </c>
    </row>
    <row r="340" spans="1:23" x14ac:dyDescent="0.3">
      <c r="A340" s="2" t="s">
        <v>45</v>
      </c>
      <c r="B340" s="2" t="s">
        <v>85</v>
      </c>
      <c r="C340" s="2" t="s">
        <v>38</v>
      </c>
      <c r="D340" s="2" t="s">
        <v>92</v>
      </c>
      <c r="E340" s="2">
        <v>84</v>
      </c>
      <c r="F340" s="2">
        <v>84</v>
      </c>
      <c r="G340" s="2">
        <v>77</v>
      </c>
      <c r="H340" s="2">
        <v>77</v>
      </c>
      <c r="K340" t="str">
        <v>10K</v>
      </c>
      <c r="L340">
        <v>34</v>
      </c>
      <c r="N340" t="str">
        <v>609B</v>
      </c>
      <c r="O340" t="str">
        <v>98548C</v>
      </c>
      <c r="P340">
        <v>58</v>
      </c>
      <c r="R340" t="str">
        <v>10K</v>
      </c>
      <c r="S340">
        <v>34</v>
      </c>
      <c r="U340" t="str">
        <v>10009A</v>
      </c>
      <c r="V340" t="str">
        <v>1469A</v>
      </c>
      <c r="W340">
        <v>119</v>
      </c>
    </row>
    <row r="341" spans="1:23" x14ac:dyDescent="0.3">
      <c r="A341" s="2" t="s">
        <v>40</v>
      </c>
      <c r="B341" s="2" t="s">
        <v>34</v>
      </c>
      <c r="C341" s="2" t="s">
        <v>74</v>
      </c>
      <c r="D341" s="2" t="s">
        <v>11</v>
      </c>
      <c r="E341" s="2">
        <v>125</v>
      </c>
      <c r="F341" s="2">
        <v>125</v>
      </c>
      <c r="G341" s="2">
        <v>59</v>
      </c>
      <c r="H341" s="2">
        <v>59</v>
      </c>
      <c r="K341" t="str">
        <v>938W</v>
      </c>
      <c r="L341">
        <v>34</v>
      </c>
      <c r="N341" t="str">
        <v>98225J</v>
      </c>
      <c r="O341" t="str">
        <v>2605B</v>
      </c>
      <c r="P341">
        <v>102</v>
      </c>
      <c r="R341" t="str">
        <v>938W</v>
      </c>
      <c r="S341">
        <v>34</v>
      </c>
      <c r="U341" t="str">
        <v>98225J</v>
      </c>
      <c r="V341" t="str">
        <v>99621B</v>
      </c>
      <c r="W341">
        <v>106</v>
      </c>
    </row>
    <row r="342" spans="1:23" x14ac:dyDescent="0.3">
      <c r="A342" s="2" t="s">
        <v>76</v>
      </c>
      <c r="B342" s="2" t="s">
        <v>46</v>
      </c>
      <c r="C342" s="2" t="s">
        <v>99</v>
      </c>
      <c r="D342" s="2" t="s">
        <v>21</v>
      </c>
      <c r="E342" s="2">
        <v>62</v>
      </c>
      <c r="F342" s="2">
        <v>62</v>
      </c>
      <c r="G342" s="2">
        <v>78</v>
      </c>
      <c r="H342" s="2">
        <v>78</v>
      </c>
      <c r="K342" t="str">
        <v>938G</v>
      </c>
      <c r="L342">
        <v>56</v>
      </c>
      <c r="N342" t="str">
        <v>47874A</v>
      </c>
      <c r="O342" t="str">
        <v>938P</v>
      </c>
      <c r="P342">
        <v>36</v>
      </c>
      <c r="R342" t="str">
        <v>938G</v>
      </c>
      <c r="S342">
        <v>56</v>
      </c>
      <c r="U342" t="str">
        <v>884A</v>
      </c>
      <c r="V342" t="str">
        <v>299Y</v>
      </c>
      <c r="W342">
        <v>104</v>
      </c>
    </row>
    <row r="343" spans="1:23" x14ac:dyDescent="0.3">
      <c r="A343" s="2" t="s">
        <v>70</v>
      </c>
      <c r="B343" s="2" t="s">
        <v>64</v>
      </c>
      <c r="C343" s="2" t="s">
        <v>87</v>
      </c>
      <c r="D343" s="2" t="s">
        <v>81</v>
      </c>
      <c r="E343" s="2">
        <v>96</v>
      </c>
      <c r="F343" s="2">
        <v>96</v>
      </c>
      <c r="G343" s="2">
        <v>58</v>
      </c>
      <c r="H343" s="2">
        <v>58</v>
      </c>
      <c r="K343" t="str">
        <v>1248X</v>
      </c>
      <c r="L343">
        <v>56</v>
      </c>
      <c r="N343" t="str">
        <v>16689X</v>
      </c>
      <c r="O343" t="str">
        <v>1248X</v>
      </c>
      <c r="P343">
        <v>47</v>
      </c>
      <c r="R343" t="str">
        <v>1248X</v>
      </c>
      <c r="S343">
        <v>56</v>
      </c>
      <c r="U343" t="str">
        <v>16689X</v>
      </c>
      <c r="V343" t="str">
        <v>949Z</v>
      </c>
      <c r="W343">
        <v>64</v>
      </c>
    </row>
    <row r="344" spans="1:23" x14ac:dyDescent="0.3">
      <c r="A344" s="2" t="s">
        <v>94</v>
      </c>
      <c r="B344" s="2" t="s">
        <v>14</v>
      </c>
      <c r="C344" s="2" t="s">
        <v>26</v>
      </c>
      <c r="D344" s="2" t="s">
        <v>31</v>
      </c>
      <c r="E344" s="2">
        <v>80</v>
      </c>
      <c r="F344" s="2">
        <v>80</v>
      </c>
      <c r="G344" s="2">
        <v>102</v>
      </c>
      <c r="H344" s="2">
        <v>102</v>
      </c>
      <c r="K344" t="str">
        <v>10009A</v>
      </c>
      <c r="L344">
        <v>97</v>
      </c>
      <c r="N344" t="str">
        <v>8675R</v>
      </c>
      <c r="O344" t="str">
        <v>16689D</v>
      </c>
      <c r="P344">
        <v>65</v>
      </c>
      <c r="R344" t="str">
        <v>10009A</v>
      </c>
      <c r="S344">
        <v>97</v>
      </c>
      <c r="U344" t="str">
        <v>51581S</v>
      </c>
      <c r="V344" t="str">
        <v>6526E</v>
      </c>
      <c r="W344">
        <v>155</v>
      </c>
    </row>
    <row r="345" spans="1:23" x14ac:dyDescent="0.3">
      <c r="A345" s="2" t="s">
        <v>33</v>
      </c>
      <c r="B345" s="2" t="s">
        <v>93</v>
      </c>
      <c r="C345" s="2" t="s">
        <v>61</v>
      </c>
      <c r="D345" s="2" t="s">
        <v>25</v>
      </c>
      <c r="E345" s="2">
        <v>153</v>
      </c>
      <c r="F345" s="2">
        <v>153</v>
      </c>
      <c r="G345" s="2">
        <v>36</v>
      </c>
      <c r="H345" s="2">
        <v>36</v>
      </c>
      <c r="K345" t="str">
        <v>10W</v>
      </c>
      <c r="L345">
        <v>97</v>
      </c>
      <c r="N345" t="str">
        <v>6526E</v>
      </c>
      <c r="O345" t="str">
        <v>10009A</v>
      </c>
      <c r="P345">
        <v>108</v>
      </c>
      <c r="R345" t="str">
        <v>10W</v>
      </c>
      <c r="S345">
        <v>97</v>
      </c>
      <c r="U345" t="str">
        <v>920B</v>
      </c>
      <c r="V345" t="str">
        <v>39313Z</v>
      </c>
      <c r="W345">
        <v>117</v>
      </c>
    </row>
    <row r="346" spans="1:23" x14ac:dyDescent="0.3">
      <c r="A346" s="2" t="s">
        <v>52</v>
      </c>
      <c r="B346" s="2" t="s">
        <v>19</v>
      </c>
      <c r="C346" s="2" t="s">
        <v>103</v>
      </c>
      <c r="D346" s="2" t="s">
        <v>91</v>
      </c>
      <c r="E346" s="2">
        <v>100</v>
      </c>
      <c r="F346" s="2">
        <v>100</v>
      </c>
      <c r="G346" s="2">
        <v>47</v>
      </c>
      <c r="H346" s="2">
        <v>47</v>
      </c>
      <c r="K346" t="str">
        <v>12516A</v>
      </c>
      <c r="L346">
        <v>40</v>
      </c>
      <c r="N346" t="str">
        <v>502X</v>
      </c>
      <c r="O346" t="str">
        <v>80001B</v>
      </c>
      <c r="P346">
        <v>136</v>
      </c>
      <c r="R346" t="str">
        <v>12516A</v>
      </c>
      <c r="S346">
        <v>40</v>
      </c>
      <c r="U346" t="str">
        <v>2605B</v>
      </c>
      <c r="V346" t="str">
        <v>16689D</v>
      </c>
      <c r="W346">
        <v>48</v>
      </c>
    </row>
    <row r="347" spans="1:23" x14ac:dyDescent="0.3">
      <c r="A347" s="2" t="s">
        <v>88</v>
      </c>
      <c r="B347" s="2" t="s">
        <v>57</v>
      </c>
      <c r="C347" s="2" t="s">
        <v>104</v>
      </c>
      <c r="D347" s="2" t="s">
        <v>98</v>
      </c>
      <c r="E347" s="2">
        <v>170</v>
      </c>
      <c r="F347" s="2">
        <v>170</v>
      </c>
      <c r="G347" s="2">
        <v>65</v>
      </c>
      <c r="H347" s="2">
        <v>65</v>
      </c>
      <c r="K347" t="str">
        <v>10B</v>
      </c>
      <c r="L347">
        <v>40</v>
      </c>
      <c r="N347" t="str">
        <v>604X</v>
      </c>
      <c r="O347" t="str">
        <v>39313Z</v>
      </c>
      <c r="P347">
        <v>63</v>
      </c>
      <c r="R347" t="str">
        <v>10B</v>
      </c>
      <c r="S347">
        <v>40</v>
      </c>
      <c r="U347" t="str">
        <v>604X</v>
      </c>
      <c r="V347" t="str">
        <v>8931R</v>
      </c>
      <c r="W347">
        <v>98</v>
      </c>
    </row>
    <row r="348" spans="1:23" x14ac:dyDescent="0.3">
      <c r="A348" s="2" t="s">
        <v>39</v>
      </c>
      <c r="B348" s="2" t="s">
        <v>12</v>
      </c>
      <c r="C348" s="2" t="s">
        <v>79</v>
      </c>
      <c r="D348" s="2" t="s">
        <v>18</v>
      </c>
      <c r="E348" s="2">
        <v>115</v>
      </c>
      <c r="F348" s="2">
        <v>115</v>
      </c>
      <c r="G348" s="2">
        <v>108</v>
      </c>
      <c r="H348" s="2">
        <v>108</v>
      </c>
      <c r="K348" t="str">
        <v>47874R</v>
      </c>
      <c r="L348">
        <v>88</v>
      </c>
      <c r="N348" t="str">
        <v>11101B</v>
      </c>
      <c r="O348" t="str">
        <v>10N</v>
      </c>
      <c r="P348">
        <v>133</v>
      </c>
      <c r="R348" t="str">
        <v>47874R</v>
      </c>
      <c r="S348">
        <v>88</v>
      </c>
      <c r="U348" t="str">
        <v>502X</v>
      </c>
      <c r="V348" t="str">
        <v>99621H</v>
      </c>
      <c r="W348">
        <v>131</v>
      </c>
    </row>
    <row r="349" spans="1:23" x14ac:dyDescent="0.3">
      <c r="A349" s="2" t="s">
        <v>82</v>
      </c>
      <c r="B349" s="2" t="s">
        <v>100</v>
      </c>
      <c r="C349" s="2" t="s">
        <v>56</v>
      </c>
      <c r="D349" s="2" t="s">
        <v>86</v>
      </c>
      <c r="E349" s="2">
        <v>98</v>
      </c>
      <c r="F349" s="2">
        <v>98</v>
      </c>
      <c r="G349" s="2">
        <v>136</v>
      </c>
      <c r="H349" s="2">
        <v>136</v>
      </c>
      <c r="K349" t="str">
        <v>10N</v>
      </c>
      <c r="L349">
        <v>88</v>
      </c>
      <c r="N349" t="str">
        <v>884A</v>
      </c>
      <c r="O349" t="str">
        <v>7700P</v>
      </c>
      <c r="P349">
        <v>75</v>
      </c>
      <c r="R349" t="str">
        <v>10N</v>
      </c>
      <c r="S349">
        <v>88</v>
      </c>
      <c r="U349" t="str">
        <v>61002G</v>
      </c>
      <c r="V349" t="str">
        <v>44244S</v>
      </c>
      <c r="W349">
        <v>48</v>
      </c>
    </row>
    <row r="350" spans="1:23" x14ac:dyDescent="0.3">
      <c r="A350" s="2" t="s">
        <v>20</v>
      </c>
      <c r="B350" s="2" t="s">
        <v>28</v>
      </c>
      <c r="C350" s="2" t="s">
        <v>80</v>
      </c>
      <c r="D350" s="2" t="s">
        <v>97</v>
      </c>
      <c r="E350" s="2">
        <v>35</v>
      </c>
      <c r="F350" s="2">
        <v>35</v>
      </c>
      <c r="G350" s="2">
        <v>63</v>
      </c>
      <c r="H350" s="2">
        <v>63</v>
      </c>
      <c r="K350" t="str">
        <v>938B</v>
      </c>
      <c r="L350">
        <v>43</v>
      </c>
      <c r="N350" t="str">
        <v>3484X</v>
      </c>
      <c r="O350" t="str">
        <v>90385R</v>
      </c>
      <c r="P350">
        <v>74</v>
      </c>
      <c r="R350" t="str">
        <v>938B</v>
      </c>
      <c r="S350">
        <v>43</v>
      </c>
      <c r="U350" t="str">
        <v>9364H</v>
      </c>
      <c r="V350" t="str">
        <v>938P</v>
      </c>
      <c r="W350">
        <v>68</v>
      </c>
    </row>
    <row r="351" spans="1:23" x14ac:dyDescent="0.3">
      <c r="A351" s="2" t="s">
        <v>63</v>
      </c>
      <c r="B351" s="2" t="s">
        <v>21</v>
      </c>
      <c r="C351" s="2" t="s">
        <v>43</v>
      </c>
      <c r="D351" s="2" t="s">
        <v>92</v>
      </c>
      <c r="E351" s="2">
        <v>42</v>
      </c>
      <c r="F351" s="2">
        <v>42</v>
      </c>
      <c r="G351" s="2">
        <v>133</v>
      </c>
      <c r="H351" s="2">
        <v>133</v>
      </c>
      <c r="K351" t="str">
        <v>604X</v>
      </c>
      <c r="L351">
        <v>43</v>
      </c>
      <c r="N351" t="str">
        <v>47874A</v>
      </c>
      <c r="O351" t="str">
        <v>1091A</v>
      </c>
      <c r="P351">
        <v>91</v>
      </c>
      <c r="R351" t="str">
        <v>604X</v>
      </c>
      <c r="S351">
        <v>43</v>
      </c>
      <c r="U351" t="str">
        <v>16689X</v>
      </c>
      <c r="V351" t="str">
        <v>10E</v>
      </c>
      <c r="W351">
        <v>69</v>
      </c>
    </row>
    <row r="352" spans="1:23" x14ac:dyDescent="0.3">
      <c r="A352" s="2" t="s">
        <v>68</v>
      </c>
      <c r="B352" s="2" t="s">
        <v>75</v>
      </c>
      <c r="C352" s="2" t="s">
        <v>62</v>
      </c>
      <c r="D352" s="2" t="s">
        <v>45</v>
      </c>
      <c r="E352" s="2">
        <v>82</v>
      </c>
      <c r="F352" s="2">
        <v>82</v>
      </c>
      <c r="G352" s="2">
        <v>75</v>
      </c>
      <c r="H352" s="2">
        <v>75</v>
      </c>
      <c r="K352" t="str">
        <v>80001B</v>
      </c>
      <c r="L352">
        <v>60</v>
      </c>
      <c r="N352" t="str">
        <v>938P</v>
      </c>
      <c r="O352" t="str">
        <v>5233J</v>
      </c>
      <c r="P352">
        <v>7</v>
      </c>
      <c r="R352" t="str">
        <v>80001B</v>
      </c>
      <c r="S352">
        <v>60</v>
      </c>
      <c r="U352" t="str">
        <v>10G</v>
      </c>
      <c r="V352" t="str">
        <v>938M</v>
      </c>
      <c r="W352">
        <v>44</v>
      </c>
    </row>
    <row r="353" spans="1:23" x14ac:dyDescent="0.3">
      <c r="A353" s="2" t="s">
        <v>26</v>
      </c>
      <c r="B353" s="2" t="s">
        <v>67</v>
      </c>
      <c r="C353" s="2" t="s">
        <v>76</v>
      </c>
      <c r="D353" s="2" t="s">
        <v>52</v>
      </c>
      <c r="E353" s="2">
        <v>40</v>
      </c>
      <c r="F353" s="2">
        <v>40</v>
      </c>
      <c r="G353" s="2">
        <v>74</v>
      </c>
      <c r="H353" s="2">
        <v>74</v>
      </c>
      <c r="K353" t="str">
        <v>10Z</v>
      </c>
      <c r="L353">
        <v>60</v>
      </c>
      <c r="N353" t="str">
        <v>1248X</v>
      </c>
      <c r="O353" t="str">
        <v>47874R</v>
      </c>
      <c r="P353">
        <v>38</v>
      </c>
      <c r="R353" t="str">
        <v>10Z</v>
      </c>
      <c r="S353">
        <v>60</v>
      </c>
      <c r="U353" t="str">
        <v>98548C</v>
      </c>
      <c r="V353" t="str">
        <v>98225J</v>
      </c>
      <c r="W353">
        <v>93</v>
      </c>
    </row>
    <row r="354" spans="1:23" x14ac:dyDescent="0.3">
      <c r="A354" s="2" t="s">
        <v>57</v>
      </c>
      <c r="B354" s="2" t="s">
        <v>69</v>
      </c>
      <c r="C354" s="2" t="s">
        <v>61</v>
      </c>
      <c r="D354" s="2" t="s">
        <v>73</v>
      </c>
      <c r="E354" s="2">
        <v>58</v>
      </c>
      <c r="F354" s="2">
        <v>58</v>
      </c>
      <c r="G354" s="2">
        <v>91</v>
      </c>
      <c r="H354" s="2">
        <v>91</v>
      </c>
      <c r="K354" t="str">
        <v>7700P</v>
      </c>
      <c r="L354">
        <v>115</v>
      </c>
      <c r="N354" t="str">
        <v>93199G</v>
      </c>
      <c r="O354" t="str">
        <v>10G</v>
      </c>
      <c r="P354">
        <v>30</v>
      </c>
      <c r="R354" t="str">
        <v>7700P</v>
      </c>
      <c r="S354">
        <v>115</v>
      </c>
      <c r="U354" t="str">
        <v>90385R</v>
      </c>
      <c r="V354" t="str">
        <v>5327S</v>
      </c>
      <c r="W354">
        <v>106</v>
      </c>
    </row>
    <row r="355" spans="1:23" x14ac:dyDescent="0.3">
      <c r="A355" s="2" t="s">
        <v>70</v>
      </c>
      <c r="B355" s="2" t="s">
        <v>74</v>
      </c>
      <c r="C355" s="2" t="s">
        <v>25</v>
      </c>
      <c r="D355" s="2" t="s">
        <v>14</v>
      </c>
      <c r="E355" s="2">
        <v>147</v>
      </c>
      <c r="F355" s="2">
        <v>147</v>
      </c>
      <c r="G355" s="2">
        <v>7</v>
      </c>
      <c r="H355" s="2">
        <v>7</v>
      </c>
      <c r="K355" t="str">
        <v>16689D</v>
      </c>
      <c r="L355">
        <v>115</v>
      </c>
      <c r="N355" t="str">
        <v>299Y</v>
      </c>
      <c r="O355" t="str">
        <v>604X</v>
      </c>
      <c r="P355">
        <v>39</v>
      </c>
      <c r="R355" t="str">
        <v>16689D</v>
      </c>
      <c r="S355">
        <v>115</v>
      </c>
      <c r="U355" t="str">
        <v>47874A</v>
      </c>
      <c r="V355" t="str">
        <v>299Y</v>
      </c>
      <c r="W355">
        <v>67</v>
      </c>
    </row>
    <row r="356" spans="1:23" x14ac:dyDescent="0.3">
      <c r="A356" s="2" t="s">
        <v>82</v>
      </c>
      <c r="B356" s="2" t="s">
        <v>34</v>
      </c>
      <c r="C356" s="2" t="s">
        <v>91</v>
      </c>
      <c r="D356" s="2" t="s">
        <v>39</v>
      </c>
      <c r="E356" s="2">
        <v>62</v>
      </c>
      <c r="F356" s="2">
        <v>62</v>
      </c>
      <c r="G356" s="2">
        <v>38</v>
      </c>
      <c r="H356" s="2">
        <v>38</v>
      </c>
      <c r="K356" t="str">
        <v>98225J</v>
      </c>
      <c r="L356">
        <v>40</v>
      </c>
      <c r="N356" t="str">
        <v>51581S</v>
      </c>
      <c r="O356" t="str">
        <v>10K</v>
      </c>
      <c r="P356">
        <v>107</v>
      </c>
      <c r="R356" t="str">
        <v>98225J</v>
      </c>
      <c r="S356">
        <v>40</v>
      </c>
      <c r="U356" t="str">
        <v>12516A</v>
      </c>
      <c r="V356" t="str">
        <v>99621B</v>
      </c>
      <c r="W356">
        <v>49</v>
      </c>
    </row>
    <row r="357" spans="1:23" x14ac:dyDescent="0.3">
      <c r="A357" s="2" t="s">
        <v>13</v>
      </c>
      <c r="B357" s="2" t="s">
        <v>86</v>
      </c>
      <c r="C357" s="2" t="s">
        <v>64</v>
      </c>
      <c r="D357" s="2" t="s">
        <v>93</v>
      </c>
      <c r="E357" s="2">
        <v>140</v>
      </c>
      <c r="F357" s="2">
        <v>140</v>
      </c>
      <c r="G357" s="2">
        <v>30</v>
      </c>
      <c r="H357" s="2">
        <v>30</v>
      </c>
      <c r="K357" t="str">
        <v>938T</v>
      </c>
      <c r="L357">
        <v>40</v>
      </c>
      <c r="N357" t="str">
        <v>9364H</v>
      </c>
      <c r="O357" t="str">
        <v>12516A</v>
      </c>
      <c r="P357">
        <v>93</v>
      </c>
      <c r="R357" t="str">
        <v>938T</v>
      </c>
      <c r="S357">
        <v>40</v>
      </c>
      <c r="U357" t="str">
        <v>3512D</v>
      </c>
      <c r="V357" t="str">
        <v>98225F</v>
      </c>
      <c r="W357">
        <v>53</v>
      </c>
    </row>
    <row r="358" spans="1:23" x14ac:dyDescent="0.3">
      <c r="A358" s="2" t="s">
        <v>33</v>
      </c>
      <c r="B358" s="2" t="s">
        <v>58</v>
      </c>
      <c r="C358" s="2" t="s">
        <v>85</v>
      </c>
      <c r="D358" s="2" t="s">
        <v>80</v>
      </c>
      <c r="E358" s="2">
        <v>111</v>
      </c>
      <c r="F358" s="2">
        <v>111</v>
      </c>
      <c r="G358" s="2">
        <v>39</v>
      </c>
      <c r="H358" s="2">
        <v>39</v>
      </c>
      <c r="K358" t="str">
        <v>949Z</v>
      </c>
      <c r="L358">
        <v>65</v>
      </c>
      <c r="N358" t="str">
        <v>938G</v>
      </c>
      <c r="O358" t="str">
        <v>502X</v>
      </c>
      <c r="P358">
        <v>133</v>
      </c>
      <c r="R358" t="str">
        <v>949Z</v>
      </c>
      <c r="S358">
        <v>65</v>
      </c>
      <c r="U358" t="str">
        <v>7700E</v>
      </c>
      <c r="V358" t="str">
        <v>938B</v>
      </c>
      <c r="W358">
        <v>63</v>
      </c>
    </row>
    <row r="359" spans="1:23" x14ac:dyDescent="0.3">
      <c r="A359" s="2" t="s">
        <v>98</v>
      </c>
      <c r="B359" s="2" t="s">
        <v>51</v>
      </c>
      <c r="C359" s="2" t="s">
        <v>28</v>
      </c>
      <c r="D359" s="2" t="s">
        <v>94</v>
      </c>
      <c r="E359" s="2">
        <v>55</v>
      </c>
      <c r="F359" s="2">
        <v>55</v>
      </c>
      <c r="G359" s="2">
        <v>107</v>
      </c>
      <c r="H359" s="2">
        <v>107</v>
      </c>
      <c r="K359" t="str">
        <v>10G</v>
      </c>
      <c r="L359">
        <v>65</v>
      </c>
      <c r="N359" t="str">
        <v>8675R</v>
      </c>
      <c r="O359" t="str">
        <v>949Z</v>
      </c>
      <c r="P359">
        <v>118</v>
      </c>
      <c r="R359" t="str">
        <v>10G</v>
      </c>
      <c r="S359">
        <v>65</v>
      </c>
      <c r="U359" t="str">
        <v>10E</v>
      </c>
      <c r="V359" t="str">
        <v>609B</v>
      </c>
      <c r="W359">
        <v>49</v>
      </c>
    </row>
    <row r="360" spans="1:23" x14ac:dyDescent="0.3">
      <c r="A360" s="2" t="s">
        <v>79</v>
      </c>
      <c r="B360" s="2" t="s">
        <v>44</v>
      </c>
      <c r="C360" s="2" t="s">
        <v>50</v>
      </c>
      <c r="D360" s="2" t="s">
        <v>20</v>
      </c>
      <c r="E360" s="2">
        <v>30</v>
      </c>
      <c r="F360" s="2">
        <v>30</v>
      </c>
      <c r="G360" s="2">
        <v>93</v>
      </c>
      <c r="H360" s="2">
        <v>93</v>
      </c>
      <c r="K360" t="str">
        <v>9364D</v>
      </c>
      <c r="L360">
        <v>113</v>
      </c>
      <c r="N360" t="str">
        <v>10Z</v>
      </c>
      <c r="O360" t="str">
        <v>938M</v>
      </c>
      <c r="P360">
        <v>67</v>
      </c>
      <c r="R360" t="str">
        <v>9364D</v>
      </c>
      <c r="S360">
        <v>113</v>
      </c>
      <c r="U360" t="str">
        <v>84141B</v>
      </c>
      <c r="V360" t="str">
        <v>44244S</v>
      </c>
      <c r="W360">
        <v>100</v>
      </c>
    </row>
    <row r="361" spans="1:23" x14ac:dyDescent="0.3">
      <c r="A361" s="2" t="s">
        <v>99</v>
      </c>
      <c r="B361" s="2" t="s">
        <v>103</v>
      </c>
      <c r="C361" s="2" t="s">
        <v>11</v>
      </c>
      <c r="D361" s="2" t="s">
        <v>56</v>
      </c>
      <c r="E361" s="2">
        <v>22</v>
      </c>
      <c r="F361" s="2">
        <v>22</v>
      </c>
      <c r="G361" s="2">
        <v>133</v>
      </c>
      <c r="H361" s="2">
        <v>133</v>
      </c>
      <c r="K361" t="str">
        <v>502X</v>
      </c>
      <c r="L361">
        <v>113</v>
      </c>
      <c r="N361" t="str">
        <v>5327S</v>
      </c>
      <c r="O361" t="str">
        <v>7700E</v>
      </c>
      <c r="P361">
        <v>105</v>
      </c>
      <c r="R361" t="str">
        <v>502X</v>
      </c>
      <c r="S361">
        <v>113</v>
      </c>
      <c r="U361" t="str">
        <v>3583A</v>
      </c>
      <c r="V361" t="str">
        <v>61002G</v>
      </c>
      <c r="W361">
        <v>116</v>
      </c>
    </row>
    <row r="362" spans="1:23" x14ac:dyDescent="0.3">
      <c r="A362" s="2" t="s">
        <v>87</v>
      </c>
      <c r="B362" s="2" t="s">
        <v>31</v>
      </c>
      <c r="C362" s="2" t="s">
        <v>104</v>
      </c>
      <c r="D362" s="2" t="s">
        <v>40</v>
      </c>
      <c r="E362" s="2">
        <v>77</v>
      </c>
      <c r="F362" s="2">
        <v>77</v>
      </c>
      <c r="G362" s="2">
        <v>118</v>
      </c>
      <c r="H362" s="2">
        <v>118</v>
      </c>
      <c r="K362" t="str">
        <v>99621B</v>
      </c>
      <c r="L362">
        <v>73</v>
      </c>
      <c r="N362" t="str">
        <v>3583A</v>
      </c>
      <c r="O362" t="str">
        <v>938W</v>
      </c>
      <c r="P362">
        <v>97</v>
      </c>
      <c r="R362" t="str">
        <v>99621B</v>
      </c>
      <c r="S362">
        <v>73</v>
      </c>
      <c r="U362" t="str">
        <v>47874A</v>
      </c>
      <c r="V362" t="str">
        <v>2605B</v>
      </c>
      <c r="W362">
        <v>52</v>
      </c>
    </row>
    <row r="363" spans="1:23" x14ac:dyDescent="0.3">
      <c r="A363" s="2" t="s">
        <v>19</v>
      </c>
      <c r="B363" s="2" t="s">
        <v>38</v>
      </c>
      <c r="C363" s="2" t="s">
        <v>12</v>
      </c>
      <c r="D363" s="2" t="s">
        <v>55</v>
      </c>
      <c r="E363" s="2">
        <v>84</v>
      </c>
      <c r="F363" s="2">
        <v>84</v>
      </c>
      <c r="G363" s="2">
        <v>67</v>
      </c>
      <c r="H363" s="2">
        <v>67</v>
      </c>
      <c r="K363" t="str">
        <v>3512D</v>
      </c>
      <c r="L363">
        <v>73</v>
      </c>
      <c r="N363" t="str">
        <v>93199G</v>
      </c>
      <c r="O363" t="str">
        <v>10E</v>
      </c>
      <c r="P363">
        <v>26</v>
      </c>
      <c r="R363" t="str">
        <v>3512D</v>
      </c>
      <c r="S363">
        <v>73</v>
      </c>
      <c r="U363" t="str">
        <v>5233J</v>
      </c>
      <c r="V363" t="str">
        <v>1091A</v>
      </c>
      <c r="W363">
        <v>108</v>
      </c>
    </row>
    <row r="364" spans="1:23" x14ac:dyDescent="0.3">
      <c r="A364" s="2" t="s">
        <v>81</v>
      </c>
      <c r="B364" s="2" t="s">
        <v>37</v>
      </c>
      <c r="C364" s="2" t="s">
        <v>32</v>
      </c>
      <c r="D364" s="2" t="s">
        <v>46</v>
      </c>
      <c r="E364" s="2">
        <v>53</v>
      </c>
      <c r="F364" s="2">
        <v>53</v>
      </c>
      <c r="G364" s="2">
        <v>105</v>
      </c>
      <c r="H364" s="2">
        <v>105</v>
      </c>
      <c r="K364" t="str">
        <v>99621H</v>
      </c>
      <c r="L364">
        <v>86</v>
      </c>
      <c r="N364" t="str">
        <v>16689D</v>
      </c>
      <c r="O364" t="str">
        <v>10S</v>
      </c>
      <c r="P364">
        <v>49</v>
      </c>
      <c r="R364" t="str">
        <v>99621H</v>
      </c>
      <c r="S364">
        <v>86</v>
      </c>
      <c r="U364" t="str">
        <v>884A</v>
      </c>
      <c r="V364" t="str">
        <v>938E</v>
      </c>
      <c r="W364">
        <v>73</v>
      </c>
    </row>
    <row r="365" spans="1:23" x14ac:dyDescent="0.3">
      <c r="A365" s="2" t="s">
        <v>49</v>
      </c>
      <c r="B365" s="2" t="s">
        <v>27</v>
      </c>
      <c r="C365" s="2" t="s">
        <v>88</v>
      </c>
      <c r="D365" s="2" t="s">
        <v>100</v>
      </c>
      <c r="E365" s="2">
        <v>95</v>
      </c>
      <c r="F365" s="2">
        <v>95</v>
      </c>
      <c r="G365" s="2">
        <v>97</v>
      </c>
      <c r="H365" s="2">
        <v>97</v>
      </c>
      <c r="K365" t="str">
        <v>7899A</v>
      </c>
      <c r="L365">
        <v>86</v>
      </c>
      <c r="N365" t="str">
        <v>886N</v>
      </c>
      <c r="O365" t="str">
        <v>938T</v>
      </c>
      <c r="P365">
        <v>138</v>
      </c>
      <c r="R365" t="str">
        <v>7899A</v>
      </c>
      <c r="S365">
        <v>86</v>
      </c>
      <c r="U365" t="str">
        <v>3484X</v>
      </c>
      <c r="V365" t="str">
        <v>8675R</v>
      </c>
      <c r="W365">
        <v>85</v>
      </c>
    </row>
    <row r="366" spans="1:23" x14ac:dyDescent="0.3">
      <c r="A366" s="2" t="s">
        <v>18</v>
      </c>
      <c r="B366" s="2" t="s">
        <v>97</v>
      </c>
      <c r="C366" s="2" t="s">
        <v>64</v>
      </c>
      <c r="D366" s="2" t="s">
        <v>67</v>
      </c>
      <c r="E366" s="2">
        <v>88</v>
      </c>
      <c r="F366" s="2">
        <v>88</v>
      </c>
      <c r="G366" s="2">
        <v>26</v>
      </c>
      <c r="H366" s="2">
        <v>26</v>
      </c>
      <c r="K366" t="str">
        <v>6526E</v>
      </c>
      <c r="L366">
        <v>75</v>
      </c>
      <c r="N366" t="str">
        <v>938B</v>
      </c>
      <c r="O366" t="str">
        <v>10W</v>
      </c>
      <c r="P366">
        <v>78</v>
      </c>
      <c r="R366" t="str">
        <v>6526E</v>
      </c>
      <c r="S366">
        <v>75</v>
      </c>
      <c r="U366" t="str">
        <v>10K</v>
      </c>
      <c r="V366" t="str">
        <v>938W</v>
      </c>
      <c r="W366">
        <v>34</v>
      </c>
    </row>
    <row r="367" spans="1:23" x14ac:dyDescent="0.3">
      <c r="A367" s="2" t="s">
        <v>76</v>
      </c>
      <c r="B367" s="2" t="s">
        <v>58</v>
      </c>
      <c r="C367" s="2" t="s">
        <v>98</v>
      </c>
      <c r="D367" s="2" t="s">
        <v>82</v>
      </c>
      <c r="E367" s="2">
        <v>67</v>
      </c>
      <c r="F367" s="2">
        <v>67</v>
      </c>
      <c r="G367" s="2">
        <v>49</v>
      </c>
      <c r="H367" s="2">
        <v>49</v>
      </c>
      <c r="K367" t="str">
        <v>1469A</v>
      </c>
      <c r="L367">
        <v>75</v>
      </c>
      <c r="N367" t="str">
        <v>7700P</v>
      </c>
      <c r="O367" t="str">
        <v>8931R</v>
      </c>
      <c r="P367">
        <v>81</v>
      </c>
      <c r="R367" t="str">
        <v>1469A</v>
      </c>
      <c r="S367">
        <v>75</v>
      </c>
      <c r="U367" t="str">
        <v>10009A</v>
      </c>
      <c r="V367" t="str">
        <v>10W</v>
      </c>
      <c r="W367">
        <v>97</v>
      </c>
    </row>
    <row r="368" spans="1:23" x14ac:dyDescent="0.3">
      <c r="A368" s="2" t="s">
        <v>39</v>
      </c>
      <c r="B368" s="2" t="s">
        <v>99</v>
      </c>
      <c r="C368" s="2" t="s">
        <v>33</v>
      </c>
      <c r="D368" s="2" t="s">
        <v>63</v>
      </c>
      <c r="E368" s="2">
        <v>71</v>
      </c>
      <c r="F368" s="2">
        <v>71</v>
      </c>
      <c r="G368" s="2">
        <v>138</v>
      </c>
      <c r="H368" s="2">
        <v>138</v>
      </c>
      <c r="K368" t="str">
        <v>886N</v>
      </c>
      <c r="L368">
        <v>157</v>
      </c>
      <c r="N368" t="str">
        <v>938M</v>
      </c>
      <c r="O368" t="str">
        <v>5233J</v>
      </c>
      <c r="P368">
        <v>115</v>
      </c>
      <c r="R368" t="str">
        <v>886N</v>
      </c>
      <c r="S368">
        <v>157</v>
      </c>
      <c r="U368" t="str">
        <v>47874R</v>
      </c>
      <c r="V368" t="str">
        <v>10N</v>
      </c>
      <c r="W368">
        <v>88</v>
      </c>
    </row>
    <row r="369" spans="1:23" x14ac:dyDescent="0.3">
      <c r="A369" s="2" t="s">
        <v>31</v>
      </c>
      <c r="B369" s="2" t="s">
        <v>79</v>
      </c>
      <c r="C369" s="2" t="s">
        <v>68</v>
      </c>
      <c r="D369" s="2" t="s">
        <v>57</v>
      </c>
      <c r="E369" s="2">
        <v>63</v>
      </c>
      <c r="F369" s="2">
        <v>63</v>
      </c>
      <c r="G369" s="2">
        <v>78</v>
      </c>
      <c r="H369" s="2">
        <v>78</v>
      </c>
      <c r="K369" t="str">
        <v>11101B</v>
      </c>
      <c r="L369">
        <v>157</v>
      </c>
      <c r="N369" t="str">
        <v>9364D</v>
      </c>
      <c r="O369" t="str">
        <v>10B</v>
      </c>
      <c r="P369">
        <v>80</v>
      </c>
      <c r="R369" t="str">
        <v>11101B</v>
      </c>
      <c r="S369">
        <v>157</v>
      </c>
      <c r="U369" t="str">
        <v>80001B</v>
      </c>
      <c r="V369" t="str">
        <v>10Z</v>
      </c>
      <c r="W369">
        <v>60</v>
      </c>
    </row>
    <row r="370" spans="1:23" x14ac:dyDescent="0.3">
      <c r="A370" s="2" t="s">
        <v>94</v>
      </c>
      <c r="B370" s="2" t="s">
        <v>104</v>
      </c>
      <c r="C370" s="2" t="s">
        <v>45</v>
      </c>
      <c r="D370" s="2" t="s">
        <v>34</v>
      </c>
      <c r="E370" s="2">
        <v>140</v>
      </c>
      <c r="F370" s="2">
        <v>140</v>
      </c>
      <c r="G370" s="2">
        <v>81</v>
      </c>
      <c r="H370" s="2">
        <v>81</v>
      </c>
      <c r="K370" t="str">
        <v>9364H</v>
      </c>
      <c r="L370">
        <v>52</v>
      </c>
      <c r="N370" t="str">
        <v>1010W</v>
      </c>
      <c r="O370" t="str">
        <v>39313Z</v>
      </c>
      <c r="P370">
        <v>118</v>
      </c>
      <c r="R370" t="str">
        <v>9364H</v>
      </c>
      <c r="S370">
        <v>52</v>
      </c>
      <c r="U370" t="str">
        <v>98225J</v>
      </c>
      <c r="V370" t="str">
        <v>938T</v>
      </c>
      <c r="W370">
        <v>40</v>
      </c>
    </row>
    <row r="371" spans="1:23" x14ac:dyDescent="0.3">
      <c r="A371" s="2" t="s">
        <v>28</v>
      </c>
      <c r="B371" s="2" t="s">
        <v>91</v>
      </c>
      <c r="C371" s="2" t="s">
        <v>55</v>
      </c>
      <c r="D371" s="2" t="s">
        <v>14</v>
      </c>
      <c r="E371" s="2">
        <v>98</v>
      </c>
      <c r="F371" s="2">
        <v>98</v>
      </c>
      <c r="G371" s="2">
        <v>115</v>
      </c>
      <c r="H371" s="2">
        <v>115</v>
      </c>
      <c r="K371" t="str">
        <v>8931R</v>
      </c>
      <c r="L371">
        <v>52</v>
      </c>
      <c r="N371" t="str">
        <v>98225F</v>
      </c>
      <c r="O371" t="str">
        <v>7899A</v>
      </c>
      <c r="P371">
        <v>106</v>
      </c>
      <c r="R371" t="str">
        <v>8931R</v>
      </c>
      <c r="S371">
        <v>52</v>
      </c>
      <c r="U371" t="str">
        <v>9364D</v>
      </c>
      <c r="V371" t="str">
        <v>502X</v>
      </c>
      <c r="W371">
        <v>113</v>
      </c>
    </row>
    <row r="372" spans="1:23" x14ac:dyDescent="0.3">
      <c r="A372" s="2" t="s">
        <v>73</v>
      </c>
      <c r="B372" s="2" t="s">
        <v>43</v>
      </c>
      <c r="C372" s="2" t="s">
        <v>70</v>
      </c>
      <c r="D372" s="2" t="s">
        <v>13</v>
      </c>
      <c r="E372" s="2">
        <v>93</v>
      </c>
      <c r="F372" s="2">
        <v>93</v>
      </c>
      <c r="G372" s="2">
        <v>80</v>
      </c>
      <c r="H372" s="2">
        <v>80</v>
      </c>
      <c r="K372" t="str">
        <v>98225F</v>
      </c>
      <c r="L372">
        <v>89</v>
      </c>
      <c r="N372" t="str">
        <v>938J</v>
      </c>
      <c r="O372" t="str">
        <v>80001B</v>
      </c>
      <c r="P372">
        <v>40</v>
      </c>
      <c r="R372" t="str">
        <v>98225F</v>
      </c>
      <c r="S372">
        <v>89</v>
      </c>
      <c r="U372" t="str">
        <v>99621H</v>
      </c>
      <c r="V372" t="str">
        <v>7899A</v>
      </c>
      <c r="W372">
        <v>86</v>
      </c>
    </row>
    <row r="373" spans="1:23" x14ac:dyDescent="0.3">
      <c r="A373" s="2" t="s">
        <v>87</v>
      </c>
      <c r="B373" s="2" t="s">
        <v>44</v>
      </c>
      <c r="C373" s="2" t="s">
        <v>27</v>
      </c>
      <c r="D373" s="2" t="s">
        <v>97</v>
      </c>
      <c r="E373" s="2">
        <v>27</v>
      </c>
      <c r="F373" s="2">
        <v>27</v>
      </c>
      <c r="G373" s="2">
        <v>118</v>
      </c>
      <c r="H373" s="2">
        <v>118</v>
      </c>
      <c r="K373" t="str">
        <v>1010W</v>
      </c>
      <c r="L373">
        <v>89</v>
      </c>
      <c r="N373" t="str">
        <v>920B</v>
      </c>
      <c r="O373" t="str">
        <v>10Z</v>
      </c>
      <c r="P373">
        <v>121</v>
      </c>
      <c r="R373" t="str">
        <v>1010W</v>
      </c>
      <c r="S373">
        <v>89</v>
      </c>
      <c r="U373" t="str">
        <v>886N</v>
      </c>
      <c r="V373" t="str">
        <v>11101B</v>
      </c>
      <c r="W373">
        <v>157</v>
      </c>
    </row>
    <row r="374" spans="1:23" x14ac:dyDescent="0.3">
      <c r="A374" s="2" t="s">
        <v>56</v>
      </c>
      <c r="B374" s="2" t="s">
        <v>25</v>
      </c>
      <c r="C374" s="2" t="s">
        <v>19</v>
      </c>
      <c r="D374" s="2" t="s">
        <v>37</v>
      </c>
      <c r="E374" s="2">
        <v>96</v>
      </c>
      <c r="F374" s="2">
        <v>96</v>
      </c>
      <c r="G374" s="2">
        <v>106</v>
      </c>
      <c r="H374" s="2">
        <v>106</v>
      </c>
      <c r="K374" t="str">
        <v>39313Z</v>
      </c>
      <c r="L374">
        <v>60</v>
      </c>
      <c r="N374" t="str">
        <v>5327S</v>
      </c>
      <c r="O374" t="str">
        <v>938G</v>
      </c>
      <c r="P374">
        <v>143</v>
      </c>
      <c r="R374" t="str">
        <v>39313Z</v>
      </c>
      <c r="S374">
        <v>60</v>
      </c>
      <c r="U374" t="str">
        <v>98225F</v>
      </c>
      <c r="V374" t="str">
        <v>1010W</v>
      </c>
      <c r="W374">
        <v>89</v>
      </c>
    </row>
    <row r="375" spans="1:23" x14ac:dyDescent="0.3">
      <c r="A375" s="2" t="s">
        <v>50</v>
      </c>
      <c r="B375" s="2" t="s">
        <v>21</v>
      </c>
      <c r="C375" s="2" t="s">
        <v>38</v>
      </c>
      <c r="D375" s="2" t="s">
        <v>86</v>
      </c>
      <c r="E375" s="2">
        <v>57</v>
      </c>
      <c r="F375" s="2">
        <v>57</v>
      </c>
      <c r="G375" s="2">
        <v>40</v>
      </c>
      <c r="H375" s="2">
        <v>40</v>
      </c>
      <c r="K375" t="str">
        <v>90385R</v>
      </c>
      <c r="L375">
        <v>60</v>
      </c>
      <c r="N375" t="str">
        <v>10009A</v>
      </c>
      <c r="O375" t="str">
        <v>1469A</v>
      </c>
      <c r="P375">
        <v>119</v>
      </c>
      <c r="R375" t="str">
        <v>90385R</v>
      </c>
      <c r="S375">
        <v>60</v>
      </c>
      <c r="U375" t="str">
        <v>10S</v>
      </c>
      <c r="V375" t="str">
        <v>938M</v>
      </c>
      <c r="W375">
        <v>41</v>
      </c>
    </row>
    <row r="376" spans="1:23" x14ac:dyDescent="0.3">
      <c r="A376" s="2" t="s">
        <v>81</v>
      </c>
      <c r="B376" s="2" t="s">
        <v>100</v>
      </c>
      <c r="C376" s="2" t="s">
        <v>51</v>
      </c>
      <c r="D376" s="2" t="s">
        <v>12</v>
      </c>
      <c r="E376" s="2">
        <v>37</v>
      </c>
      <c r="F376" s="2">
        <v>37</v>
      </c>
      <c r="G376" s="2">
        <v>121</v>
      </c>
      <c r="H376" s="2">
        <v>121</v>
      </c>
      <c r="K376" t="str">
        <v>10S</v>
      </c>
      <c r="L376">
        <v>41</v>
      </c>
      <c r="N376" t="str">
        <v>98225J</v>
      </c>
      <c r="O376" t="str">
        <v>99621B</v>
      </c>
      <c r="P376">
        <v>106</v>
      </c>
      <c r="R376" t="str">
        <v>10S</v>
      </c>
      <c r="S376">
        <v>41</v>
      </c>
      <c r="U376" t="str">
        <v>3583A</v>
      </c>
      <c r="V376" t="str">
        <v>12516A</v>
      </c>
      <c r="W376">
        <v>93</v>
      </c>
    </row>
    <row r="377" spans="1:23" x14ac:dyDescent="0.3">
      <c r="A377" s="2" t="s">
        <v>20</v>
      </c>
      <c r="B377" s="2" t="s">
        <v>93</v>
      </c>
      <c r="C377" s="2" t="s">
        <v>32</v>
      </c>
      <c r="D377" s="2" t="s">
        <v>11</v>
      </c>
      <c r="E377" s="2">
        <v>40</v>
      </c>
      <c r="F377" s="2">
        <v>40</v>
      </c>
      <c r="G377" s="2">
        <v>143</v>
      </c>
      <c r="H377" s="2">
        <v>143</v>
      </c>
      <c r="K377" t="str">
        <v>938M</v>
      </c>
      <c r="L377">
        <v>41</v>
      </c>
      <c r="N377" t="str">
        <v>884A</v>
      </c>
      <c r="O377" t="str">
        <v>299Y</v>
      </c>
      <c r="P377">
        <v>104</v>
      </c>
      <c r="R377" t="str">
        <v>938M</v>
      </c>
      <c r="S377">
        <v>41</v>
      </c>
      <c r="U377" t="str">
        <v>2605B</v>
      </c>
      <c r="V377" t="str">
        <v>299Y</v>
      </c>
      <c r="W377">
        <v>148</v>
      </c>
    </row>
    <row r="378" spans="1:23" x14ac:dyDescent="0.3">
      <c r="A378" s="2" t="s">
        <v>80</v>
      </c>
      <c r="B378" s="2" t="s">
        <v>92</v>
      </c>
      <c r="C378" s="2" t="s">
        <v>18</v>
      </c>
      <c r="D378" s="2" t="s">
        <v>74</v>
      </c>
      <c r="E378" s="2">
        <v>65</v>
      </c>
      <c r="F378" s="2">
        <v>65</v>
      </c>
      <c r="G378" s="2">
        <v>119</v>
      </c>
      <c r="H378" s="2">
        <v>119</v>
      </c>
      <c r="K378" t="str">
        <v>10Z</v>
      </c>
      <c r="L378">
        <v>86</v>
      </c>
      <c r="N378" t="str">
        <v>16689X</v>
      </c>
      <c r="O378" t="str">
        <v>949Z</v>
      </c>
      <c r="P378">
        <v>64</v>
      </c>
      <c r="R378" t="str">
        <v>10Z</v>
      </c>
      <c r="S378">
        <v>86</v>
      </c>
      <c r="U378" t="str">
        <v>10B</v>
      </c>
      <c r="V378" t="str">
        <v>44244S</v>
      </c>
      <c r="W378">
        <v>72</v>
      </c>
    </row>
    <row r="379" spans="1:23" x14ac:dyDescent="0.3">
      <c r="A379" s="2" t="s">
        <v>75</v>
      </c>
      <c r="B379" s="2" t="s">
        <v>61</v>
      </c>
      <c r="C379" s="2" t="s">
        <v>26</v>
      </c>
      <c r="D379" s="2" t="s">
        <v>49</v>
      </c>
      <c r="E379" s="2">
        <v>135</v>
      </c>
      <c r="F379" s="2">
        <v>135</v>
      </c>
      <c r="G379" s="2">
        <v>106</v>
      </c>
      <c r="H379" s="2">
        <v>106</v>
      </c>
      <c r="K379" t="str">
        <v>884A</v>
      </c>
      <c r="L379">
        <v>86</v>
      </c>
      <c r="N379" t="str">
        <v>51581S</v>
      </c>
      <c r="O379" t="str">
        <v>6526E</v>
      </c>
      <c r="P379">
        <v>155</v>
      </c>
      <c r="R379" t="str">
        <v>884A</v>
      </c>
      <c r="S379">
        <v>86</v>
      </c>
      <c r="U379" t="str">
        <v>61002G</v>
      </c>
      <c r="V379" t="str">
        <v>99621H</v>
      </c>
      <c r="W379">
        <v>97</v>
      </c>
    </row>
    <row r="380" spans="1:23" x14ac:dyDescent="0.3">
      <c r="A380" s="2" t="s">
        <v>52</v>
      </c>
      <c r="B380" s="2" t="s">
        <v>69</v>
      </c>
      <c r="C380" s="2" t="s">
        <v>62</v>
      </c>
      <c r="D380" s="2" t="s">
        <v>85</v>
      </c>
      <c r="E380" s="2">
        <v>45</v>
      </c>
      <c r="F380" s="2">
        <v>45</v>
      </c>
      <c r="G380" s="2">
        <v>104</v>
      </c>
      <c r="H380" s="2">
        <v>104</v>
      </c>
      <c r="K380" t="str">
        <v>3583A</v>
      </c>
      <c r="L380">
        <v>93</v>
      </c>
      <c r="N380" t="str">
        <v>920B</v>
      </c>
      <c r="O380" t="str">
        <v>39313Z</v>
      </c>
      <c r="P380">
        <v>117</v>
      </c>
      <c r="R380" t="str">
        <v>3583A</v>
      </c>
      <c r="S380">
        <v>93</v>
      </c>
      <c r="U380" t="str">
        <v>84141B</v>
      </c>
      <c r="V380" t="str">
        <v>5327S</v>
      </c>
      <c r="W380">
        <v>118</v>
      </c>
    </row>
    <row r="381" spans="1:23" x14ac:dyDescent="0.3">
      <c r="A381" s="2" t="s">
        <v>88</v>
      </c>
      <c r="B381" s="2" t="s">
        <v>46</v>
      </c>
      <c r="C381" s="2" t="s">
        <v>103</v>
      </c>
      <c r="D381" s="2" t="s">
        <v>40</v>
      </c>
      <c r="E381" s="2">
        <v>96</v>
      </c>
      <c r="F381" s="2">
        <v>96</v>
      </c>
      <c r="G381" s="2">
        <v>64</v>
      </c>
      <c r="H381" s="2">
        <v>64</v>
      </c>
      <c r="K381" t="str">
        <v>12516A</v>
      </c>
      <c r="L381">
        <v>93</v>
      </c>
      <c r="N381" t="str">
        <v>2605B</v>
      </c>
      <c r="O381" t="str">
        <v>16689D</v>
      </c>
      <c r="P381">
        <v>48</v>
      </c>
      <c r="R381" t="str">
        <v>12516A</v>
      </c>
      <c r="S381">
        <v>93</v>
      </c>
      <c r="U381" t="str">
        <v>1091A</v>
      </c>
      <c r="V381" t="str">
        <v>938G</v>
      </c>
      <c r="W381">
        <v>86</v>
      </c>
    </row>
    <row r="382" spans="1:23" x14ac:dyDescent="0.3">
      <c r="A382" s="2" t="s">
        <v>99</v>
      </c>
      <c r="B382" s="2" t="s">
        <v>87</v>
      </c>
      <c r="C382" s="2" t="s">
        <v>28</v>
      </c>
      <c r="D382" s="2" t="s">
        <v>79</v>
      </c>
      <c r="E382" s="2">
        <v>45</v>
      </c>
      <c r="F382" s="2">
        <v>45</v>
      </c>
      <c r="G382" s="2">
        <v>155</v>
      </c>
      <c r="H382" s="2">
        <v>155</v>
      </c>
      <c r="K382" t="str">
        <v>938T</v>
      </c>
      <c r="L382">
        <v>59</v>
      </c>
      <c r="N382" t="str">
        <v>604X</v>
      </c>
      <c r="O382" t="str">
        <v>8931R</v>
      </c>
      <c r="P382">
        <v>98</v>
      </c>
      <c r="R382" t="str">
        <v>938T</v>
      </c>
      <c r="S382">
        <v>59</v>
      </c>
      <c r="U382" t="str">
        <v>3512D</v>
      </c>
      <c r="V382" t="str">
        <v>7700E</v>
      </c>
      <c r="W382">
        <v>35</v>
      </c>
    </row>
    <row r="383" spans="1:23" x14ac:dyDescent="0.3">
      <c r="A383" s="2" t="s">
        <v>45</v>
      </c>
      <c r="B383" s="2" t="s">
        <v>14</v>
      </c>
      <c r="C383" s="2" t="s">
        <v>51</v>
      </c>
      <c r="D383" s="2" t="s">
        <v>97</v>
      </c>
      <c r="E383" s="2">
        <v>45</v>
      </c>
      <c r="F383" s="2">
        <v>45</v>
      </c>
      <c r="G383" s="2">
        <v>117</v>
      </c>
      <c r="H383" s="2">
        <v>117</v>
      </c>
      <c r="K383" t="str">
        <v>938P</v>
      </c>
      <c r="L383">
        <v>59</v>
      </c>
      <c r="N383" t="str">
        <v>502X</v>
      </c>
      <c r="O383" t="str">
        <v>99621H</v>
      </c>
      <c r="P383">
        <v>131</v>
      </c>
      <c r="R383" t="str">
        <v>938P</v>
      </c>
      <c r="S383">
        <v>59</v>
      </c>
      <c r="U383" t="str">
        <v>98225F</v>
      </c>
      <c r="V383" t="str">
        <v>609B</v>
      </c>
      <c r="W383">
        <v>69</v>
      </c>
    </row>
    <row r="384" spans="1:23" x14ac:dyDescent="0.3">
      <c r="A384" s="2" t="s">
        <v>37</v>
      </c>
      <c r="B384" s="2" t="s">
        <v>86</v>
      </c>
      <c r="C384" s="2" t="s">
        <v>31</v>
      </c>
      <c r="D384" s="2" t="s">
        <v>98</v>
      </c>
      <c r="E384" s="2">
        <v>111</v>
      </c>
      <c r="F384" s="2">
        <v>111</v>
      </c>
      <c r="G384" s="2">
        <v>48</v>
      </c>
      <c r="H384" s="2">
        <v>48</v>
      </c>
      <c r="K384" t="str">
        <v>2605B</v>
      </c>
      <c r="L384">
        <v>148</v>
      </c>
      <c r="N384" t="str">
        <v>61002G</v>
      </c>
      <c r="O384" t="str">
        <v>44244S</v>
      </c>
      <c r="P384">
        <v>48</v>
      </c>
      <c r="R384" t="str">
        <v>2605B</v>
      </c>
      <c r="S384">
        <v>148</v>
      </c>
      <c r="U384" t="str">
        <v>7899A</v>
      </c>
      <c r="V384" t="str">
        <v>938E</v>
      </c>
      <c r="W384">
        <v>40</v>
      </c>
    </row>
    <row r="385" spans="1:23" x14ac:dyDescent="0.3">
      <c r="A385" s="2" t="s">
        <v>21</v>
      </c>
      <c r="B385" s="2" t="s">
        <v>57</v>
      </c>
      <c r="C385" s="2" t="s">
        <v>80</v>
      </c>
      <c r="D385" s="2" t="s">
        <v>34</v>
      </c>
      <c r="E385" s="2">
        <v>90</v>
      </c>
      <c r="F385" s="2">
        <v>90</v>
      </c>
      <c r="G385" s="2">
        <v>98</v>
      </c>
      <c r="H385" s="2">
        <v>98</v>
      </c>
      <c r="K385" t="str">
        <v>299Y</v>
      </c>
      <c r="L385">
        <v>148</v>
      </c>
      <c r="N385" t="str">
        <v>9364H</v>
      </c>
      <c r="O385" t="str">
        <v>938P</v>
      </c>
      <c r="P385">
        <v>68</v>
      </c>
      <c r="R385" t="str">
        <v>299Y</v>
      </c>
      <c r="S385">
        <v>148</v>
      </c>
      <c r="U385" t="str">
        <v>10009A</v>
      </c>
      <c r="V385" t="str">
        <v>80001B</v>
      </c>
      <c r="W385">
        <v>105</v>
      </c>
    </row>
    <row r="386" spans="1:23" x14ac:dyDescent="0.3">
      <c r="A386" s="2" t="s">
        <v>104</v>
      </c>
      <c r="B386" s="2" t="s">
        <v>64</v>
      </c>
      <c r="C386" s="2" t="s">
        <v>56</v>
      </c>
      <c r="D386" s="2" t="s">
        <v>44</v>
      </c>
      <c r="E386" s="2">
        <v>109</v>
      </c>
      <c r="F386" s="2">
        <v>109</v>
      </c>
      <c r="G386" s="2">
        <v>131</v>
      </c>
      <c r="H386" s="2">
        <v>131</v>
      </c>
      <c r="K386" t="str">
        <v>16689D</v>
      </c>
      <c r="L386">
        <v>54</v>
      </c>
      <c r="N386" t="str">
        <v>16689X</v>
      </c>
      <c r="O386" t="str">
        <v>10E</v>
      </c>
      <c r="P386">
        <v>69</v>
      </c>
      <c r="R386" t="str">
        <v>16689D</v>
      </c>
      <c r="S386">
        <v>54</v>
      </c>
      <c r="U386" t="str">
        <v>11101B</v>
      </c>
      <c r="V386" t="str">
        <v>8931R</v>
      </c>
      <c r="W386">
        <v>155</v>
      </c>
    </row>
    <row r="387" spans="1:23" x14ac:dyDescent="0.3">
      <c r="A387" s="2" t="s">
        <v>70</v>
      </c>
      <c r="B387" s="2" t="s">
        <v>12</v>
      </c>
      <c r="C387" s="2" t="s">
        <v>58</v>
      </c>
      <c r="D387" s="2" t="s">
        <v>75</v>
      </c>
      <c r="E387" s="2">
        <v>102</v>
      </c>
      <c r="F387" s="2">
        <v>102</v>
      </c>
      <c r="G387" s="2">
        <v>48</v>
      </c>
      <c r="H387" s="2">
        <v>48</v>
      </c>
      <c r="K387" t="str">
        <v>10E</v>
      </c>
      <c r="L387">
        <v>54</v>
      </c>
      <c r="N387" t="str">
        <v>10G</v>
      </c>
      <c r="O387" t="str">
        <v>938M</v>
      </c>
      <c r="P387">
        <v>44</v>
      </c>
      <c r="R387" t="str">
        <v>10E</v>
      </c>
      <c r="S387">
        <v>54</v>
      </c>
      <c r="U387" t="str">
        <v>9364H</v>
      </c>
      <c r="V387" t="str">
        <v>98548C</v>
      </c>
      <c r="W387">
        <v>88</v>
      </c>
    </row>
    <row r="388" spans="1:23" x14ac:dyDescent="0.3">
      <c r="A388" s="2" t="s">
        <v>100</v>
      </c>
      <c r="B388" s="2" t="s">
        <v>73</v>
      </c>
      <c r="C388" s="2" t="s">
        <v>50</v>
      </c>
      <c r="D388" s="2" t="s">
        <v>25</v>
      </c>
      <c r="E388" s="2">
        <v>32</v>
      </c>
      <c r="F388" s="2">
        <v>32</v>
      </c>
      <c r="G388" s="2">
        <v>68</v>
      </c>
      <c r="H388" s="2">
        <v>68</v>
      </c>
      <c r="K388" t="str">
        <v>10B</v>
      </c>
      <c r="L388">
        <v>72</v>
      </c>
      <c r="N388" t="str">
        <v>98548C</v>
      </c>
      <c r="O388" t="str">
        <v>98225J</v>
      </c>
      <c r="P388">
        <v>93</v>
      </c>
      <c r="R388" t="str">
        <v>10B</v>
      </c>
      <c r="S388">
        <v>72</v>
      </c>
      <c r="U388" t="str">
        <v>6526E</v>
      </c>
      <c r="V388" t="str">
        <v>3484X</v>
      </c>
      <c r="W388">
        <v>65</v>
      </c>
    </row>
    <row r="389" spans="1:23" x14ac:dyDescent="0.3">
      <c r="A389" s="2" t="s">
        <v>74</v>
      </c>
      <c r="B389" s="2" t="s">
        <v>39</v>
      </c>
      <c r="C389" s="2" t="s">
        <v>103</v>
      </c>
      <c r="D389" s="2" t="s">
        <v>67</v>
      </c>
      <c r="E389" s="2">
        <v>97</v>
      </c>
      <c r="F389" s="2">
        <v>97</v>
      </c>
      <c r="G389" s="2">
        <v>69</v>
      </c>
      <c r="H389" s="2">
        <v>69</v>
      </c>
      <c r="K389" t="str">
        <v>44244S</v>
      </c>
      <c r="L389">
        <v>72</v>
      </c>
      <c r="N389" t="str">
        <v>90385R</v>
      </c>
      <c r="O389" t="str">
        <v>5327S</v>
      </c>
      <c r="P389">
        <v>106</v>
      </c>
      <c r="R389" t="str">
        <v>44244S</v>
      </c>
      <c r="S389">
        <v>72</v>
      </c>
      <c r="U389" t="str">
        <v>1248X</v>
      </c>
      <c r="V389" t="str">
        <v>1469A</v>
      </c>
      <c r="W389">
        <v>84</v>
      </c>
    </row>
    <row r="390" spans="1:23" x14ac:dyDescent="0.3">
      <c r="A390" s="2" t="s">
        <v>62</v>
      </c>
      <c r="B390" s="2" t="s">
        <v>18</v>
      </c>
      <c r="C390" s="2" t="s">
        <v>93</v>
      </c>
      <c r="D390" s="2" t="s">
        <v>55</v>
      </c>
      <c r="E390" s="2">
        <v>104</v>
      </c>
      <c r="F390" s="2">
        <v>104</v>
      </c>
      <c r="G390" s="2">
        <v>44</v>
      </c>
      <c r="H390" s="2">
        <v>44</v>
      </c>
      <c r="K390" t="str">
        <v>938W</v>
      </c>
      <c r="L390">
        <v>60</v>
      </c>
      <c r="N390" t="str">
        <v>47874A</v>
      </c>
      <c r="O390" t="str">
        <v>299Y</v>
      </c>
      <c r="P390">
        <v>67</v>
      </c>
      <c r="R390" t="str">
        <v>938W</v>
      </c>
      <c r="S390">
        <v>60</v>
      </c>
      <c r="U390" t="str">
        <v>938J</v>
      </c>
      <c r="V390" t="str">
        <v>16689D</v>
      </c>
      <c r="W390">
        <v>63</v>
      </c>
    </row>
    <row r="391" spans="1:23" x14ac:dyDescent="0.3">
      <c r="A391" s="2" t="s">
        <v>88</v>
      </c>
      <c r="B391" s="2" t="s">
        <v>38</v>
      </c>
      <c r="C391" s="2" t="s">
        <v>81</v>
      </c>
      <c r="D391" s="2" t="s">
        <v>26</v>
      </c>
      <c r="E391" s="2">
        <v>91</v>
      </c>
      <c r="F391" s="2">
        <v>91</v>
      </c>
      <c r="G391" s="2">
        <v>93</v>
      </c>
      <c r="H391" s="2">
        <v>93</v>
      </c>
      <c r="K391" t="str">
        <v>10N</v>
      </c>
      <c r="L391">
        <v>60</v>
      </c>
      <c r="N391" t="str">
        <v>12516A</v>
      </c>
      <c r="O391" t="str">
        <v>99621B</v>
      </c>
      <c r="P391">
        <v>49</v>
      </c>
      <c r="R391" t="str">
        <v>10N</v>
      </c>
      <c r="S391">
        <v>60</v>
      </c>
      <c r="U391" t="str">
        <v>8675R</v>
      </c>
      <c r="V391" t="str">
        <v>39313Z</v>
      </c>
      <c r="W391">
        <v>79</v>
      </c>
    </row>
    <row r="392" spans="1:23" x14ac:dyDescent="0.3">
      <c r="A392" s="2" t="s">
        <v>40</v>
      </c>
      <c r="B392" s="2" t="s">
        <v>63</v>
      </c>
      <c r="C392" s="2" t="s">
        <v>52</v>
      </c>
      <c r="D392" s="2" t="s">
        <v>32</v>
      </c>
      <c r="E392" s="2">
        <v>104</v>
      </c>
      <c r="F392" s="2">
        <v>104</v>
      </c>
      <c r="G392" s="2">
        <v>106</v>
      </c>
      <c r="H392" s="2">
        <v>106</v>
      </c>
      <c r="K392" t="str">
        <v>61002G</v>
      </c>
      <c r="L392">
        <v>97</v>
      </c>
      <c r="N392" t="str">
        <v>3512D</v>
      </c>
      <c r="O392" t="str">
        <v>98225F</v>
      </c>
      <c r="P392">
        <v>53</v>
      </c>
      <c r="R392" t="str">
        <v>61002G</v>
      </c>
      <c r="S392">
        <v>97</v>
      </c>
      <c r="U392" t="str">
        <v>938P</v>
      </c>
      <c r="V392" t="str">
        <v>90385R</v>
      </c>
      <c r="W392">
        <v>35</v>
      </c>
    </row>
    <row r="393" spans="1:23" x14ac:dyDescent="0.3">
      <c r="A393" s="2" t="s">
        <v>94</v>
      </c>
      <c r="B393" s="2" t="s">
        <v>27</v>
      </c>
      <c r="C393" s="2" t="s">
        <v>61</v>
      </c>
      <c r="D393" s="2" t="s">
        <v>85</v>
      </c>
      <c r="E393" s="2">
        <v>140</v>
      </c>
      <c r="F393" s="2">
        <v>140</v>
      </c>
      <c r="G393" s="2">
        <v>67</v>
      </c>
      <c r="H393" s="2">
        <v>67</v>
      </c>
      <c r="K393" t="str">
        <v>99621H</v>
      </c>
      <c r="L393">
        <v>97</v>
      </c>
      <c r="N393" t="str">
        <v>7700E</v>
      </c>
      <c r="O393" t="str">
        <v>938B</v>
      </c>
      <c r="P393">
        <v>63</v>
      </c>
      <c r="R393" t="str">
        <v>99621H</v>
      </c>
      <c r="S393">
        <v>97</v>
      </c>
      <c r="U393" t="str">
        <v>11101B</v>
      </c>
      <c r="V393" t="str">
        <v>10S</v>
      </c>
      <c r="W393">
        <v>97</v>
      </c>
    </row>
    <row r="394" spans="1:23" x14ac:dyDescent="0.3">
      <c r="A394" s="2" t="s">
        <v>76</v>
      </c>
      <c r="B394" s="2" t="s">
        <v>43</v>
      </c>
      <c r="C394" s="2" t="s">
        <v>20</v>
      </c>
      <c r="D394" s="2" t="s">
        <v>49</v>
      </c>
      <c r="E394" s="2">
        <v>142</v>
      </c>
      <c r="F394" s="2">
        <v>142</v>
      </c>
      <c r="G394" s="2">
        <v>49</v>
      </c>
      <c r="H394" s="2">
        <v>49</v>
      </c>
      <c r="K394" t="str">
        <v>47874A</v>
      </c>
      <c r="L394">
        <v>80</v>
      </c>
      <c r="N394" t="str">
        <v>10E</v>
      </c>
      <c r="O394" t="str">
        <v>609B</v>
      </c>
      <c r="P394">
        <v>49</v>
      </c>
      <c r="R394" t="str">
        <v>47874A</v>
      </c>
      <c r="S394">
        <v>80</v>
      </c>
      <c r="U394" t="str">
        <v>47874R</v>
      </c>
      <c r="V394" t="str">
        <v>51581S</v>
      </c>
      <c r="W394">
        <v>99</v>
      </c>
    </row>
    <row r="395" spans="1:23" x14ac:dyDescent="0.3">
      <c r="A395" s="2" t="s">
        <v>13</v>
      </c>
      <c r="B395" s="2" t="s">
        <v>82</v>
      </c>
      <c r="C395" s="2" t="s">
        <v>69</v>
      </c>
      <c r="D395" s="2" t="s">
        <v>19</v>
      </c>
      <c r="E395" s="2">
        <v>94</v>
      </c>
      <c r="F395" s="2">
        <v>94</v>
      </c>
      <c r="G395" s="2">
        <v>53</v>
      </c>
      <c r="H395" s="2">
        <v>53</v>
      </c>
      <c r="K395" t="str">
        <v>5233J</v>
      </c>
      <c r="L395">
        <v>80</v>
      </c>
      <c r="N395" t="str">
        <v>84141B</v>
      </c>
      <c r="O395" t="str">
        <v>44244S</v>
      </c>
      <c r="P395">
        <v>100</v>
      </c>
      <c r="R395" t="str">
        <v>5233J</v>
      </c>
      <c r="S395">
        <v>80</v>
      </c>
      <c r="U395" t="str">
        <v>938W</v>
      </c>
      <c r="V395" t="str">
        <v>10E</v>
      </c>
      <c r="W395">
        <v>54</v>
      </c>
    </row>
    <row r="396" spans="1:23" x14ac:dyDescent="0.3">
      <c r="A396" s="2" t="s">
        <v>11</v>
      </c>
      <c r="B396" s="2" t="s">
        <v>92</v>
      </c>
      <c r="C396" s="2" t="s">
        <v>46</v>
      </c>
      <c r="D396" s="2" t="s">
        <v>68</v>
      </c>
      <c r="E396" s="2">
        <v>113</v>
      </c>
      <c r="F396" s="2">
        <v>113</v>
      </c>
      <c r="G396" s="2">
        <v>63</v>
      </c>
      <c r="H396" s="2">
        <v>63</v>
      </c>
      <c r="K396" t="str">
        <v>84141B</v>
      </c>
      <c r="L396">
        <v>118</v>
      </c>
      <c r="N396" t="str">
        <v>3583A</v>
      </c>
      <c r="O396" t="str">
        <v>61002G</v>
      </c>
      <c r="P396">
        <v>116</v>
      </c>
      <c r="R396" t="str">
        <v>84141B</v>
      </c>
      <c r="S396">
        <v>118</v>
      </c>
      <c r="U396" t="str">
        <v>884A</v>
      </c>
      <c r="V396" t="str">
        <v>9364H</v>
      </c>
      <c r="W396">
        <v>102</v>
      </c>
    </row>
    <row r="397" spans="1:23" x14ac:dyDescent="0.3">
      <c r="A397" s="2" t="s">
        <v>91</v>
      </c>
      <c r="B397" s="2" t="s">
        <v>33</v>
      </c>
      <c r="C397" s="2" t="s">
        <v>67</v>
      </c>
      <c r="D397" s="2" t="s">
        <v>87</v>
      </c>
      <c r="E397" s="2">
        <v>132</v>
      </c>
      <c r="F397" s="2">
        <v>132</v>
      </c>
      <c r="G397" s="2">
        <v>49</v>
      </c>
      <c r="H397" s="2">
        <v>49</v>
      </c>
      <c r="K397" t="str">
        <v>5327S</v>
      </c>
      <c r="L397">
        <v>118</v>
      </c>
      <c r="N397" t="str">
        <v>47874A</v>
      </c>
      <c r="O397" t="str">
        <v>2605B</v>
      </c>
      <c r="P397">
        <v>52</v>
      </c>
      <c r="R397" t="str">
        <v>5327S</v>
      </c>
      <c r="S397">
        <v>118</v>
      </c>
      <c r="U397" t="str">
        <v>938J</v>
      </c>
      <c r="V397" t="str">
        <v>10W</v>
      </c>
      <c r="W397">
        <v>43</v>
      </c>
    </row>
    <row r="398" spans="1:23" x14ac:dyDescent="0.3">
      <c r="A398" s="2" t="s">
        <v>81</v>
      </c>
      <c r="B398" s="2" t="s">
        <v>55</v>
      </c>
      <c r="C398" s="2" t="s">
        <v>21</v>
      </c>
      <c r="D398" s="2" t="s">
        <v>75</v>
      </c>
      <c r="E398" s="2">
        <v>75</v>
      </c>
      <c r="F398" s="2">
        <v>75</v>
      </c>
      <c r="G398" s="2">
        <v>100</v>
      </c>
      <c r="H398" s="2">
        <v>100</v>
      </c>
      <c r="K398" t="str">
        <v>51581S</v>
      </c>
      <c r="L398">
        <v>98</v>
      </c>
      <c r="N398" t="str">
        <v>5233J</v>
      </c>
      <c r="O398" t="str">
        <v>1091A</v>
      </c>
      <c r="P398">
        <v>108</v>
      </c>
      <c r="R398" t="str">
        <v>51581S</v>
      </c>
      <c r="S398">
        <v>98</v>
      </c>
      <c r="U398" t="str">
        <v>1248X</v>
      </c>
      <c r="V398" t="str">
        <v>9364D</v>
      </c>
      <c r="W398">
        <v>73</v>
      </c>
    </row>
    <row r="399" spans="1:23" x14ac:dyDescent="0.3">
      <c r="A399" s="2" t="s">
        <v>97</v>
      </c>
      <c r="B399" s="2" t="s">
        <v>25</v>
      </c>
      <c r="C399" s="2" t="s">
        <v>88</v>
      </c>
      <c r="D399" s="2" t="s">
        <v>58</v>
      </c>
      <c r="E399" s="2">
        <v>39</v>
      </c>
      <c r="F399" s="2">
        <v>39</v>
      </c>
      <c r="G399" s="2">
        <v>116</v>
      </c>
      <c r="H399" s="2">
        <v>116</v>
      </c>
      <c r="K399" t="str">
        <v>8675R</v>
      </c>
      <c r="L399">
        <v>98</v>
      </c>
      <c r="N399" t="str">
        <v>884A</v>
      </c>
      <c r="O399" t="str">
        <v>938E</v>
      </c>
      <c r="P399">
        <v>73</v>
      </c>
      <c r="R399" t="str">
        <v>8675R</v>
      </c>
      <c r="S399">
        <v>98</v>
      </c>
      <c r="U399" t="str">
        <v>7700P</v>
      </c>
      <c r="V399" t="str">
        <v>6526E</v>
      </c>
      <c r="W399">
        <v>48</v>
      </c>
    </row>
    <row r="400" spans="1:23" x14ac:dyDescent="0.3">
      <c r="A400" s="2" t="s">
        <v>28</v>
      </c>
      <c r="B400" s="2" t="s">
        <v>52</v>
      </c>
      <c r="C400" s="2" t="s">
        <v>61</v>
      </c>
      <c r="D400" s="2" t="s">
        <v>31</v>
      </c>
      <c r="E400" s="2">
        <v>108</v>
      </c>
      <c r="F400" s="2">
        <v>108</v>
      </c>
      <c r="G400" s="2">
        <v>52</v>
      </c>
      <c r="H400" s="2">
        <v>52</v>
      </c>
      <c r="K400" t="str">
        <v>1091A</v>
      </c>
      <c r="L400">
        <v>86</v>
      </c>
      <c r="N400" t="str">
        <v>3484X</v>
      </c>
      <c r="O400" t="str">
        <v>8675R</v>
      </c>
      <c r="P400">
        <v>85</v>
      </c>
      <c r="R400" t="str">
        <v>1091A</v>
      </c>
      <c r="S400">
        <v>86</v>
      </c>
      <c r="U400" t="str">
        <v>949Z</v>
      </c>
      <c r="V400" t="str">
        <v>10Z</v>
      </c>
      <c r="W400">
        <v>55</v>
      </c>
    </row>
    <row r="401" spans="1:23" x14ac:dyDescent="0.3">
      <c r="A401" s="2" t="s">
        <v>103</v>
      </c>
      <c r="B401" s="2" t="s">
        <v>85</v>
      </c>
      <c r="C401" s="2" t="s">
        <v>14</v>
      </c>
      <c r="D401" s="2" t="s">
        <v>73</v>
      </c>
      <c r="E401" s="2">
        <v>45</v>
      </c>
      <c r="F401" s="2">
        <v>45</v>
      </c>
      <c r="G401" s="2">
        <v>108</v>
      </c>
      <c r="H401" s="2">
        <v>108</v>
      </c>
      <c r="K401" t="str">
        <v>938G</v>
      </c>
      <c r="L401">
        <v>86</v>
      </c>
      <c r="N401" t="str">
        <v>10K</v>
      </c>
      <c r="O401" t="str">
        <v>938W</v>
      </c>
      <c r="P401">
        <v>34</v>
      </c>
      <c r="R401" t="str">
        <v>938G</v>
      </c>
      <c r="S401">
        <v>86</v>
      </c>
      <c r="U401" t="str">
        <v>98548C</v>
      </c>
      <c r="V401" t="str">
        <v>938B</v>
      </c>
      <c r="W401">
        <v>55</v>
      </c>
    </row>
    <row r="402" spans="1:23" x14ac:dyDescent="0.3">
      <c r="A402" s="2" t="s">
        <v>82</v>
      </c>
      <c r="B402" s="2" t="s">
        <v>38</v>
      </c>
      <c r="C402" s="2" t="s">
        <v>62</v>
      </c>
      <c r="D402" s="2" t="s">
        <v>99</v>
      </c>
      <c r="E402" s="2">
        <v>30</v>
      </c>
      <c r="F402" s="2">
        <v>30</v>
      </c>
      <c r="G402" s="2">
        <v>73</v>
      </c>
      <c r="H402" s="2">
        <v>73</v>
      </c>
      <c r="K402" t="str">
        <v>502X</v>
      </c>
      <c r="L402">
        <v>130</v>
      </c>
      <c r="N402" t="str">
        <v>10009A</v>
      </c>
      <c r="O402" t="str">
        <v>10W</v>
      </c>
      <c r="P402">
        <v>97</v>
      </c>
      <c r="R402" t="str">
        <v>502X</v>
      </c>
      <c r="S402">
        <v>130</v>
      </c>
      <c r="U402" t="str">
        <v>886N</v>
      </c>
      <c r="V402" t="str">
        <v>10N</v>
      </c>
      <c r="W402">
        <v>114</v>
      </c>
    </row>
    <row r="403" spans="1:23" x14ac:dyDescent="0.3">
      <c r="A403" s="2" t="s">
        <v>51</v>
      </c>
      <c r="B403" s="2" t="s">
        <v>32</v>
      </c>
      <c r="C403" s="2" t="s">
        <v>76</v>
      </c>
      <c r="D403" s="2" t="s">
        <v>104</v>
      </c>
      <c r="E403" s="2">
        <v>80</v>
      </c>
      <c r="F403" s="2">
        <v>80</v>
      </c>
      <c r="G403" s="2">
        <v>85</v>
      </c>
      <c r="H403" s="2">
        <v>85</v>
      </c>
      <c r="K403" t="str">
        <v>604X</v>
      </c>
      <c r="L403">
        <v>130</v>
      </c>
      <c r="N403" t="str">
        <v>47874R</v>
      </c>
      <c r="O403" t="str">
        <v>10N</v>
      </c>
      <c r="P403">
        <v>88</v>
      </c>
      <c r="R403" t="str">
        <v>604X</v>
      </c>
      <c r="S403">
        <v>130</v>
      </c>
      <c r="U403" t="str">
        <v>16689X</v>
      </c>
      <c r="V403" t="str">
        <v>920B</v>
      </c>
      <c r="W403">
        <v>139</v>
      </c>
    </row>
    <row r="404" spans="1:23" x14ac:dyDescent="0.3">
      <c r="A404" s="2" t="s">
        <v>46</v>
      </c>
      <c r="B404" s="2" t="s">
        <v>64</v>
      </c>
      <c r="C404" s="2" t="s">
        <v>94</v>
      </c>
      <c r="D404" s="2" t="s">
        <v>100</v>
      </c>
      <c r="E404" s="2">
        <v>127</v>
      </c>
      <c r="F404" s="2">
        <v>127</v>
      </c>
      <c r="G404" s="2">
        <v>34</v>
      </c>
      <c r="H404" s="2">
        <v>34</v>
      </c>
      <c r="K404" t="str">
        <v>3512D</v>
      </c>
      <c r="L404">
        <v>35</v>
      </c>
      <c r="N404" t="str">
        <v>80001B</v>
      </c>
      <c r="O404" t="str">
        <v>10Z</v>
      </c>
      <c r="P404">
        <v>60</v>
      </c>
      <c r="R404" t="str">
        <v>3512D</v>
      </c>
      <c r="S404">
        <v>35</v>
      </c>
      <c r="U404" t="str">
        <v>1469A</v>
      </c>
      <c r="V404" t="str">
        <v>10K</v>
      </c>
      <c r="W404">
        <v>121</v>
      </c>
    </row>
    <row r="405" spans="1:23" x14ac:dyDescent="0.3">
      <c r="A405" s="2" t="s">
        <v>11</v>
      </c>
      <c r="B405" s="2" t="s">
        <v>91</v>
      </c>
      <c r="C405" s="2" t="s">
        <v>18</v>
      </c>
      <c r="D405" s="2" t="s">
        <v>57</v>
      </c>
      <c r="E405" s="2">
        <v>56</v>
      </c>
      <c r="F405" s="2">
        <v>56</v>
      </c>
      <c r="G405" s="2">
        <v>97</v>
      </c>
      <c r="H405" s="2">
        <v>97</v>
      </c>
      <c r="K405" t="str">
        <v>7700E</v>
      </c>
      <c r="L405">
        <v>35</v>
      </c>
      <c r="N405" t="str">
        <v>98225J</v>
      </c>
      <c r="O405" t="str">
        <v>938T</v>
      </c>
      <c r="P405">
        <v>40</v>
      </c>
      <c r="R405" t="str">
        <v>7700E</v>
      </c>
      <c r="S405">
        <v>35</v>
      </c>
      <c r="U405" t="str">
        <v>604X</v>
      </c>
      <c r="V405" t="str">
        <v>938M</v>
      </c>
      <c r="W405">
        <v>52</v>
      </c>
    </row>
    <row r="406" spans="1:23" x14ac:dyDescent="0.3">
      <c r="A406" s="2" t="s">
        <v>20</v>
      </c>
      <c r="B406" s="2" t="s">
        <v>13</v>
      </c>
      <c r="C406" s="2" t="s">
        <v>39</v>
      </c>
      <c r="D406" s="2" t="s">
        <v>92</v>
      </c>
      <c r="E406" s="2">
        <v>40</v>
      </c>
      <c r="F406" s="2">
        <v>40</v>
      </c>
      <c r="G406" s="2">
        <v>88</v>
      </c>
      <c r="H406" s="2">
        <v>88</v>
      </c>
      <c r="K406" t="str">
        <v>7700P</v>
      </c>
      <c r="L406">
        <v>144</v>
      </c>
      <c r="N406" t="str">
        <v>9364D</v>
      </c>
      <c r="O406" t="str">
        <v>502X</v>
      </c>
      <c r="P406">
        <v>113</v>
      </c>
      <c r="R406" t="str">
        <v>7700P</v>
      </c>
      <c r="S406">
        <v>144</v>
      </c>
      <c r="U406" t="str">
        <v>6526E</v>
      </c>
      <c r="V406" t="str">
        <v>938P</v>
      </c>
      <c r="W406">
        <v>72</v>
      </c>
    </row>
    <row r="407" spans="1:23" x14ac:dyDescent="0.3">
      <c r="A407" s="2" t="s">
        <v>68</v>
      </c>
      <c r="B407" s="2" t="s">
        <v>80</v>
      </c>
      <c r="C407" s="2" t="s">
        <v>86</v>
      </c>
      <c r="D407" s="2" t="s">
        <v>12</v>
      </c>
      <c r="E407" s="2">
        <v>43</v>
      </c>
      <c r="F407" s="2">
        <v>43</v>
      </c>
      <c r="G407" s="2">
        <v>60</v>
      </c>
      <c r="H407" s="2">
        <v>60</v>
      </c>
      <c r="K407" t="str">
        <v>99621B</v>
      </c>
      <c r="L407">
        <v>144</v>
      </c>
      <c r="N407" t="str">
        <v>99621H</v>
      </c>
      <c r="O407" t="str">
        <v>7899A</v>
      </c>
      <c r="P407">
        <v>86</v>
      </c>
      <c r="R407" t="str">
        <v>99621B</v>
      </c>
      <c r="S407">
        <v>144</v>
      </c>
      <c r="U407" t="str">
        <v>98225F</v>
      </c>
      <c r="V407" t="str">
        <v>7700E</v>
      </c>
      <c r="W407">
        <v>72</v>
      </c>
    </row>
    <row r="408" spans="1:23" x14ac:dyDescent="0.3">
      <c r="A408" s="2" t="s">
        <v>45</v>
      </c>
      <c r="B408" s="2" t="s">
        <v>98</v>
      </c>
      <c r="C408" s="2" t="s">
        <v>26</v>
      </c>
      <c r="D408" s="2" t="s">
        <v>63</v>
      </c>
      <c r="E408" s="2">
        <v>115</v>
      </c>
      <c r="F408" s="2">
        <v>115</v>
      </c>
      <c r="G408" s="2">
        <v>40</v>
      </c>
      <c r="H408" s="2">
        <v>40</v>
      </c>
      <c r="K408" t="str">
        <v>98225F</v>
      </c>
      <c r="L408">
        <v>69</v>
      </c>
      <c r="N408" t="str">
        <v>886N</v>
      </c>
      <c r="O408" t="str">
        <v>11101B</v>
      </c>
      <c r="P408">
        <v>157</v>
      </c>
      <c r="R408" t="str">
        <v>98225F</v>
      </c>
      <c r="S408">
        <v>69</v>
      </c>
      <c r="U408" t="str">
        <v>1010W</v>
      </c>
      <c r="V408" t="str">
        <v>938G</v>
      </c>
      <c r="W408">
        <v>143</v>
      </c>
    </row>
    <row r="409" spans="1:23" x14ac:dyDescent="0.3">
      <c r="A409" s="2" t="s">
        <v>40</v>
      </c>
      <c r="B409" s="2" t="s">
        <v>93</v>
      </c>
      <c r="C409" s="2" t="s">
        <v>70</v>
      </c>
      <c r="D409" s="2" t="s">
        <v>56</v>
      </c>
      <c r="E409" s="2">
        <v>65</v>
      </c>
      <c r="F409" s="2">
        <v>65</v>
      </c>
      <c r="G409" s="2">
        <v>113</v>
      </c>
      <c r="H409" s="2">
        <v>113</v>
      </c>
      <c r="K409" t="str">
        <v>609B</v>
      </c>
      <c r="L409">
        <v>69</v>
      </c>
      <c r="N409" t="str">
        <v>98225F</v>
      </c>
      <c r="O409" t="str">
        <v>1010W</v>
      </c>
      <c r="P409">
        <v>89</v>
      </c>
      <c r="R409" t="str">
        <v>609B</v>
      </c>
      <c r="S409">
        <v>69</v>
      </c>
      <c r="U409" t="str">
        <v>10N</v>
      </c>
      <c r="V409" t="str">
        <v>8675R</v>
      </c>
      <c r="W409">
        <v>83</v>
      </c>
    </row>
    <row r="410" spans="1:23" x14ac:dyDescent="0.3">
      <c r="A410" s="2" t="s">
        <v>49</v>
      </c>
      <c r="B410" s="2" t="s">
        <v>69</v>
      </c>
      <c r="C410" s="2" t="s">
        <v>44</v>
      </c>
      <c r="D410" s="2" t="s">
        <v>37</v>
      </c>
      <c r="E410" s="2">
        <v>73</v>
      </c>
      <c r="F410" s="2">
        <v>73</v>
      </c>
      <c r="G410" s="2">
        <v>86</v>
      </c>
      <c r="H410" s="2">
        <v>86</v>
      </c>
      <c r="K410" t="str">
        <v>93199G</v>
      </c>
      <c r="L410">
        <v>103</v>
      </c>
      <c r="N410" t="str">
        <v>10S</v>
      </c>
      <c r="O410" t="str">
        <v>938M</v>
      </c>
      <c r="P410">
        <v>41</v>
      </c>
      <c r="R410" t="str">
        <v>93199G</v>
      </c>
      <c r="S410">
        <v>103</v>
      </c>
      <c r="U410" t="str">
        <v>93199G</v>
      </c>
      <c r="V410" t="str">
        <v>938B</v>
      </c>
      <c r="W410">
        <v>87</v>
      </c>
    </row>
    <row r="411" spans="1:23" x14ac:dyDescent="0.3">
      <c r="A411" s="2" t="s">
        <v>79</v>
      </c>
      <c r="B411" s="2" t="s">
        <v>74</v>
      </c>
      <c r="C411" s="2" t="s">
        <v>33</v>
      </c>
      <c r="D411" s="2" t="s">
        <v>43</v>
      </c>
      <c r="E411" s="2">
        <v>75</v>
      </c>
      <c r="F411" s="2">
        <v>75</v>
      </c>
      <c r="G411" s="2">
        <v>157</v>
      </c>
      <c r="H411" s="2">
        <v>157</v>
      </c>
      <c r="K411" t="str">
        <v>10W</v>
      </c>
      <c r="L411">
        <v>103</v>
      </c>
      <c r="N411" t="str">
        <v>3583A</v>
      </c>
      <c r="O411" t="str">
        <v>12516A</v>
      </c>
      <c r="P411">
        <v>93</v>
      </c>
      <c r="R411" t="str">
        <v>10W</v>
      </c>
      <c r="S411">
        <v>103</v>
      </c>
      <c r="U411" t="str">
        <v>99621H</v>
      </c>
      <c r="V411" t="str">
        <v>10Z</v>
      </c>
      <c r="W411">
        <v>63</v>
      </c>
    </row>
    <row r="412" spans="1:23" x14ac:dyDescent="0.3">
      <c r="A412" s="2" t="s">
        <v>50</v>
      </c>
      <c r="B412" s="2" t="s">
        <v>34</v>
      </c>
      <c r="C412" s="2" t="s">
        <v>19</v>
      </c>
      <c r="D412" s="2" t="s">
        <v>27</v>
      </c>
      <c r="E412" s="2">
        <v>52</v>
      </c>
      <c r="F412" s="2">
        <v>52</v>
      </c>
      <c r="G412" s="2">
        <v>89</v>
      </c>
      <c r="H412" s="2">
        <v>89</v>
      </c>
      <c r="K412" t="str">
        <v>7899A</v>
      </c>
      <c r="L412">
        <v>40</v>
      </c>
      <c r="N412" t="str">
        <v>2605B</v>
      </c>
      <c r="O412" t="str">
        <v>299Y</v>
      </c>
      <c r="P412">
        <v>148</v>
      </c>
      <c r="R412" t="str">
        <v>7899A</v>
      </c>
      <c r="S412">
        <v>40</v>
      </c>
      <c r="U412" t="str">
        <v>9364D</v>
      </c>
      <c r="V412" t="str">
        <v>938W</v>
      </c>
      <c r="W412">
        <v>62</v>
      </c>
    </row>
    <row r="413" spans="1:23" x14ac:dyDescent="0.3">
      <c r="A413" s="2" t="s">
        <v>97</v>
      </c>
      <c r="B413" s="2" t="s">
        <v>52</v>
      </c>
      <c r="C413" s="2" t="s">
        <v>82</v>
      </c>
      <c r="D413" s="2" t="s">
        <v>55</v>
      </c>
      <c r="E413" s="2">
        <v>60</v>
      </c>
      <c r="F413" s="2">
        <v>60</v>
      </c>
      <c r="G413" s="2">
        <v>41</v>
      </c>
      <c r="H413" s="2">
        <v>41</v>
      </c>
      <c r="K413" t="str">
        <v>938E</v>
      </c>
      <c r="L413">
        <v>40</v>
      </c>
      <c r="N413" t="str">
        <v>10B</v>
      </c>
      <c r="O413" t="str">
        <v>44244S</v>
      </c>
      <c r="P413">
        <v>72</v>
      </c>
      <c r="R413" t="str">
        <v>938E</v>
      </c>
      <c r="S413">
        <v>40</v>
      </c>
      <c r="U413" t="str">
        <v>1469A</v>
      </c>
      <c r="V413" t="str">
        <v>938J</v>
      </c>
      <c r="W413">
        <v>84</v>
      </c>
    </row>
    <row r="414" spans="1:23" x14ac:dyDescent="0.3">
      <c r="A414" s="2" t="s">
        <v>12</v>
      </c>
      <c r="B414" s="2" t="s">
        <v>62</v>
      </c>
      <c r="C414" s="2" t="s">
        <v>88</v>
      </c>
      <c r="D414" s="2" t="s">
        <v>20</v>
      </c>
      <c r="E414" s="2">
        <v>86</v>
      </c>
      <c r="F414" s="2">
        <v>86</v>
      </c>
      <c r="G414" s="2">
        <v>93</v>
      </c>
      <c r="H414" s="2">
        <v>93</v>
      </c>
      <c r="K414" t="str">
        <v>886N</v>
      </c>
      <c r="L414">
        <v>84</v>
      </c>
      <c r="N414" t="str">
        <v>61002G</v>
      </c>
      <c r="O414" t="str">
        <v>99621H</v>
      </c>
      <c r="P414">
        <v>97</v>
      </c>
      <c r="R414" t="str">
        <v>886N</v>
      </c>
      <c r="S414">
        <v>84</v>
      </c>
      <c r="U414" t="str">
        <v>604X</v>
      </c>
      <c r="V414" t="str">
        <v>884A</v>
      </c>
      <c r="W414">
        <v>63</v>
      </c>
    </row>
    <row r="415" spans="1:23" x14ac:dyDescent="0.3">
      <c r="A415" s="2" t="s">
        <v>63</v>
      </c>
      <c r="B415" s="2" t="s">
        <v>25</v>
      </c>
      <c r="C415" s="2" t="s">
        <v>31</v>
      </c>
      <c r="D415" s="2" t="s">
        <v>85</v>
      </c>
      <c r="E415" s="2">
        <v>59</v>
      </c>
      <c r="F415" s="2">
        <v>59</v>
      </c>
      <c r="G415" s="2">
        <v>148</v>
      </c>
      <c r="H415" s="2">
        <v>148</v>
      </c>
      <c r="K415" t="str">
        <v>949Z</v>
      </c>
      <c r="L415">
        <v>84</v>
      </c>
      <c r="N415" t="str">
        <v>84141B</v>
      </c>
      <c r="O415" t="str">
        <v>5327S</v>
      </c>
      <c r="P415">
        <v>118</v>
      </c>
      <c r="R415" t="str">
        <v>949Z</v>
      </c>
      <c r="S415">
        <v>84</v>
      </c>
      <c r="U415" t="str">
        <v>61002G</v>
      </c>
      <c r="V415" t="str">
        <v>99621B</v>
      </c>
      <c r="W415">
        <v>111</v>
      </c>
    </row>
    <row r="416" spans="1:23" x14ac:dyDescent="0.3">
      <c r="A416" s="2" t="s">
        <v>98</v>
      </c>
      <c r="B416" s="2" t="s">
        <v>67</v>
      </c>
      <c r="C416" s="2" t="s">
        <v>13</v>
      </c>
      <c r="D416" s="2" t="s">
        <v>75</v>
      </c>
      <c r="E416" s="2">
        <v>54</v>
      </c>
      <c r="F416" s="2">
        <v>54</v>
      </c>
      <c r="G416" s="2">
        <v>72</v>
      </c>
      <c r="H416" s="2">
        <v>72</v>
      </c>
      <c r="K416" t="str">
        <v>10009A</v>
      </c>
      <c r="L416">
        <v>105</v>
      </c>
      <c r="N416" t="str">
        <v>1091A</v>
      </c>
      <c r="O416" t="str">
        <v>938G</v>
      </c>
      <c r="P416">
        <v>86</v>
      </c>
      <c r="R416" t="str">
        <v>10009A</v>
      </c>
      <c r="S416">
        <v>105</v>
      </c>
      <c r="U416" t="str">
        <v>7700P</v>
      </c>
      <c r="V416" t="str">
        <v>3583A</v>
      </c>
      <c r="W416">
        <v>72</v>
      </c>
    </row>
    <row r="417" spans="1:23" x14ac:dyDescent="0.3">
      <c r="A417" s="2" t="s">
        <v>100</v>
      </c>
      <c r="B417" s="2" t="s">
        <v>92</v>
      </c>
      <c r="C417" s="2" t="s">
        <v>58</v>
      </c>
      <c r="D417" s="2" t="s">
        <v>44</v>
      </c>
      <c r="E417" s="2">
        <v>60</v>
      </c>
      <c r="F417" s="2">
        <v>60</v>
      </c>
      <c r="G417" s="2">
        <v>97</v>
      </c>
      <c r="H417" s="2">
        <v>97</v>
      </c>
      <c r="K417" t="str">
        <v>80001B</v>
      </c>
      <c r="L417">
        <v>105</v>
      </c>
      <c r="N417" t="str">
        <v>3512D</v>
      </c>
      <c r="O417" t="str">
        <v>7700E</v>
      </c>
      <c r="P417">
        <v>35</v>
      </c>
      <c r="R417" t="str">
        <v>80001B</v>
      </c>
      <c r="S417">
        <v>105</v>
      </c>
      <c r="U417" t="str">
        <v>3484X</v>
      </c>
      <c r="V417" t="str">
        <v>3512D</v>
      </c>
      <c r="W417">
        <v>27</v>
      </c>
    </row>
    <row r="418" spans="1:23" x14ac:dyDescent="0.3">
      <c r="A418" s="2" t="s">
        <v>61</v>
      </c>
      <c r="B418" s="2" t="s">
        <v>14</v>
      </c>
      <c r="C418" s="2" t="s">
        <v>21</v>
      </c>
      <c r="D418" s="2" t="s">
        <v>32</v>
      </c>
      <c r="E418" s="2">
        <v>80</v>
      </c>
      <c r="F418" s="2">
        <v>80</v>
      </c>
      <c r="G418" s="2">
        <v>118</v>
      </c>
      <c r="H418" s="2">
        <v>118</v>
      </c>
      <c r="K418" t="str">
        <v>938B</v>
      </c>
      <c r="L418">
        <v>48</v>
      </c>
      <c r="N418" t="str">
        <v>98225F</v>
      </c>
      <c r="O418" t="str">
        <v>609B</v>
      </c>
      <c r="P418">
        <v>69</v>
      </c>
      <c r="R418" t="str">
        <v>938B</v>
      </c>
      <c r="S418">
        <v>48</v>
      </c>
      <c r="U418" t="str">
        <v>1091A</v>
      </c>
      <c r="V418" t="str">
        <v>502X</v>
      </c>
      <c r="W418">
        <v>161</v>
      </c>
    </row>
    <row r="419" spans="1:23" x14ac:dyDescent="0.3">
      <c r="A419" s="2" t="s">
        <v>28</v>
      </c>
      <c r="B419" s="2" t="s">
        <v>104</v>
      </c>
      <c r="C419" s="2" t="s">
        <v>73</v>
      </c>
      <c r="D419" s="2" t="s">
        <v>11</v>
      </c>
      <c r="E419" s="2">
        <v>98</v>
      </c>
      <c r="F419" s="2">
        <v>98</v>
      </c>
      <c r="G419" s="2">
        <v>86</v>
      </c>
      <c r="H419" s="2">
        <v>86</v>
      </c>
      <c r="K419" t="str">
        <v>10G</v>
      </c>
      <c r="L419">
        <v>48</v>
      </c>
      <c r="N419" t="str">
        <v>7899A</v>
      </c>
      <c r="O419" t="str">
        <v>938E</v>
      </c>
      <c r="P419">
        <v>40</v>
      </c>
      <c r="R419" t="str">
        <v>10G</v>
      </c>
      <c r="S419">
        <v>48</v>
      </c>
      <c r="U419" t="str">
        <v>10G</v>
      </c>
      <c r="V419" t="str">
        <v>39313Z</v>
      </c>
      <c r="W419">
        <v>48</v>
      </c>
    </row>
    <row r="420" spans="1:23" x14ac:dyDescent="0.3">
      <c r="A420" s="2" t="s">
        <v>56</v>
      </c>
      <c r="B420" s="2" t="s">
        <v>80</v>
      </c>
      <c r="C420" s="2" t="s">
        <v>69</v>
      </c>
      <c r="D420" s="2" t="s">
        <v>46</v>
      </c>
      <c r="E420" s="2">
        <v>130</v>
      </c>
      <c r="F420" s="2">
        <v>130</v>
      </c>
      <c r="G420" s="2">
        <v>35</v>
      </c>
      <c r="H420" s="2">
        <v>35</v>
      </c>
      <c r="K420" t="str">
        <v>11101B</v>
      </c>
      <c r="L420">
        <v>155</v>
      </c>
      <c r="N420" t="str">
        <v>10009A</v>
      </c>
      <c r="O420" t="str">
        <v>80001B</v>
      </c>
      <c r="P420">
        <v>105</v>
      </c>
      <c r="R420" t="str">
        <v>11101B</v>
      </c>
      <c r="S420">
        <v>155</v>
      </c>
      <c r="U420" t="str">
        <v>920B</v>
      </c>
      <c r="V420" t="str">
        <v>938T</v>
      </c>
      <c r="W420">
        <v>72</v>
      </c>
    </row>
    <row r="421" spans="1:23" x14ac:dyDescent="0.3">
      <c r="A421" s="2" t="s">
        <v>45</v>
      </c>
      <c r="B421" s="2" t="s">
        <v>49</v>
      </c>
      <c r="C421" s="2" t="s">
        <v>19</v>
      </c>
      <c r="D421" s="2" t="s">
        <v>87</v>
      </c>
      <c r="E421" s="2">
        <v>144</v>
      </c>
      <c r="F421" s="2">
        <v>144</v>
      </c>
      <c r="G421" s="2">
        <v>69</v>
      </c>
      <c r="H421" s="2">
        <v>69</v>
      </c>
      <c r="K421" t="str">
        <v>8931R</v>
      </c>
      <c r="L421">
        <v>155</v>
      </c>
      <c r="N421" t="str">
        <v>11101B</v>
      </c>
      <c r="O421" t="str">
        <v>8931R</v>
      </c>
      <c r="P421">
        <v>155</v>
      </c>
      <c r="R421" t="str">
        <v>8931R</v>
      </c>
      <c r="S421">
        <v>155</v>
      </c>
      <c r="U421" t="str">
        <v>11101B</v>
      </c>
      <c r="V421" t="str">
        <v>10Z</v>
      </c>
      <c r="W421">
        <v>125</v>
      </c>
    </row>
    <row r="422" spans="1:23" x14ac:dyDescent="0.3">
      <c r="A422" s="2" t="s">
        <v>64</v>
      </c>
      <c r="B422" s="2" t="s">
        <v>57</v>
      </c>
      <c r="C422" s="2" t="s">
        <v>37</v>
      </c>
      <c r="D422" s="2" t="s">
        <v>99</v>
      </c>
      <c r="E422" s="2">
        <v>103</v>
      </c>
      <c r="F422" s="2">
        <v>103</v>
      </c>
      <c r="G422" s="2">
        <v>40</v>
      </c>
      <c r="H422" s="2">
        <v>40</v>
      </c>
      <c r="K422" t="str">
        <v>47874R</v>
      </c>
      <c r="L422">
        <v>95</v>
      </c>
      <c r="N422" t="str">
        <v>9364H</v>
      </c>
      <c r="O422" t="str">
        <v>98548C</v>
      </c>
      <c r="P422">
        <v>88</v>
      </c>
      <c r="R422" t="str">
        <v>47874R</v>
      </c>
      <c r="S422">
        <v>95</v>
      </c>
      <c r="U422" t="str">
        <v>10C</v>
      </c>
      <c r="V422" t="str">
        <v>7784W</v>
      </c>
      <c r="W422">
        <v>73</v>
      </c>
    </row>
    <row r="423" spans="1:23" x14ac:dyDescent="0.3">
      <c r="A423" s="2" t="s">
        <v>33</v>
      </c>
      <c r="B423" s="2" t="s">
        <v>40</v>
      </c>
      <c r="C423" s="2" t="s">
        <v>18</v>
      </c>
      <c r="D423" s="2" t="s">
        <v>86</v>
      </c>
      <c r="E423" s="2">
        <v>84</v>
      </c>
      <c r="F423" s="2">
        <v>84</v>
      </c>
      <c r="G423" s="2">
        <v>105</v>
      </c>
      <c r="H423" s="2">
        <v>105</v>
      </c>
      <c r="K423" t="str">
        <v>10K</v>
      </c>
      <c r="L423">
        <v>95</v>
      </c>
      <c r="N423" t="str">
        <v>6526E</v>
      </c>
      <c r="O423" t="str">
        <v>3484X</v>
      </c>
      <c r="P423">
        <v>65</v>
      </c>
      <c r="R423" t="str">
        <v>10K</v>
      </c>
      <c r="S423">
        <v>95</v>
      </c>
      <c r="U423" t="str">
        <v>10M</v>
      </c>
      <c r="V423" t="str">
        <v>99621C</v>
      </c>
      <c r="W423">
        <v>129</v>
      </c>
    </row>
    <row r="424" spans="1:23" x14ac:dyDescent="0.3">
      <c r="A424" s="2" t="s">
        <v>68</v>
      </c>
      <c r="B424" s="2" t="s">
        <v>93</v>
      </c>
      <c r="C424" s="2" t="s">
        <v>43</v>
      </c>
      <c r="D424" s="2" t="s">
        <v>34</v>
      </c>
      <c r="E424" s="2">
        <v>48</v>
      </c>
      <c r="F424" s="2">
        <v>48</v>
      </c>
      <c r="G424" s="2">
        <v>155</v>
      </c>
      <c r="H424" s="2">
        <v>155</v>
      </c>
      <c r="K424" t="str">
        <v>9364H</v>
      </c>
      <c r="L424">
        <v>88</v>
      </c>
      <c r="N424" t="str">
        <v>1248X</v>
      </c>
      <c r="O424" t="str">
        <v>1469A</v>
      </c>
      <c r="P424">
        <v>84</v>
      </c>
      <c r="R424" t="str">
        <v>9364H</v>
      </c>
      <c r="S424">
        <v>88</v>
      </c>
      <c r="U424" t="str">
        <v>938X</v>
      </c>
      <c r="V424" t="str">
        <v>47000X</v>
      </c>
      <c r="W424">
        <v>89</v>
      </c>
    </row>
    <row r="425" spans="1:23" x14ac:dyDescent="0.3">
      <c r="A425" s="2" t="s">
        <v>39</v>
      </c>
      <c r="B425" s="2" t="s">
        <v>94</v>
      </c>
      <c r="C425" s="2" t="s">
        <v>50</v>
      </c>
      <c r="D425" s="2" t="s">
        <v>81</v>
      </c>
      <c r="E425" s="2">
        <v>95</v>
      </c>
      <c r="F425" s="2">
        <v>95</v>
      </c>
      <c r="G425" s="2">
        <v>88</v>
      </c>
      <c r="H425" s="2">
        <v>88</v>
      </c>
      <c r="K425" t="str">
        <v>98548C</v>
      </c>
      <c r="L425">
        <v>88</v>
      </c>
      <c r="N425" t="str">
        <v>938J</v>
      </c>
      <c r="O425" t="str">
        <v>16689D</v>
      </c>
      <c r="P425">
        <v>63</v>
      </c>
      <c r="R425" t="str">
        <v>98548C</v>
      </c>
      <c r="S425">
        <v>88</v>
      </c>
      <c r="U425" t="str">
        <v>9364G</v>
      </c>
      <c r="V425" t="str">
        <v>44244N</v>
      </c>
      <c r="W425">
        <v>118</v>
      </c>
    </row>
    <row r="426" spans="1:23" x14ac:dyDescent="0.3">
      <c r="A426" s="2" t="s">
        <v>103</v>
      </c>
      <c r="B426" s="2" t="s">
        <v>27</v>
      </c>
      <c r="C426" s="2" t="s">
        <v>79</v>
      </c>
      <c r="D426" s="2" t="s">
        <v>76</v>
      </c>
      <c r="E426" s="2">
        <v>82</v>
      </c>
      <c r="F426" s="2">
        <v>82</v>
      </c>
      <c r="G426" s="2">
        <v>65</v>
      </c>
      <c r="H426" s="2">
        <v>65</v>
      </c>
      <c r="K426" t="str">
        <v>16689X</v>
      </c>
      <c r="L426">
        <v>82</v>
      </c>
      <c r="N426" t="str">
        <v>8675R</v>
      </c>
      <c r="O426" t="str">
        <v>39313Z</v>
      </c>
      <c r="P426">
        <v>79</v>
      </c>
      <c r="R426" t="str">
        <v>16689X</v>
      </c>
      <c r="S426">
        <v>82</v>
      </c>
      <c r="U426" t="str">
        <v>6526H</v>
      </c>
      <c r="V426" t="str">
        <v>16689E</v>
      </c>
      <c r="W426">
        <v>113</v>
      </c>
    </row>
    <row r="427" spans="1:23" x14ac:dyDescent="0.3">
      <c r="A427" s="2" t="s">
        <v>51</v>
      </c>
      <c r="B427" s="2" t="s">
        <v>26</v>
      </c>
      <c r="C427" s="2" t="s">
        <v>91</v>
      </c>
      <c r="D427" s="2" t="s">
        <v>74</v>
      </c>
      <c r="E427" s="2">
        <v>110</v>
      </c>
      <c r="F427" s="2">
        <v>110</v>
      </c>
      <c r="G427" s="2">
        <v>84</v>
      </c>
      <c r="H427" s="2">
        <v>84</v>
      </c>
      <c r="K427" t="str">
        <v>1010W</v>
      </c>
      <c r="L427">
        <v>82</v>
      </c>
      <c r="N427" t="str">
        <v>938P</v>
      </c>
      <c r="O427" t="str">
        <v>90385R</v>
      </c>
      <c r="P427">
        <v>35</v>
      </c>
      <c r="R427" t="str">
        <v>1010W</v>
      </c>
      <c r="S427">
        <v>82</v>
      </c>
      <c r="U427" t="str">
        <v>938C</v>
      </c>
      <c r="V427" t="str">
        <v>884B</v>
      </c>
      <c r="W427">
        <v>65</v>
      </c>
    </row>
    <row r="428" spans="1:23" x14ac:dyDescent="0.3">
      <c r="A428" s="2" t="s">
        <v>44</v>
      </c>
      <c r="B428" s="2" t="s">
        <v>70</v>
      </c>
      <c r="C428" s="2" t="s">
        <v>38</v>
      </c>
      <c r="D428" s="2" t="s">
        <v>98</v>
      </c>
      <c r="E428" s="2">
        <v>79</v>
      </c>
      <c r="F428" s="2">
        <v>79</v>
      </c>
      <c r="G428" s="2">
        <v>63</v>
      </c>
      <c r="H428" s="2">
        <v>63</v>
      </c>
      <c r="K428" t="str">
        <v>6526E</v>
      </c>
      <c r="L428">
        <v>65</v>
      </c>
      <c r="N428" t="str">
        <v>11101B</v>
      </c>
      <c r="O428" t="str">
        <v>10S</v>
      </c>
      <c r="P428">
        <v>97</v>
      </c>
      <c r="R428" t="str">
        <v>6526E</v>
      </c>
      <c r="S428">
        <v>65</v>
      </c>
      <c r="U428" t="str">
        <v>938H</v>
      </c>
      <c r="V428" t="str">
        <v>537K</v>
      </c>
      <c r="W428">
        <v>97</v>
      </c>
    </row>
    <row r="429" spans="1:23" x14ac:dyDescent="0.3">
      <c r="A429" s="2" t="s">
        <v>85</v>
      </c>
      <c r="B429" s="2" t="s">
        <v>19</v>
      </c>
      <c r="C429" s="2" t="s">
        <v>104</v>
      </c>
      <c r="D429" s="2" t="s">
        <v>97</v>
      </c>
      <c r="E429" s="2">
        <v>77</v>
      </c>
      <c r="F429" s="2">
        <v>77</v>
      </c>
      <c r="G429" s="2">
        <v>79</v>
      </c>
      <c r="H429" s="2">
        <v>79</v>
      </c>
      <c r="K429" t="str">
        <v>3484X</v>
      </c>
      <c r="L429">
        <v>65</v>
      </c>
      <c r="N429" t="str">
        <v>47874R</v>
      </c>
      <c r="O429" t="str">
        <v>51581S</v>
      </c>
      <c r="P429">
        <v>99</v>
      </c>
      <c r="R429" t="str">
        <v>3484X</v>
      </c>
      <c r="S429">
        <v>65</v>
      </c>
      <c r="U429" t="str">
        <v>938U</v>
      </c>
      <c r="V429" t="str">
        <v>502A</v>
      </c>
      <c r="W429">
        <v>42</v>
      </c>
    </row>
    <row r="430" spans="1:23" x14ac:dyDescent="0.3">
      <c r="A430" s="2" t="s">
        <v>86</v>
      </c>
      <c r="B430" s="2" t="s">
        <v>46</v>
      </c>
      <c r="C430" s="2" t="s">
        <v>25</v>
      </c>
      <c r="D430" s="2" t="s">
        <v>52</v>
      </c>
      <c r="E430" s="2">
        <v>135</v>
      </c>
      <c r="F430" s="2">
        <v>135</v>
      </c>
      <c r="G430" s="2">
        <v>35</v>
      </c>
      <c r="H430" s="2">
        <v>35</v>
      </c>
      <c r="K430" t="str">
        <v>920B</v>
      </c>
      <c r="L430">
        <v>110</v>
      </c>
      <c r="N430" t="str">
        <v>938W</v>
      </c>
      <c r="O430" t="str">
        <v>10E</v>
      </c>
      <c r="P430">
        <v>54</v>
      </c>
      <c r="R430" t="str">
        <v>920B</v>
      </c>
      <c r="S430">
        <v>110</v>
      </c>
      <c r="U430" t="str">
        <v>652A</v>
      </c>
      <c r="V430" t="str">
        <v>10T</v>
      </c>
      <c r="W430">
        <v>118</v>
      </c>
    </row>
    <row r="431" spans="1:23" x14ac:dyDescent="0.3">
      <c r="A431" s="2" t="s">
        <v>18</v>
      </c>
      <c r="B431" s="2" t="s">
        <v>87</v>
      </c>
      <c r="C431" s="2" t="s">
        <v>43</v>
      </c>
      <c r="D431" s="2" t="s">
        <v>82</v>
      </c>
      <c r="E431" s="2">
        <v>64</v>
      </c>
      <c r="F431" s="2">
        <v>64</v>
      </c>
      <c r="G431" s="2">
        <v>97</v>
      </c>
      <c r="H431" s="2">
        <v>97</v>
      </c>
      <c r="K431" t="str">
        <v>98225J</v>
      </c>
      <c r="L431">
        <v>110</v>
      </c>
      <c r="N431" t="str">
        <v>884A</v>
      </c>
      <c r="O431" t="str">
        <v>9364H</v>
      </c>
      <c r="P431">
        <v>102</v>
      </c>
      <c r="R431" t="str">
        <v>98225J</v>
      </c>
      <c r="S431">
        <v>110</v>
      </c>
      <c r="U431" t="str">
        <v>10X</v>
      </c>
      <c r="V431" t="str">
        <v>9805A</v>
      </c>
      <c r="W431">
        <v>125</v>
      </c>
    </row>
    <row r="432" spans="1:23" x14ac:dyDescent="0.3">
      <c r="A432" s="2" t="s">
        <v>58</v>
      </c>
      <c r="B432" s="2" t="s">
        <v>93</v>
      </c>
      <c r="C432" s="2" t="s">
        <v>39</v>
      </c>
      <c r="D432" s="2" t="s">
        <v>28</v>
      </c>
      <c r="E432" s="2">
        <v>90</v>
      </c>
      <c r="F432" s="2">
        <v>90</v>
      </c>
      <c r="G432" s="2">
        <v>99</v>
      </c>
      <c r="H432" s="2">
        <v>99</v>
      </c>
      <c r="K432" t="str">
        <v>1248X</v>
      </c>
      <c r="L432">
        <v>84</v>
      </c>
      <c r="N432" t="str">
        <v>938J</v>
      </c>
      <c r="O432" t="str">
        <v>10W</v>
      </c>
      <c r="P432">
        <v>43</v>
      </c>
      <c r="R432" t="str">
        <v>1248X</v>
      </c>
      <c r="S432">
        <v>84</v>
      </c>
      <c r="U432" t="str">
        <v>47874J</v>
      </c>
      <c r="V432" t="str">
        <v>938K</v>
      </c>
      <c r="W432">
        <v>55</v>
      </c>
    </row>
    <row r="433" spans="1:23" x14ac:dyDescent="0.3">
      <c r="A433" s="2" t="s">
        <v>34</v>
      </c>
      <c r="B433" s="2" t="s">
        <v>14</v>
      </c>
      <c r="C433" s="2" t="s">
        <v>100</v>
      </c>
      <c r="D433" s="2" t="s">
        <v>67</v>
      </c>
      <c r="E433" s="2">
        <v>121</v>
      </c>
      <c r="F433" s="2">
        <v>121</v>
      </c>
      <c r="G433" s="2">
        <v>54</v>
      </c>
      <c r="H433" s="2">
        <v>54</v>
      </c>
      <c r="K433" t="str">
        <v>1469A</v>
      </c>
      <c r="L433">
        <v>84</v>
      </c>
      <c r="N433" t="str">
        <v>1248X</v>
      </c>
      <c r="O433" t="str">
        <v>9364D</v>
      </c>
      <c r="P433">
        <v>73</v>
      </c>
      <c r="R433" t="str">
        <v>1469A</v>
      </c>
      <c r="S433">
        <v>84</v>
      </c>
      <c r="U433" t="str">
        <v>609A</v>
      </c>
      <c r="V433" t="str">
        <v>8675V</v>
      </c>
      <c r="W433">
        <v>90</v>
      </c>
    </row>
    <row r="434" spans="1:23" x14ac:dyDescent="0.3">
      <c r="A434" s="2" t="s">
        <v>11</v>
      </c>
      <c r="B434" s="2" t="s">
        <v>76</v>
      </c>
      <c r="C434" s="2" t="s">
        <v>62</v>
      </c>
      <c r="D434" s="2" t="s">
        <v>50</v>
      </c>
      <c r="E434" s="2">
        <v>44</v>
      </c>
      <c r="F434" s="2">
        <v>44</v>
      </c>
      <c r="G434" s="2">
        <v>102</v>
      </c>
      <c r="H434" s="2">
        <v>102</v>
      </c>
      <c r="K434" t="str">
        <v>99621H</v>
      </c>
      <c r="L434">
        <v>79</v>
      </c>
      <c r="N434" t="str">
        <v>7700P</v>
      </c>
      <c r="O434" t="str">
        <v>6526E</v>
      </c>
      <c r="P434">
        <v>48</v>
      </c>
      <c r="R434" t="str">
        <v>99621H</v>
      </c>
      <c r="S434">
        <v>79</v>
      </c>
      <c r="U434" t="str">
        <v>84141X</v>
      </c>
      <c r="V434" t="str">
        <v>98225M</v>
      </c>
      <c r="W434">
        <v>62</v>
      </c>
    </row>
    <row r="435" spans="1:23" x14ac:dyDescent="0.3">
      <c r="A435" s="2" t="s">
        <v>75</v>
      </c>
      <c r="B435" s="2" t="s">
        <v>32</v>
      </c>
      <c r="C435" s="2" t="s">
        <v>38</v>
      </c>
      <c r="D435" s="2" t="s">
        <v>57</v>
      </c>
      <c r="E435" s="2">
        <v>96</v>
      </c>
      <c r="F435" s="2">
        <v>96</v>
      </c>
      <c r="G435" s="2">
        <v>43</v>
      </c>
      <c r="H435" s="2">
        <v>43</v>
      </c>
      <c r="K435" t="str">
        <v>9364D</v>
      </c>
      <c r="L435">
        <v>79</v>
      </c>
      <c r="N435" t="str">
        <v>949Z</v>
      </c>
      <c r="O435" t="str">
        <v>10Z</v>
      </c>
      <c r="P435">
        <v>55</v>
      </c>
      <c r="R435" t="str">
        <v>9364D</v>
      </c>
      <c r="S435">
        <v>79</v>
      </c>
      <c r="U435" t="str">
        <v>5155A</v>
      </c>
      <c r="V435" t="str">
        <v>7700H</v>
      </c>
      <c r="W435">
        <v>200</v>
      </c>
    </row>
    <row r="436" spans="1:23" x14ac:dyDescent="0.3">
      <c r="A436" s="2" t="s">
        <v>31</v>
      </c>
      <c r="B436" s="2" t="s">
        <v>49</v>
      </c>
      <c r="C436" s="2" t="s">
        <v>91</v>
      </c>
      <c r="D436" s="2" t="s">
        <v>70</v>
      </c>
      <c r="E436" s="2">
        <v>49</v>
      </c>
      <c r="F436" s="2">
        <v>49</v>
      </c>
      <c r="G436" s="2">
        <v>73</v>
      </c>
      <c r="H436" s="2">
        <v>73</v>
      </c>
      <c r="K436" t="str">
        <v>938J</v>
      </c>
      <c r="L436">
        <v>63</v>
      </c>
      <c r="N436" t="str">
        <v>98548C</v>
      </c>
      <c r="O436" t="str">
        <v>938B</v>
      </c>
      <c r="P436">
        <v>55</v>
      </c>
      <c r="R436" t="str">
        <v>938J</v>
      </c>
      <c r="S436">
        <v>63</v>
      </c>
      <c r="U436" t="str">
        <v>1023E</v>
      </c>
      <c r="V436" t="str">
        <v>917A</v>
      </c>
      <c r="W436">
        <v>89</v>
      </c>
    </row>
    <row r="437" spans="1:23" x14ac:dyDescent="0.3">
      <c r="A437" s="2" t="s">
        <v>21</v>
      </c>
      <c r="B437" s="2" t="s">
        <v>56</v>
      </c>
      <c r="C437" s="2" t="s">
        <v>45</v>
      </c>
      <c r="D437" s="2" t="s">
        <v>79</v>
      </c>
      <c r="E437" s="2">
        <v>148</v>
      </c>
      <c r="F437" s="2">
        <v>148</v>
      </c>
      <c r="G437" s="2">
        <v>48</v>
      </c>
      <c r="H437" s="2">
        <v>48</v>
      </c>
      <c r="K437" t="str">
        <v>16689D</v>
      </c>
      <c r="L437">
        <v>63</v>
      </c>
      <c r="N437" t="str">
        <v>886N</v>
      </c>
      <c r="O437" t="str">
        <v>10N</v>
      </c>
      <c r="P437">
        <v>114</v>
      </c>
      <c r="R437" t="str">
        <v>16689D</v>
      </c>
      <c r="S437">
        <v>63</v>
      </c>
      <c r="U437" t="str">
        <v>44244N</v>
      </c>
      <c r="V437" t="str">
        <v>1698Y</v>
      </c>
      <c r="W437">
        <v>47</v>
      </c>
    </row>
    <row r="438" spans="1:23" x14ac:dyDescent="0.3">
      <c r="A438" s="2" t="s">
        <v>69</v>
      </c>
      <c r="B438" s="2" t="s">
        <v>27</v>
      </c>
      <c r="C438" s="2" t="s">
        <v>40</v>
      </c>
      <c r="D438" s="2" t="s">
        <v>12</v>
      </c>
      <c r="E438" s="2">
        <v>67</v>
      </c>
      <c r="F438" s="2">
        <v>67</v>
      </c>
      <c r="G438" s="2">
        <v>55</v>
      </c>
      <c r="H438" s="2">
        <v>55</v>
      </c>
      <c r="K438" t="str">
        <v>299Y</v>
      </c>
      <c r="L438">
        <v>77</v>
      </c>
      <c r="N438" t="str">
        <v>16689X</v>
      </c>
      <c r="O438" t="str">
        <v>920B</v>
      </c>
      <c r="P438">
        <v>139</v>
      </c>
      <c r="R438" t="str">
        <v>299Y</v>
      </c>
      <c r="S438">
        <v>77</v>
      </c>
      <c r="U438" t="str">
        <v>938R</v>
      </c>
      <c r="V438" t="str">
        <v>10F</v>
      </c>
      <c r="W438">
        <v>41</v>
      </c>
    </row>
    <row r="439" spans="1:23" x14ac:dyDescent="0.3">
      <c r="A439" s="2" t="s">
        <v>13</v>
      </c>
      <c r="B439" s="2" t="s">
        <v>63</v>
      </c>
      <c r="C439" s="2" t="s">
        <v>81</v>
      </c>
      <c r="D439" s="2" t="s">
        <v>68</v>
      </c>
      <c r="E439" s="2">
        <v>82</v>
      </c>
      <c r="F439" s="2">
        <v>82</v>
      </c>
      <c r="G439" s="2">
        <v>55</v>
      </c>
      <c r="H439" s="2">
        <v>55</v>
      </c>
      <c r="K439" t="str">
        <v>98225F</v>
      </c>
      <c r="L439">
        <v>77</v>
      </c>
      <c r="N439" t="str">
        <v>1469A</v>
      </c>
      <c r="O439" t="str">
        <v>10K</v>
      </c>
      <c r="P439">
        <v>121</v>
      </c>
      <c r="R439" t="str">
        <v>98225F</v>
      </c>
      <c r="S439">
        <v>77</v>
      </c>
      <c r="U439" t="str">
        <v>6526D</v>
      </c>
      <c r="V439" t="str">
        <v>10M</v>
      </c>
      <c r="W439">
        <v>105</v>
      </c>
    </row>
    <row r="440" spans="1:23" x14ac:dyDescent="0.3">
      <c r="A440" s="2" t="s">
        <v>26</v>
      </c>
      <c r="B440" s="2" t="s">
        <v>64</v>
      </c>
      <c r="C440" s="2" t="s">
        <v>33</v>
      </c>
      <c r="D440" s="2" t="s">
        <v>92</v>
      </c>
      <c r="E440" s="2">
        <v>90</v>
      </c>
      <c r="F440" s="2">
        <v>90</v>
      </c>
      <c r="G440" s="2">
        <v>114</v>
      </c>
      <c r="H440" s="2">
        <v>114</v>
      </c>
      <c r="K440" t="str">
        <v>8675R</v>
      </c>
      <c r="L440">
        <v>79</v>
      </c>
      <c r="N440" t="str">
        <v>604X</v>
      </c>
      <c r="O440" t="str">
        <v>938M</v>
      </c>
      <c r="P440">
        <v>52</v>
      </c>
      <c r="R440" t="str">
        <v>8675R</v>
      </c>
      <c r="S440">
        <v>79</v>
      </c>
      <c r="U440" t="str">
        <v>1687C</v>
      </c>
      <c r="V440" t="str">
        <v>98040C</v>
      </c>
      <c r="W440">
        <v>134</v>
      </c>
    </row>
    <row r="441" spans="1:23" x14ac:dyDescent="0.3">
      <c r="A441" s="2" t="s">
        <v>61</v>
      </c>
      <c r="B441" s="2" t="s">
        <v>37</v>
      </c>
      <c r="C441" s="2" t="s">
        <v>103</v>
      </c>
      <c r="D441" s="2" t="s">
        <v>51</v>
      </c>
      <c r="E441" s="2">
        <v>86</v>
      </c>
      <c r="F441" s="2">
        <v>86</v>
      </c>
      <c r="G441" s="2">
        <v>139</v>
      </c>
      <c r="H441" s="2">
        <v>139</v>
      </c>
      <c r="K441" t="str">
        <v>39313Z</v>
      </c>
      <c r="L441">
        <v>79</v>
      </c>
      <c r="N441" t="str">
        <v>6526E</v>
      </c>
      <c r="O441" t="str">
        <v>938P</v>
      </c>
      <c r="P441">
        <v>72</v>
      </c>
      <c r="R441" t="str">
        <v>39313Z</v>
      </c>
      <c r="S441">
        <v>79</v>
      </c>
      <c r="U441" t="str">
        <v>938F</v>
      </c>
      <c r="V441" t="str">
        <v>84141A</v>
      </c>
      <c r="W441">
        <v>70</v>
      </c>
    </row>
    <row r="442" spans="1:23" x14ac:dyDescent="0.3">
      <c r="A442" s="2" t="s">
        <v>20</v>
      </c>
      <c r="B442" s="2" t="s">
        <v>99</v>
      </c>
      <c r="C442" s="2" t="s">
        <v>74</v>
      </c>
      <c r="D442" s="2" t="s">
        <v>94</v>
      </c>
      <c r="E442" s="2">
        <v>56</v>
      </c>
      <c r="F442" s="2">
        <v>56</v>
      </c>
      <c r="G442" s="2">
        <v>121</v>
      </c>
      <c r="H442" s="2">
        <v>121</v>
      </c>
      <c r="K442" t="str">
        <v>80001B</v>
      </c>
      <c r="L442">
        <v>135</v>
      </c>
      <c r="N442" t="str">
        <v>98225F</v>
      </c>
      <c r="O442" t="str">
        <v>7700E</v>
      </c>
      <c r="P442">
        <v>72</v>
      </c>
      <c r="R442" t="str">
        <v>80001B</v>
      </c>
      <c r="S442">
        <v>135</v>
      </c>
      <c r="U442" t="str">
        <v>98225H</v>
      </c>
      <c r="V442" t="str">
        <v>16689Z</v>
      </c>
      <c r="W442">
        <v>27</v>
      </c>
    </row>
    <row r="443" spans="1:23" x14ac:dyDescent="0.3">
      <c r="A443" s="2" t="s">
        <v>88</v>
      </c>
      <c r="B443" s="2" t="s">
        <v>73</v>
      </c>
      <c r="C443" s="2" t="s">
        <v>80</v>
      </c>
      <c r="D443" s="2" t="s">
        <v>55</v>
      </c>
      <c r="E443" s="2">
        <v>118</v>
      </c>
      <c r="F443" s="2">
        <v>118</v>
      </c>
      <c r="G443" s="2">
        <v>52</v>
      </c>
      <c r="H443" s="2">
        <v>52</v>
      </c>
      <c r="K443" t="str">
        <v>7700E</v>
      </c>
      <c r="L443">
        <v>135</v>
      </c>
      <c r="N443" t="str">
        <v>1010W</v>
      </c>
      <c r="O443" t="str">
        <v>938G</v>
      </c>
      <c r="P443">
        <v>143</v>
      </c>
      <c r="R443" t="str">
        <v>7700E</v>
      </c>
      <c r="S443">
        <v>135</v>
      </c>
      <c r="U443" t="str">
        <v>3512E</v>
      </c>
      <c r="V443" t="str">
        <v>99621A</v>
      </c>
      <c r="W443">
        <v>85</v>
      </c>
    </row>
    <row r="444" spans="1:23" x14ac:dyDescent="0.3">
      <c r="A444" s="2" t="s">
        <v>34</v>
      </c>
      <c r="B444" s="2" t="s">
        <v>98</v>
      </c>
      <c r="C444" s="2" t="s">
        <v>79</v>
      </c>
      <c r="D444" s="2" t="s">
        <v>25</v>
      </c>
      <c r="E444" s="2">
        <v>91</v>
      </c>
      <c r="F444" s="2">
        <v>91</v>
      </c>
      <c r="G444" s="2">
        <v>72</v>
      </c>
      <c r="H444" s="2">
        <v>72</v>
      </c>
      <c r="K444" t="str">
        <v>938P</v>
      </c>
      <c r="L444">
        <v>35</v>
      </c>
      <c r="N444" t="str">
        <v>10N</v>
      </c>
      <c r="O444" t="str">
        <v>8675R</v>
      </c>
      <c r="P444">
        <v>83</v>
      </c>
      <c r="R444" t="str">
        <v>938P</v>
      </c>
      <c r="S444">
        <v>35</v>
      </c>
      <c r="U444" t="str">
        <v>938A</v>
      </c>
      <c r="V444" t="str">
        <v>1258V</v>
      </c>
      <c r="W444">
        <v>92</v>
      </c>
    </row>
    <row r="445" spans="1:23" x14ac:dyDescent="0.3">
      <c r="A445" s="2" t="s">
        <v>75</v>
      </c>
      <c r="B445" s="2" t="s">
        <v>28</v>
      </c>
      <c r="C445" s="2" t="s">
        <v>19</v>
      </c>
      <c r="D445" s="2" t="s">
        <v>46</v>
      </c>
      <c r="E445" s="2">
        <v>144</v>
      </c>
      <c r="F445" s="2">
        <v>144</v>
      </c>
      <c r="G445" s="2">
        <v>72</v>
      </c>
      <c r="H445" s="2">
        <v>72</v>
      </c>
      <c r="K445" t="str">
        <v>90385R</v>
      </c>
      <c r="L445">
        <v>35</v>
      </c>
      <c r="N445" t="str">
        <v>93199G</v>
      </c>
      <c r="O445" t="str">
        <v>938B</v>
      </c>
      <c r="P445">
        <v>87</v>
      </c>
      <c r="R445" t="str">
        <v>90385R</v>
      </c>
      <c r="S445">
        <v>35</v>
      </c>
      <c r="U445" t="str">
        <v>938U</v>
      </c>
      <c r="V445" t="str">
        <v>1168A</v>
      </c>
      <c r="W445">
        <v>105</v>
      </c>
    </row>
    <row r="446" spans="1:23" x14ac:dyDescent="0.3">
      <c r="A446" s="2" t="s">
        <v>67</v>
      </c>
      <c r="B446" s="2" t="s">
        <v>31</v>
      </c>
      <c r="C446" s="2" t="s">
        <v>27</v>
      </c>
      <c r="D446" s="2" t="s">
        <v>11</v>
      </c>
      <c r="E446" s="2">
        <v>52</v>
      </c>
      <c r="F446" s="2">
        <v>52</v>
      </c>
      <c r="G446" s="2">
        <v>143</v>
      </c>
      <c r="H446" s="2">
        <v>143</v>
      </c>
      <c r="K446" t="str">
        <v>10009A</v>
      </c>
      <c r="L446">
        <v>64</v>
      </c>
      <c r="N446" t="str">
        <v>99621H</v>
      </c>
      <c r="O446" t="str">
        <v>10Z</v>
      </c>
      <c r="P446">
        <v>63</v>
      </c>
      <c r="R446" t="str">
        <v>10009A</v>
      </c>
      <c r="S446">
        <v>64</v>
      </c>
      <c r="U446" t="str">
        <v>51777H</v>
      </c>
      <c r="V446" t="str">
        <v>8675F</v>
      </c>
      <c r="W446">
        <v>110</v>
      </c>
    </row>
    <row r="447" spans="1:23" x14ac:dyDescent="0.3">
      <c r="A447" s="2" t="s">
        <v>86</v>
      </c>
      <c r="B447" s="2" t="s">
        <v>14</v>
      </c>
      <c r="C447" s="2" t="s">
        <v>92</v>
      </c>
      <c r="D447" s="2" t="s">
        <v>104</v>
      </c>
      <c r="E447" s="2"/>
      <c r="F447" s="2"/>
      <c r="G447" s="2">
        <v>83</v>
      </c>
      <c r="H447" s="2">
        <v>83</v>
      </c>
      <c r="K447" t="str">
        <v>609B</v>
      </c>
      <c r="L447">
        <v>64</v>
      </c>
      <c r="N447" t="str">
        <v>9364D</v>
      </c>
      <c r="O447" t="str">
        <v>938W</v>
      </c>
      <c r="P447">
        <v>62</v>
      </c>
      <c r="R447" t="str">
        <v>609B</v>
      </c>
      <c r="S447">
        <v>64</v>
      </c>
      <c r="U447" t="str">
        <v>10012G</v>
      </c>
      <c r="V447" t="str">
        <v>10J</v>
      </c>
      <c r="W447">
        <v>115</v>
      </c>
    </row>
    <row r="448" spans="1:23" x14ac:dyDescent="0.3">
      <c r="A448" s="2" t="s">
        <v>103</v>
      </c>
      <c r="B448" s="2" t="s">
        <v>32</v>
      </c>
      <c r="C448" s="2" t="s">
        <v>64</v>
      </c>
      <c r="D448" s="2" t="s">
        <v>68</v>
      </c>
      <c r="E448" s="2">
        <v>150</v>
      </c>
      <c r="F448" s="2">
        <v>150</v>
      </c>
      <c r="G448" s="2">
        <v>87</v>
      </c>
      <c r="H448" s="2">
        <v>87</v>
      </c>
      <c r="K448" t="str">
        <v>11101B</v>
      </c>
      <c r="L448">
        <v>97</v>
      </c>
      <c r="N448" t="str">
        <v>1469A</v>
      </c>
      <c r="O448" t="str">
        <v>938J</v>
      </c>
      <c r="P448">
        <v>84</v>
      </c>
      <c r="R448" t="str">
        <v>11101B</v>
      </c>
      <c r="S448">
        <v>97</v>
      </c>
      <c r="U448" t="str">
        <v>6526H</v>
      </c>
      <c r="V448" t="str">
        <v>229V</v>
      </c>
      <c r="W448">
        <v>115</v>
      </c>
    </row>
    <row r="449" spans="1:23" x14ac:dyDescent="0.3">
      <c r="A449" s="2" t="s">
        <v>21</v>
      </c>
      <c r="B449" s="2" t="s">
        <v>33</v>
      </c>
      <c r="C449" s="2" t="s">
        <v>44</v>
      </c>
      <c r="D449" s="2" t="s">
        <v>12</v>
      </c>
      <c r="E449" s="2">
        <v>104</v>
      </c>
      <c r="F449" s="2">
        <v>104</v>
      </c>
      <c r="G449" s="2">
        <v>63</v>
      </c>
      <c r="H449" s="2">
        <v>63</v>
      </c>
      <c r="K449" t="str">
        <v>10S</v>
      </c>
      <c r="L449">
        <v>97</v>
      </c>
      <c r="N449" t="str">
        <v>604X</v>
      </c>
      <c r="O449" t="str">
        <v>884A</v>
      </c>
      <c r="P449">
        <v>63</v>
      </c>
      <c r="R449" t="str">
        <v>10S</v>
      </c>
      <c r="S449">
        <v>97</v>
      </c>
      <c r="U449" t="str">
        <v>66475C</v>
      </c>
      <c r="V449" t="str">
        <v>5327K</v>
      </c>
      <c r="W449">
        <v>57</v>
      </c>
    </row>
    <row r="450" spans="1:23" x14ac:dyDescent="0.3">
      <c r="A450" s="2" t="s">
        <v>55</v>
      </c>
      <c r="B450" s="2" t="s">
        <v>39</v>
      </c>
      <c r="C450" s="2" t="s">
        <v>70</v>
      </c>
      <c r="D450" s="2" t="s">
        <v>100</v>
      </c>
      <c r="E450" s="2">
        <v>66</v>
      </c>
      <c r="F450" s="2">
        <v>66</v>
      </c>
      <c r="G450" s="2">
        <v>62</v>
      </c>
      <c r="H450" s="2">
        <v>62</v>
      </c>
      <c r="K450" t="str">
        <v>61002G</v>
      </c>
      <c r="L450">
        <v>90</v>
      </c>
      <c r="N450" t="str">
        <v>61002G</v>
      </c>
      <c r="O450" t="str">
        <v>99621B</v>
      </c>
      <c r="P450">
        <v>111</v>
      </c>
      <c r="R450" t="str">
        <v>61002G</v>
      </c>
      <c r="S450">
        <v>90</v>
      </c>
      <c r="U450" t="str">
        <v>7899B</v>
      </c>
      <c r="V450" t="str">
        <v>938N</v>
      </c>
      <c r="W450">
        <v>62</v>
      </c>
    </row>
    <row r="451" spans="1:23" x14ac:dyDescent="0.3">
      <c r="A451" s="2" t="s">
        <v>61</v>
      </c>
      <c r="B451" s="2" t="s">
        <v>87</v>
      </c>
      <c r="C451" s="2" t="s">
        <v>74</v>
      </c>
      <c r="D451" s="2" t="s">
        <v>38</v>
      </c>
      <c r="E451" s="2">
        <v>43</v>
      </c>
      <c r="F451" s="2">
        <v>43</v>
      </c>
      <c r="G451" s="2">
        <v>84</v>
      </c>
      <c r="H451" s="2">
        <v>84</v>
      </c>
      <c r="K451" t="str">
        <v>10G</v>
      </c>
      <c r="L451">
        <v>90</v>
      </c>
      <c r="N451" t="str">
        <v>7700P</v>
      </c>
      <c r="O451" t="str">
        <v>3583A</v>
      </c>
      <c r="P451">
        <v>72</v>
      </c>
      <c r="R451" t="str">
        <v>10G</v>
      </c>
      <c r="S451">
        <v>90</v>
      </c>
      <c r="U451" t="str">
        <v>90385G</v>
      </c>
      <c r="V451" t="str">
        <v>1000A</v>
      </c>
      <c r="W451">
        <v>65</v>
      </c>
    </row>
    <row r="452" spans="1:23" x14ac:dyDescent="0.3">
      <c r="A452" s="2" t="s">
        <v>43</v>
      </c>
      <c r="B452" s="2" t="s">
        <v>37</v>
      </c>
      <c r="C452" s="2" t="s">
        <v>80</v>
      </c>
      <c r="D452" s="2" t="s">
        <v>62</v>
      </c>
      <c r="E452" s="2">
        <v>95</v>
      </c>
      <c r="F452" s="2">
        <v>95</v>
      </c>
      <c r="G452" s="2">
        <v>63</v>
      </c>
      <c r="H452" s="2">
        <v>63</v>
      </c>
      <c r="K452" t="str">
        <v>47874R</v>
      </c>
      <c r="L452">
        <v>99</v>
      </c>
      <c r="N452" t="str">
        <v>3484X</v>
      </c>
      <c r="O452" t="str">
        <v>3512D</v>
      </c>
      <c r="P452">
        <v>27</v>
      </c>
      <c r="R452" t="str">
        <v>47874R</v>
      </c>
      <c r="S452">
        <v>99</v>
      </c>
      <c r="U452" t="str">
        <v>10A</v>
      </c>
      <c r="V452" t="str">
        <v>2681A</v>
      </c>
      <c r="W452">
        <v>60</v>
      </c>
    </row>
    <row r="453" spans="1:23" x14ac:dyDescent="0.3">
      <c r="A453" s="2" t="s">
        <v>99</v>
      </c>
      <c r="B453" s="2" t="s">
        <v>40</v>
      </c>
      <c r="C453" s="2" t="s">
        <v>58</v>
      </c>
      <c r="D453" s="2" t="s">
        <v>49</v>
      </c>
      <c r="E453" s="2">
        <v>73</v>
      </c>
      <c r="F453" s="2">
        <v>73</v>
      </c>
      <c r="G453" s="2">
        <v>111</v>
      </c>
      <c r="H453" s="2">
        <v>111</v>
      </c>
      <c r="K453" t="str">
        <v>51581S</v>
      </c>
      <c r="L453">
        <v>99</v>
      </c>
      <c r="N453" t="str">
        <v>1091A</v>
      </c>
      <c r="O453" t="str">
        <v>502X</v>
      </c>
      <c r="P453">
        <v>161</v>
      </c>
      <c r="R453" t="str">
        <v>51581S</v>
      </c>
      <c r="S453">
        <v>99</v>
      </c>
      <c r="U453" t="str">
        <v>1258V</v>
      </c>
      <c r="V453" t="str">
        <v>3512E</v>
      </c>
      <c r="W453">
        <v>80</v>
      </c>
    </row>
    <row r="454" spans="1:23" x14ac:dyDescent="0.3">
      <c r="A454" s="2" t="s">
        <v>13</v>
      </c>
      <c r="B454" s="2" t="s">
        <v>52</v>
      </c>
      <c r="C454" s="2" t="s">
        <v>45</v>
      </c>
      <c r="D454" s="2" t="s">
        <v>88</v>
      </c>
      <c r="E454" s="2">
        <v>68</v>
      </c>
      <c r="F454" s="2">
        <v>68</v>
      </c>
      <c r="G454" s="2">
        <v>72</v>
      </c>
      <c r="H454" s="2">
        <v>72</v>
      </c>
      <c r="K454" t="str">
        <v>8931R</v>
      </c>
      <c r="L454">
        <v>121</v>
      </c>
      <c r="N454" t="str">
        <v>10G</v>
      </c>
      <c r="O454" t="str">
        <v>39313Z</v>
      </c>
      <c r="P454">
        <v>48</v>
      </c>
      <c r="R454" t="str">
        <v>8931R</v>
      </c>
      <c r="S454">
        <v>121</v>
      </c>
      <c r="U454" t="str">
        <v>9364C</v>
      </c>
      <c r="V454" t="str">
        <v>1687C</v>
      </c>
      <c r="W454">
        <v>174</v>
      </c>
    </row>
    <row r="455" spans="1:23" x14ac:dyDescent="0.3">
      <c r="A455" s="2" t="s">
        <v>94</v>
      </c>
      <c r="B455" s="2" t="s">
        <v>18</v>
      </c>
      <c r="C455" s="2" t="s">
        <v>76</v>
      </c>
      <c r="D455" s="2" t="s">
        <v>69</v>
      </c>
      <c r="E455" s="2">
        <v>113</v>
      </c>
      <c r="F455" s="2">
        <v>113</v>
      </c>
      <c r="G455" s="2">
        <v>27</v>
      </c>
      <c r="H455" s="2">
        <v>27</v>
      </c>
      <c r="K455" t="str">
        <v>5233J</v>
      </c>
      <c r="L455">
        <v>121</v>
      </c>
      <c r="N455" t="str">
        <v>920B</v>
      </c>
      <c r="O455" t="str">
        <v>938T</v>
      </c>
      <c r="P455">
        <v>72</v>
      </c>
      <c r="R455" t="str">
        <v>5233J</v>
      </c>
      <c r="S455">
        <v>121</v>
      </c>
      <c r="U455" t="str">
        <v>3512B</v>
      </c>
      <c r="V455" t="str">
        <v>51581E</v>
      </c>
      <c r="W455">
        <v>68</v>
      </c>
    </row>
    <row r="456" spans="1:23" x14ac:dyDescent="0.3">
      <c r="A456" s="2" t="s">
        <v>81</v>
      </c>
      <c r="B456" s="2" t="s">
        <v>91</v>
      </c>
      <c r="C456" s="2" t="s">
        <v>73</v>
      </c>
      <c r="D456" s="2" t="s">
        <v>56</v>
      </c>
      <c r="E456" s="2">
        <v>70</v>
      </c>
      <c r="F456" s="2">
        <v>70</v>
      </c>
      <c r="G456" s="2">
        <v>161</v>
      </c>
      <c r="H456" s="2">
        <v>161</v>
      </c>
      <c r="K456" t="str">
        <v>938W</v>
      </c>
      <c r="L456">
        <v>54</v>
      </c>
      <c r="N456" t="str">
        <v>11101B</v>
      </c>
      <c r="O456" t="str">
        <v>10Z</v>
      </c>
      <c r="P456">
        <v>125</v>
      </c>
      <c r="R456" t="str">
        <v>938W</v>
      </c>
      <c r="S456">
        <v>54</v>
      </c>
      <c r="U456" t="str">
        <v>1698Y</v>
      </c>
      <c r="V456" t="str">
        <v>98225H</v>
      </c>
      <c r="W456">
        <v>75</v>
      </c>
    </row>
    <row r="457" spans="1:23" x14ac:dyDescent="0.3">
      <c r="A457" s="2" t="s">
        <v>50</v>
      </c>
      <c r="B457" s="2" t="s">
        <v>26</v>
      </c>
      <c r="C457" s="2" t="s">
        <v>93</v>
      </c>
      <c r="D457" s="2" t="s">
        <v>97</v>
      </c>
      <c r="E457" s="2">
        <v>69</v>
      </c>
      <c r="F457" s="2">
        <v>69</v>
      </c>
      <c r="G457" s="2">
        <v>48</v>
      </c>
      <c r="H457" s="2">
        <v>48</v>
      </c>
      <c r="K457" t="str">
        <v>10E</v>
      </c>
      <c r="L457">
        <v>54</v>
      </c>
      <c r="N457" t="str">
        <v>3583A</v>
      </c>
      <c r="O457" t="str">
        <v>10N</v>
      </c>
      <c r="P457">
        <v>85</v>
      </c>
      <c r="R457" t="str">
        <v>10E</v>
      </c>
      <c r="S457">
        <v>54</v>
      </c>
      <c r="U457" t="str">
        <v>1168A</v>
      </c>
      <c r="V457" t="str">
        <v>652A</v>
      </c>
      <c r="W457">
        <v>129</v>
      </c>
    </row>
    <row r="458" spans="1:23" x14ac:dyDescent="0.3">
      <c r="A458" s="2" t="s">
        <v>20</v>
      </c>
      <c r="B458" s="2" t="s">
        <v>82</v>
      </c>
      <c r="C458" s="2" t="s">
        <v>51</v>
      </c>
      <c r="D458" s="2" t="s">
        <v>63</v>
      </c>
      <c r="E458" s="2">
        <v>37</v>
      </c>
      <c r="F458" s="2">
        <v>37</v>
      </c>
      <c r="G458" s="2">
        <v>72</v>
      </c>
      <c r="H458" s="2">
        <v>72</v>
      </c>
      <c r="K458" t="str">
        <v>938G</v>
      </c>
      <c r="L458">
        <v>44</v>
      </c>
      <c r="N458" t="str">
        <v>51581S</v>
      </c>
      <c r="O458" t="str">
        <v>9364H</v>
      </c>
      <c r="P458">
        <v>120</v>
      </c>
      <c r="R458" t="str">
        <v>938G</v>
      </c>
      <c r="S458">
        <v>44</v>
      </c>
      <c r="U458" t="str">
        <v>938C</v>
      </c>
      <c r="V458" t="str">
        <v>1023E</v>
      </c>
      <c r="W458">
        <v>120</v>
      </c>
    </row>
    <row r="459" spans="1:23" x14ac:dyDescent="0.3">
      <c r="A459" s="2" t="s">
        <v>57</v>
      </c>
      <c r="B459" s="2" t="s">
        <v>85</v>
      </c>
      <c r="C459" s="2" t="s">
        <v>43</v>
      </c>
      <c r="D459" s="2" t="s">
        <v>12</v>
      </c>
      <c r="E459" s="2">
        <v>70</v>
      </c>
      <c r="F459" s="2">
        <v>70</v>
      </c>
      <c r="G459" s="2">
        <v>125</v>
      </c>
      <c r="H459" s="2">
        <v>125</v>
      </c>
      <c r="K459" t="str">
        <v>3484X</v>
      </c>
      <c r="L459">
        <v>44</v>
      </c>
      <c r="N459" t="str">
        <v>886N</v>
      </c>
      <c r="O459" t="str">
        <v>920B</v>
      </c>
      <c r="P459">
        <v>122</v>
      </c>
      <c r="R459" t="str">
        <v>3484X</v>
      </c>
      <c r="S459">
        <v>44</v>
      </c>
      <c r="U459" t="str">
        <v>84141X</v>
      </c>
      <c r="V459" t="str">
        <v>16689Z</v>
      </c>
      <c r="W459">
        <v>137</v>
      </c>
    </row>
    <row r="460" spans="1:23" x14ac:dyDescent="0.3">
      <c r="A460" s="3" t="s">
        <v>387</v>
      </c>
      <c r="B460" s="3" t="s">
        <v>388</v>
      </c>
      <c r="C460" s="3" t="s">
        <v>389</v>
      </c>
      <c r="D460" s="3" t="s">
        <v>390</v>
      </c>
      <c r="E460" s="3">
        <v>17</v>
      </c>
      <c r="F460" s="3">
        <v>17</v>
      </c>
      <c r="G460" s="3">
        <v>73</v>
      </c>
      <c r="H460" s="3">
        <v>73</v>
      </c>
      <c r="K460" t="str">
        <v>884A</v>
      </c>
      <c r="L460">
        <v>102</v>
      </c>
      <c r="N460" t="str">
        <v>1091A</v>
      </c>
      <c r="O460" t="str">
        <v>502X</v>
      </c>
      <c r="P460">
        <v>78</v>
      </c>
      <c r="R460" t="str">
        <v>884A</v>
      </c>
      <c r="S460">
        <v>102</v>
      </c>
      <c r="U460" t="str">
        <v>10J</v>
      </c>
      <c r="V460" t="str">
        <v>9805A</v>
      </c>
      <c r="W460">
        <v>22</v>
      </c>
    </row>
    <row r="461" spans="1:23" x14ac:dyDescent="0.3">
      <c r="A461" s="3" t="s">
        <v>392</v>
      </c>
      <c r="B461" s="3" t="s">
        <v>393</v>
      </c>
      <c r="C461" s="3" t="s">
        <v>394</v>
      </c>
      <c r="D461" s="3" t="s">
        <v>395</v>
      </c>
      <c r="E461" s="3">
        <v>109</v>
      </c>
      <c r="F461" s="3">
        <v>109</v>
      </c>
      <c r="G461" s="3">
        <v>129</v>
      </c>
      <c r="H461" s="3">
        <v>129</v>
      </c>
      <c r="K461" t="str">
        <v>9364H</v>
      </c>
      <c r="L461">
        <v>102</v>
      </c>
      <c r="N461" t="str">
        <v>51581S</v>
      </c>
      <c r="O461" t="str">
        <v>9364H</v>
      </c>
      <c r="P461">
        <v>87</v>
      </c>
      <c r="R461" t="str">
        <v>9364H</v>
      </c>
      <c r="S461">
        <v>102</v>
      </c>
      <c r="U461" t="str">
        <v>10A</v>
      </c>
      <c r="V461" t="str">
        <v>51777H</v>
      </c>
      <c r="W461">
        <v>65</v>
      </c>
    </row>
    <row r="462" spans="1:23" x14ac:dyDescent="0.3">
      <c r="A462" s="3" t="s">
        <v>396</v>
      </c>
      <c r="B462" s="3" t="s">
        <v>397</v>
      </c>
      <c r="C462" s="3" t="s">
        <v>398</v>
      </c>
      <c r="D462" s="3" t="s">
        <v>399</v>
      </c>
      <c r="E462" s="3">
        <v>60</v>
      </c>
      <c r="F462" s="3">
        <v>60</v>
      </c>
      <c r="G462" s="3">
        <v>89</v>
      </c>
      <c r="H462" s="3">
        <v>89</v>
      </c>
      <c r="K462" t="str">
        <v>44244S</v>
      </c>
      <c r="L462">
        <v>96</v>
      </c>
      <c r="N462" t="str">
        <v>61002G</v>
      </c>
      <c r="O462" t="str">
        <v>1469A</v>
      </c>
      <c r="P462">
        <v>93</v>
      </c>
      <c r="R462" t="str">
        <v>44244S</v>
      </c>
      <c r="S462">
        <v>96</v>
      </c>
      <c r="U462" t="str">
        <v>938N</v>
      </c>
      <c r="V462" t="str">
        <v>99621A</v>
      </c>
      <c r="W462">
        <v>62</v>
      </c>
    </row>
    <row r="463" spans="1:23" x14ac:dyDescent="0.3">
      <c r="A463" s="3" t="s">
        <v>401</v>
      </c>
      <c r="B463" s="3" t="s">
        <v>402</v>
      </c>
      <c r="C463" s="3" t="s">
        <v>403</v>
      </c>
      <c r="D463" s="3" t="s">
        <v>404</v>
      </c>
      <c r="E463" s="3">
        <v>57</v>
      </c>
      <c r="F463" s="3">
        <v>57</v>
      </c>
      <c r="G463" s="3">
        <v>118</v>
      </c>
      <c r="H463" s="3">
        <v>118</v>
      </c>
      <c r="K463" t="str">
        <v>5327S</v>
      </c>
      <c r="L463">
        <v>96</v>
      </c>
      <c r="N463" t="str">
        <v>10B</v>
      </c>
      <c r="O463" t="str">
        <v>80001B</v>
      </c>
      <c r="P463">
        <v>130</v>
      </c>
      <c r="R463" t="str">
        <v>5327S</v>
      </c>
      <c r="S463">
        <v>96</v>
      </c>
      <c r="U463" t="str">
        <v>938F</v>
      </c>
      <c r="V463" t="str">
        <v>884B</v>
      </c>
      <c r="W463">
        <v>95</v>
      </c>
    </row>
    <row r="464" spans="1:23" x14ac:dyDescent="0.3">
      <c r="A464" s="3" t="s">
        <v>406</v>
      </c>
      <c r="B464" s="3" t="s">
        <v>407</v>
      </c>
      <c r="C464" s="3" t="s">
        <v>408</v>
      </c>
      <c r="D464" s="3" t="s">
        <v>409</v>
      </c>
      <c r="E464" s="3">
        <v>89</v>
      </c>
      <c r="F464" s="3">
        <v>89</v>
      </c>
      <c r="G464" s="3">
        <v>113</v>
      </c>
      <c r="H464" s="3">
        <v>113</v>
      </c>
      <c r="K464" t="str">
        <v>938J</v>
      </c>
      <c r="L464">
        <v>43</v>
      </c>
      <c r="N464" t="str">
        <v>10B</v>
      </c>
      <c r="O464" t="str">
        <v>80001B</v>
      </c>
      <c r="P464">
        <v>124</v>
      </c>
      <c r="R464" t="str">
        <v>938J</v>
      </c>
      <c r="S464">
        <v>43</v>
      </c>
      <c r="U464" t="str">
        <v>16689A</v>
      </c>
      <c r="V464" t="str">
        <v>84141A</v>
      </c>
      <c r="W464">
        <v>89</v>
      </c>
    </row>
    <row r="465" spans="1:23" x14ac:dyDescent="0.3">
      <c r="A465" s="3" t="s">
        <v>411</v>
      </c>
      <c r="B465" s="3" t="s">
        <v>412</v>
      </c>
      <c r="C465" s="3" t="s">
        <v>413</v>
      </c>
      <c r="D465" s="3" t="s">
        <v>414</v>
      </c>
      <c r="E465" s="3">
        <v>112</v>
      </c>
      <c r="F465" s="3">
        <v>112</v>
      </c>
      <c r="G465" s="3">
        <v>65</v>
      </c>
      <c r="H465" s="3">
        <v>65</v>
      </c>
      <c r="K465" t="str">
        <v>10W</v>
      </c>
      <c r="L465">
        <v>43</v>
      </c>
      <c r="N465" t="str">
        <v>10B</v>
      </c>
      <c r="O465" t="str">
        <v>80001B</v>
      </c>
      <c r="P465">
        <v>142</v>
      </c>
      <c r="R465" t="str">
        <v>10W</v>
      </c>
      <c r="S465">
        <v>43</v>
      </c>
      <c r="U465" t="str">
        <v>99621C</v>
      </c>
      <c r="V465" t="str">
        <v>10C</v>
      </c>
      <c r="W465">
        <v>119</v>
      </c>
    </row>
    <row r="466" spans="1:23" x14ac:dyDescent="0.3">
      <c r="A466" s="3" t="s">
        <v>416</v>
      </c>
      <c r="B466" s="3" t="s">
        <v>417</v>
      </c>
      <c r="C466" s="3" t="s">
        <v>418</v>
      </c>
      <c r="D466" s="3" t="s">
        <v>419</v>
      </c>
      <c r="E466" s="3">
        <v>99</v>
      </c>
      <c r="F466" s="3">
        <v>99</v>
      </c>
      <c r="G466" s="3">
        <v>97</v>
      </c>
      <c r="H466" s="3">
        <v>97</v>
      </c>
      <c r="K466" t="str">
        <v>2605B</v>
      </c>
      <c r="L466">
        <v>49</v>
      </c>
      <c r="N466" t="str">
        <v>938T</v>
      </c>
      <c r="O466" t="str">
        <v>93199G</v>
      </c>
      <c r="P466">
        <v>67</v>
      </c>
      <c r="R466" t="str">
        <v>2605B</v>
      </c>
      <c r="S466">
        <v>49</v>
      </c>
      <c r="U466" t="str">
        <v>98225M</v>
      </c>
      <c r="V466" t="str">
        <v>5327K</v>
      </c>
      <c r="W466">
        <v>64</v>
      </c>
    </row>
    <row r="467" spans="1:23" x14ac:dyDescent="0.3">
      <c r="A467" s="3" t="s">
        <v>421</v>
      </c>
      <c r="B467" s="3" t="s">
        <v>422</v>
      </c>
      <c r="C467" s="3" t="s">
        <v>423</v>
      </c>
      <c r="D467" s="3" t="s">
        <v>424</v>
      </c>
      <c r="E467" s="3">
        <v>59</v>
      </c>
      <c r="F467" s="3">
        <v>59</v>
      </c>
      <c r="G467" s="3">
        <v>42</v>
      </c>
      <c r="H467" s="3">
        <v>42</v>
      </c>
      <c r="K467" t="str">
        <v>99621B</v>
      </c>
      <c r="L467">
        <v>49</v>
      </c>
      <c r="N467" t="str">
        <v>10009A</v>
      </c>
      <c r="O467" t="str">
        <v>47874R</v>
      </c>
      <c r="P467">
        <v>78</v>
      </c>
      <c r="R467" t="str">
        <v>99621B</v>
      </c>
      <c r="S467">
        <v>49</v>
      </c>
      <c r="U467" t="str">
        <v>47874J</v>
      </c>
      <c r="V467" t="str">
        <v>5155A</v>
      </c>
      <c r="W467">
        <v>75</v>
      </c>
    </row>
    <row r="468" spans="1:23" x14ac:dyDescent="0.3">
      <c r="A468" s="3" t="s">
        <v>426</v>
      </c>
      <c r="B468" s="3" t="s">
        <v>427</v>
      </c>
      <c r="C468" s="3" t="s">
        <v>428</v>
      </c>
      <c r="D468" s="3" t="s">
        <v>429</v>
      </c>
      <c r="E468" s="3">
        <v>132</v>
      </c>
      <c r="F468" s="3">
        <v>132</v>
      </c>
      <c r="G468" s="3">
        <v>118</v>
      </c>
      <c r="H468" s="3">
        <v>118</v>
      </c>
      <c r="K468" t="str">
        <v>1248X</v>
      </c>
      <c r="L468">
        <v>73</v>
      </c>
      <c r="N468" t="str">
        <v>10W</v>
      </c>
      <c r="O468" t="str">
        <v>10K</v>
      </c>
      <c r="P468">
        <v>93</v>
      </c>
      <c r="R468" t="str">
        <v>1248X</v>
      </c>
      <c r="S468">
        <v>73</v>
      </c>
      <c r="U468" t="str">
        <v>609A</v>
      </c>
      <c r="V468" t="str">
        <v>1258V</v>
      </c>
      <c r="W468">
        <v>97</v>
      </c>
    </row>
    <row r="469" spans="1:23" x14ac:dyDescent="0.3">
      <c r="A469" s="3" t="s">
        <v>431</v>
      </c>
      <c r="B469" s="3" t="s">
        <v>432</v>
      </c>
      <c r="C469" s="3" t="s">
        <v>433</v>
      </c>
      <c r="D469" s="3" t="s">
        <v>434</v>
      </c>
      <c r="E469" s="3">
        <v>48</v>
      </c>
      <c r="F469" s="3">
        <v>48</v>
      </c>
      <c r="G469" s="3">
        <v>125</v>
      </c>
      <c r="H469" s="3">
        <v>125</v>
      </c>
      <c r="K469" t="str">
        <v>9364D</v>
      </c>
      <c r="L469">
        <v>73</v>
      </c>
      <c r="N469" t="str">
        <v>90385R</v>
      </c>
      <c r="O469" t="str">
        <v>98225F</v>
      </c>
      <c r="P469">
        <v>71</v>
      </c>
      <c r="R469" t="str">
        <v>9364D</v>
      </c>
      <c r="S469">
        <v>73</v>
      </c>
      <c r="U469" t="str">
        <v>66475C</v>
      </c>
      <c r="V469" t="str">
        <v>51777H</v>
      </c>
      <c r="W469">
        <v>102</v>
      </c>
    </row>
    <row r="470" spans="1:23" x14ac:dyDescent="0.3">
      <c r="A470" s="3" t="s">
        <v>436</v>
      </c>
      <c r="B470" s="3" t="s">
        <v>437</v>
      </c>
      <c r="C470" s="3" t="s">
        <v>438</v>
      </c>
      <c r="D470" s="3" t="s">
        <v>439</v>
      </c>
      <c r="E470" s="3">
        <v>186</v>
      </c>
      <c r="F470" s="3">
        <v>186</v>
      </c>
      <c r="G470" s="3">
        <v>55</v>
      </c>
      <c r="H470" s="3">
        <v>55</v>
      </c>
      <c r="K470" t="str">
        <v>84141B</v>
      </c>
      <c r="L470">
        <v>148</v>
      </c>
      <c r="N470" t="str">
        <v>8675R</v>
      </c>
      <c r="O470" t="str">
        <v>5233J</v>
      </c>
      <c r="P470">
        <v>0</v>
      </c>
      <c r="R470" t="str">
        <v>84141B</v>
      </c>
      <c r="S470">
        <v>148</v>
      </c>
      <c r="U470" t="str">
        <v>938H</v>
      </c>
      <c r="V470" t="str">
        <v>10X</v>
      </c>
      <c r="W470">
        <v>87</v>
      </c>
    </row>
    <row r="471" spans="1:23" x14ac:dyDescent="0.3">
      <c r="A471" s="3" t="s">
        <v>441</v>
      </c>
      <c r="B471" s="3" t="s">
        <v>442</v>
      </c>
      <c r="C471" s="3" t="s">
        <v>443</v>
      </c>
      <c r="D471" s="3" t="s">
        <v>444</v>
      </c>
      <c r="E471" s="3">
        <v>113</v>
      </c>
      <c r="F471" s="3">
        <v>113</v>
      </c>
      <c r="G471" s="3">
        <v>90</v>
      </c>
      <c r="H471" s="3">
        <v>90</v>
      </c>
      <c r="K471" t="str">
        <v>502X</v>
      </c>
      <c r="L471">
        <v>148</v>
      </c>
      <c r="N471" t="str">
        <v>886N</v>
      </c>
      <c r="O471" t="str">
        <v>920B</v>
      </c>
      <c r="P471">
        <v>148</v>
      </c>
      <c r="R471" t="str">
        <v>502X</v>
      </c>
      <c r="S471">
        <v>148</v>
      </c>
      <c r="U471" t="str">
        <v>16689A</v>
      </c>
      <c r="V471" t="str">
        <v>229V</v>
      </c>
      <c r="W471">
        <v>130</v>
      </c>
    </row>
    <row r="472" spans="1:23" x14ac:dyDescent="0.3">
      <c r="A472" s="3" t="s">
        <v>446</v>
      </c>
      <c r="B472" s="3" t="s">
        <v>447</v>
      </c>
      <c r="C472" s="3" t="s">
        <v>448</v>
      </c>
      <c r="D472" s="3" t="s">
        <v>449</v>
      </c>
      <c r="E472" s="3">
        <v>149</v>
      </c>
      <c r="F472" s="3">
        <v>149</v>
      </c>
      <c r="G472" s="3">
        <v>62</v>
      </c>
      <c r="H472" s="3">
        <v>62</v>
      </c>
      <c r="K472" t="str">
        <v>7700P</v>
      </c>
      <c r="L472">
        <v>48</v>
      </c>
      <c r="N472" t="str">
        <v>99621H</v>
      </c>
      <c r="O472" t="str">
        <v>99621B</v>
      </c>
      <c r="P472">
        <v>90</v>
      </c>
      <c r="R472" t="str">
        <v>7700P</v>
      </c>
      <c r="S472">
        <v>48</v>
      </c>
      <c r="U472" t="str">
        <v>7899B</v>
      </c>
      <c r="V472" t="str">
        <v>98040C</v>
      </c>
      <c r="W472">
        <v>125</v>
      </c>
    </row>
    <row r="473" spans="1:23" x14ac:dyDescent="0.3">
      <c r="A473" s="3" t="s">
        <v>451</v>
      </c>
      <c r="B473" s="3" t="s">
        <v>452</v>
      </c>
      <c r="C473" s="3" t="s">
        <v>453</v>
      </c>
      <c r="D473" s="3" t="s">
        <v>454</v>
      </c>
      <c r="E473" s="3">
        <v>54</v>
      </c>
      <c r="F473" s="3">
        <v>54</v>
      </c>
      <c r="G473" s="3">
        <v>200</v>
      </c>
      <c r="H473" s="3">
        <v>200</v>
      </c>
      <c r="K473" t="str">
        <v>6526E</v>
      </c>
      <c r="L473">
        <v>48</v>
      </c>
      <c r="N473" t="str">
        <v>5327S</v>
      </c>
      <c r="O473" t="str">
        <v>44244S</v>
      </c>
      <c r="P473">
        <v>90</v>
      </c>
      <c r="R473" t="str">
        <v>6526E</v>
      </c>
      <c r="S473">
        <v>48</v>
      </c>
      <c r="U473" t="str">
        <v>938X</v>
      </c>
      <c r="V473" t="str">
        <v>7784W</v>
      </c>
      <c r="W473">
        <v>53</v>
      </c>
    </row>
    <row r="474" spans="1:23" x14ac:dyDescent="0.3">
      <c r="A474" s="3" t="s">
        <v>455</v>
      </c>
      <c r="B474" s="3" t="s">
        <v>456</v>
      </c>
      <c r="C474" s="3" t="s">
        <v>457</v>
      </c>
      <c r="D474" s="3" t="s">
        <v>458</v>
      </c>
      <c r="E474" s="3">
        <v>73</v>
      </c>
      <c r="F474" s="3">
        <v>73</v>
      </c>
      <c r="G474" s="3">
        <v>89</v>
      </c>
      <c r="H474" s="3">
        <v>89</v>
      </c>
      <c r="K474" t="str">
        <v>3512D</v>
      </c>
      <c r="L474">
        <v>67</v>
      </c>
      <c r="N474" t="str">
        <v>10C</v>
      </c>
      <c r="O474" t="str">
        <v>7784W</v>
      </c>
      <c r="P474">
        <v>73</v>
      </c>
      <c r="R474" t="str">
        <v>3512D</v>
      </c>
      <c r="S474">
        <v>67</v>
      </c>
      <c r="U474" t="str">
        <v>10T</v>
      </c>
      <c r="V474" t="str">
        <v>938A</v>
      </c>
      <c r="W474">
        <v>71</v>
      </c>
    </row>
    <row r="475" spans="1:23" x14ac:dyDescent="0.3">
      <c r="A475" s="3" t="s">
        <v>460</v>
      </c>
      <c r="B475" s="3" t="s">
        <v>461</v>
      </c>
      <c r="C475" s="3" t="s">
        <v>404</v>
      </c>
      <c r="D475" s="3" t="s">
        <v>426</v>
      </c>
      <c r="E475" s="3">
        <v>62</v>
      </c>
      <c r="F475" s="3">
        <v>62</v>
      </c>
      <c r="G475" s="3">
        <v>47</v>
      </c>
      <c r="H475" s="3">
        <v>47</v>
      </c>
      <c r="K475" t="str">
        <v>1010W</v>
      </c>
      <c r="L475">
        <v>67</v>
      </c>
      <c r="N475" t="str">
        <v>10M</v>
      </c>
      <c r="O475" t="str">
        <v>99621C</v>
      </c>
      <c r="P475">
        <v>129</v>
      </c>
      <c r="R475" t="str">
        <v>1010W</v>
      </c>
      <c r="S475">
        <v>67</v>
      </c>
      <c r="U475" t="str">
        <v>9364C</v>
      </c>
      <c r="V475" t="str">
        <v>8675V</v>
      </c>
      <c r="W475">
        <v>109</v>
      </c>
    </row>
    <row r="476" spans="1:23" x14ac:dyDescent="0.3">
      <c r="A476" s="3" t="s">
        <v>399</v>
      </c>
      <c r="B476" s="3" t="s">
        <v>387</v>
      </c>
      <c r="C476" s="3" t="s">
        <v>431</v>
      </c>
      <c r="D476" s="3" t="s">
        <v>407</v>
      </c>
      <c r="E476" s="3">
        <v>37</v>
      </c>
      <c r="F476" s="3">
        <v>37</v>
      </c>
      <c r="G476" s="3">
        <v>41</v>
      </c>
      <c r="H476" s="3">
        <v>41</v>
      </c>
      <c r="K476" t="str">
        <v>949Z</v>
      </c>
      <c r="L476">
        <v>55</v>
      </c>
      <c r="N476" t="str">
        <v>938X</v>
      </c>
      <c r="O476" t="str">
        <v>47000X</v>
      </c>
      <c r="P476">
        <v>89</v>
      </c>
      <c r="R476" t="str">
        <v>949Z</v>
      </c>
      <c r="S476">
        <v>55</v>
      </c>
      <c r="U476" t="str">
        <v>938R</v>
      </c>
      <c r="V476" t="str">
        <v>1000A</v>
      </c>
      <c r="W476">
        <v>70</v>
      </c>
    </row>
    <row r="477" spans="1:23" x14ac:dyDescent="0.3">
      <c r="A477" s="3" t="s">
        <v>418</v>
      </c>
      <c r="B477" s="3" t="s">
        <v>389</v>
      </c>
      <c r="C477" s="3" t="s">
        <v>412</v>
      </c>
      <c r="D477" s="3" t="s">
        <v>394</v>
      </c>
      <c r="E477" s="3">
        <v>107</v>
      </c>
      <c r="F477" s="3">
        <v>107</v>
      </c>
      <c r="G477" s="3">
        <v>105</v>
      </c>
      <c r="H477" s="3">
        <v>105</v>
      </c>
      <c r="K477" t="str">
        <v>10Z</v>
      </c>
      <c r="L477">
        <v>55</v>
      </c>
      <c r="N477" t="str">
        <v>9364G</v>
      </c>
      <c r="O477" t="str">
        <v>44244N</v>
      </c>
      <c r="P477">
        <v>118</v>
      </c>
      <c r="R477" t="str">
        <v>10Z</v>
      </c>
      <c r="S477">
        <v>55</v>
      </c>
      <c r="U477" t="str">
        <v>10F</v>
      </c>
      <c r="V477" t="str">
        <v>44244N</v>
      </c>
      <c r="W477">
        <v>60</v>
      </c>
    </row>
    <row r="478" spans="1:23" x14ac:dyDescent="0.3">
      <c r="A478" s="3" t="s">
        <v>444</v>
      </c>
      <c r="B478" s="3" t="s">
        <v>438</v>
      </c>
      <c r="C478" s="3" t="s">
        <v>416</v>
      </c>
      <c r="D478" s="3" t="s">
        <v>422</v>
      </c>
      <c r="E478" s="3">
        <v>128</v>
      </c>
      <c r="F478" s="3">
        <v>128</v>
      </c>
      <c r="G478" s="3">
        <v>134</v>
      </c>
      <c r="H478" s="3">
        <v>134</v>
      </c>
      <c r="K478" t="str">
        <v>10B</v>
      </c>
      <c r="L478">
        <v>82</v>
      </c>
      <c r="N478" t="str">
        <v>6526H</v>
      </c>
      <c r="O478" t="str">
        <v>16689E</v>
      </c>
      <c r="P478">
        <v>113</v>
      </c>
      <c r="R478" t="str">
        <v>10B</v>
      </c>
      <c r="S478">
        <v>82</v>
      </c>
      <c r="U478" t="str">
        <v>10012G</v>
      </c>
      <c r="V478" t="str">
        <v>1698Y</v>
      </c>
      <c r="W478">
        <v>168</v>
      </c>
    </row>
    <row r="479" spans="1:23" x14ac:dyDescent="0.3">
      <c r="A479" s="3" t="s">
        <v>419</v>
      </c>
      <c r="B479" s="3" t="s">
        <v>428</v>
      </c>
      <c r="C479" s="3" t="s">
        <v>393</v>
      </c>
      <c r="D479" s="3" t="s">
        <v>402</v>
      </c>
      <c r="E479" s="3">
        <v>130</v>
      </c>
      <c r="F479" s="3">
        <v>130</v>
      </c>
      <c r="G479" s="3">
        <v>70</v>
      </c>
      <c r="H479" s="3">
        <v>70</v>
      </c>
      <c r="K479" t="str">
        <v>938T</v>
      </c>
      <c r="L479">
        <v>82</v>
      </c>
      <c r="N479" t="str">
        <v>938C</v>
      </c>
      <c r="O479" t="str">
        <v>884B</v>
      </c>
      <c r="P479">
        <v>65</v>
      </c>
      <c r="R479" t="str">
        <v>938T</v>
      </c>
      <c r="S479">
        <v>82</v>
      </c>
      <c r="U479" t="str">
        <v>9364G</v>
      </c>
      <c r="V479" t="str">
        <v>917A</v>
      </c>
      <c r="W479">
        <v>60</v>
      </c>
    </row>
    <row r="480" spans="1:23" x14ac:dyDescent="0.3">
      <c r="A480" s="3" t="s">
        <v>437</v>
      </c>
      <c r="B480" s="3" t="s">
        <v>403</v>
      </c>
      <c r="C480" s="3" t="s">
        <v>447</v>
      </c>
      <c r="D480" s="3" t="s">
        <v>432</v>
      </c>
      <c r="E480" s="3">
        <v>98</v>
      </c>
      <c r="F480" s="3">
        <v>98</v>
      </c>
      <c r="G480" s="3">
        <v>27</v>
      </c>
      <c r="H480" s="3">
        <v>27</v>
      </c>
      <c r="K480" t="str">
        <v>98548C</v>
      </c>
      <c r="L480">
        <v>55</v>
      </c>
      <c r="N480" t="str">
        <v>938H</v>
      </c>
      <c r="O480" t="str">
        <v>537K</v>
      </c>
      <c r="P480">
        <v>97</v>
      </c>
      <c r="R480" t="str">
        <v>98548C</v>
      </c>
      <c r="S480">
        <v>55</v>
      </c>
      <c r="U480" t="str">
        <v>502A</v>
      </c>
      <c r="V480" t="str">
        <v>51581E</v>
      </c>
      <c r="W480">
        <v>106</v>
      </c>
    </row>
    <row r="481" spans="1:23" x14ac:dyDescent="0.3">
      <c r="A481" s="3" t="s">
        <v>457</v>
      </c>
      <c r="B481" s="3" t="s">
        <v>427</v>
      </c>
      <c r="C481" s="3" t="s">
        <v>452</v>
      </c>
      <c r="D481" s="3" t="s">
        <v>417</v>
      </c>
      <c r="E481" s="3">
        <v>168</v>
      </c>
      <c r="F481" s="3">
        <v>168</v>
      </c>
      <c r="G481" s="3">
        <v>85</v>
      </c>
      <c r="H481" s="3">
        <v>85</v>
      </c>
      <c r="K481" t="str">
        <v>938B</v>
      </c>
      <c r="L481">
        <v>55</v>
      </c>
      <c r="N481" t="str">
        <v>938U</v>
      </c>
      <c r="O481" t="str">
        <v>502A</v>
      </c>
      <c r="P481">
        <v>42</v>
      </c>
      <c r="R481" t="str">
        <v>938B</v>
      </c>
      <c r="S481">
        <v>55</v>
      </c>
      <c r="U481" t="str">
        <v>3512B</v>
      </c>
      <c r="V481" t="str">
        <v>90385G</v>
      </c>
      <c r="W481">
        <v>56</v>
      </c>
    </row>
    <row r="482" spans="1:23" x14ac:dyDescent="0.3">
      <c r="A482" s="3" t="s">
        <v>434</v>
      </c>
      <c r="B482" s="3" t="s">
        <v>458</v>
      </c>
      <c r="C482" s="3" t="s">
        <v>397</v>
      </c>
      <c r="D482" s="3" t="s">
        <v>461</v>
      </c>
      <c r="E482" s="3">
        <v>75</v>
      </c>
      <c r="F482" s="3">
        <v>75</v>
      </c>
      <c r="G482" s="3">
        <v>92</v>
      </c>
      <c r="H482" s="3">
        <v>92</v>
      </c>
      <c r="K482" t="str">
        <v>98225J</v>
      </c>
      <c r="L482">
        <v>90</v>
      </c>
      <c r="N482" t="str">
        <v>652A</v>
      </c>
      <c r="O482" t="str">
        <v>10T</v>
      </c>
      <c r="P482">
        <v>118</v>
      </c>
      <c r="R482" t="str">
        <v>98225J</v>
      </c>
      <c r="S482">
        <v>90</v>
      </c>
      <c r="U482" t="str">
        <v>16689E</v>
      </c>
      <c r="V482" t="str">
        <v>98225H</v>
      </c>
      <c r="W482">
        <v>63</v>
      </c>
    </row>
    <row r="483" spans="1:23" x14ac:dyDescent="0.3">
      <c r="A483" s="3" t="s">
        <v>448</v>
      </c>
      <c r="B483" s="3" t="s">
        <v>429</v>
      </c>
      <c r="C483" s="3" t="s">
        <v>423</v>
      </c>
      <c r="D483" s="3" t="s">
        <v>436</v>
      </c>
      <c r="E483" s="3">
        <v>92</v>
      </c>
      <c r="F483" s="3">
        <v>92</v>
      </c>
      <c r="G483" s="3">
        <v>105</v>
      </c>
      <c r="H483" s="3">
        <v>105</v>
      </c>
      <c r="K483" t="str">
        <v>93199G</v>
      </c>
      <c r="L483">
        <v>90</v>
      </c>
      <c r="N483" t="str">
        <v>10X</v>
      </c>
      <c r="O483" t="str">
        <v>9805A</v>
      </c>
      <c r="P483">
        <v>125</v>
      </c>
      <c r="R483" t="str">
        <v>93199G</v>
      </c>
      <c r="S483">
        <v>90</v>
      </c>
      <c r="U483" t="str">
        <v>47000X</v>
      </c>
      <c r="V483" t="str">
        <v>7700H</v>
      </c>
      <c r="W483">
        <v>37</v>
      </c>
    </row>
    <row r="484" spans="1:23" x14ac:dyDescent="0.3">
      <c r="A484" s="3" t="s">
        <v>433</v>
      </c>
      <c r="B484" s="3" t="s">
        <v>439</v>
      </c>
      <c r="C484" s="3" t="s">
        <v>396</v>
      </c>
      <c r="D484" s="3" t="s">
        <v>392</v>
      </c>
      <c r="E484" s="3">
        <v>70</v>
      </c>
      <c r="F484" s="3">
        <v>70</v>
      </c>
      <c r="G484" s="3">
        <v>110</v>
      </c>
      <c r="H484" s="3">
        <v>110</v>
      </c>
      <c r="K484" t="str">
        <v>886N</v>
      </c>
      <c r="L484">
        <v>114</v>
      </c>
      <c r="N484" t="str">
        <v>47874J</v>
      </c>
      <c r="O484" t="str">
        <v>938K</v>
      </c>
      <c r="P484">
        <v>55</v>
      </c>
      <c r="R484" t="str">
        <v>886N</v>
      </c>
      <c r="S484">
        <v>114</v>
      </c>
      <c r="U484" t="str">
        <v>16689A</v>
      </c>
      <c r="V484" t="str">
        <v>8675F</v>
      </c>
      <c r="W484">
        <v>99</v>
      </c>
    </row>
    <row r="485" spans="1:23" x14ac:dyDescent="0.3">
      <c r="A485" s="3" t="s">
        <v>454</v>
      </c>
      <c r="B485" s="3" t="s">
        <v>456</v>
      </c>
      <c r="C485" s="3" t="s">
        <v>421</v>
      </c>
      <c r="D485" s="3" t="s">
        <v>411</v>
      </c>
      <c r="E485" s="3">
        <v>53</v>
      </c>
      <c r="F485" s="3">
        <v>53</v>
      </c>
      <c r="G485" s="3">
        <v>115</v>
      </c>
      <c r="H485" s="3">
        <v>115</v>
      </c>
      <c r="K485" t="str">
        <v>10N</v>
      </c>
      <c r="L485">
        <v>114</v>
      </c>
      <c r="N485" t="str">
        <v>609A</v>
      </c>
      <c r="O485" t="str">
        <v>8675V</v>
      </c>
      <c r="P485">
        <v>90</v>
      </c>
      <c r="R485" t="str">
        <v>10N</v>
      </c>
      <c r="S485">
        <v>114</v>
      </c>
      <c r="U485" t="str">
        <v>6526H</v>
      </c>
      <c r="V485" t="str">
        <v>98040C</v>
      </c>
      <c r="W485">
        <v>80</v>
      </c>
    </row>
    <row r="486" spans="1:23" x14ac:dyDescent="0.3">
      <c r="A486" s="3" t="s">
        <v>390</v>
      </c>
      <c r="B486" s="3" t="s">
        <v>453</v>
      </c>
      <c r="C486" s="3" t="s">
        <v>408</v>
      </c>
      <c r="D486" s="3" t="s">
        <v>446</v>
      </c>
      <c r="E486" s="3">
        <v>93</v>
      </c>
      <c r="F486" s="3">
        <v>93</v>
      </c>
      <c r="G486" s="3">
        <v>115</v>
      </c>
      <c r="H486" s="3">
        <v>115</v>
      </c>
      <c r="K486" t="str">
        <v>47874A</v>
      </c>
      <c r="L486">
        <v>86</v>
      </c>
      <c r="N486" t="str">
        <v>84141X</v>
      </c>
      <c r="O486" t="str">
        <v>98225M</v>
      </c>
      <c r="P486">
        <v>62</v>
      </c>
      <c r="R486" t="str">
        <v>47874A</v>
      </c>
      <c r="S486">
        <v>86</v>
      </c>
      <c r="U486" t="str">
        <v>537K</v>
      </c>
      <c r="V486" t="str">
        <v>938R</v>
      </c>
      <c r="W486">
        <v>42</v>
      </c>
    </row>
    <row r="487" spans="1:23" x14ac:dyDescent="0.3">
      <c r="A487" s="3" t="s">
        <v>413</v>
      </c>
      <c r="B487" s="3" t="s">
        <v>424</v>
      </c>
      <c r="C487" s="3" t="s">
        <v>460</v>
      </c>
      <c r="D487" s="3" t="s">
        <v>442</v>
      </c>
      <c r="E487" s="3">
        <v>65</v>
      </c>
      <c r="F487" s="3">
        <v>65</v>
      </c>
      <c r="G487" s="3">
        <v>57</v>
      </c>
      <c r="H487" s="3">
        <v>57</v>
      </c>
      <c r="K487" t="str">
        <v>7899A</v>
      </c>
      <c r="L487">
        <v>86</v>
      </c>
      <c r="N487" t="str">
        <v>5155A</v>
      </c>
      <c r="O487" t="str">
        <v>7700H</v>
      </c>
      <c r="P487">
        <v>200</v>
      </c>
      <c r="R487" t="str">
        <v>7899A</v>
      </c>
      <c r="S487">
        <v>86</v>
      </c>
      <c r="U487" t="str">
        <v>229V</v>
      </c>
      <c r="V487" t="str">
        <v>7899B</v>
      </c>
      <c r="W487">
        <v>132</v>
      </c>
    </row>
    <row r="488" spans="1:23" x14ac:dyDescent="0.3">
      <c r="A488" s="3" t="s">
        <v>414</v>
      </c>
      <c r="B488" s="3" t="s">
        <v>449</v>
      </c>
      <c r="C488" s="3" t="s">
        <v>401</v>
      </c>
      <c r="D488" s="3" t="s">
        <v>451</v>
      </c>
      <c r="E488" s="3">
        <v>54</v>
      </c>
      <c r="F488" s="3">
        <v>54</v>
      </c>
      <c r="G488" s="3">
        <v>62</v>
      </c>
      <c r="H488" s="3">
        <v>62</v>
      </c>
      <c r="K488" t="str">
        <v>16689X</v>
      </c>
      <c r="L488">
        <v>139</v>
      </c>
      <c r="N488" t="str">
        <v>1023E</v>
      </c>
      <c r="O488" t="str">
        <v>917A</v>
      </c>
      <c r="P488">
        <v>89</v>
      </c>
      <c r="R488" t="str">
        <v>16689X</v>
      </c>
      <c r="S488">
        <v>139</v>
      </c>
      <c r="U488" t="str">
        <v>2681A</v>
      </c>
      <c r="V488" t="str">
        <v>6526D</v>
      </c>
      <c r="W488">
        <v>22</v>
      </c>
    </row>
    <row r="489" spans="1:23" x14ac:dyDescent="0.3">
      <c r="A489" s="3" t="s">
        <v>395</v>
      </c>
      <c r="B489" s="3" t="s">
        <v>409</v>
      </c>
      <c r="C489" s="3" t="s">
        <v>388</v>
      </c>
      <c r="D489" s="3" t="s">
        <v>441</v>
      </c>
      <c r="E489" s="3">
        <v>42</v>
      </c>
      <c r="F489" s="3">
        <v>42</v>
      </c>
      <c r="G489" s="3">
        <v>65</v>
      </c>
      <c r="H489" s="3">
        <v>65</v>
      </c>
      <c r="K489" t="str">
        <v>920B</v>
      </c>
      <c r="L489">
        <v>139</v>
      </c>
      <c r="N489" t="str">
        <v>44244N</v>
      </c>
      <c r="O489" t="str">
        <v>1698Y</v>
      </c>
      <c r="P489">
        <v>47</v>
      </c>
      <c r="R489" t="str">
        <v>920B</v>
      </c>
      <c r="S489">
        <v>139</v>
      </c>
      <c r="U489" t="str">
        <v>1023E</v>
      </c>
      <c r="V489" t="str">
        <v>10F</v>
      </c>
      <c r="W489">
        <v>114</v>
      </c>
    </row>
    <row r="490" spans="1:23" x14ac:dyDescent="0.3">
      <c r="A490" s="3" t="s">
        <v>398</v>
      </c>
      <c r="B490" s="3" t="s">
        <v>443</v>
      </c>
      <c r="C490" s="3" t="s">
        <v>455</v>
      </c>
      <c r="D490" s="3" t="s">
        <v>406</v>
      </c>
      <c r="E490" s="3">
        <v>77</v>
      </c>
      <c r="F490" s="3">
        <v>77</v>
      </c>
      <c r="G490" s="3">
        <v>60</v>
      </c>
      <c r="H490" s="3">
        <v>60</v>
      </c>
      <c r="K490" t="str">
        <v>12516A</v>
      </c>
      <c r="L490">
        <v>56</v>
      </c>
      <c r="N490" t="str">
        <v>938R</v>
      </c>
      <c r="O490" t="str">
        <v>10F</v>
      </c>
      <c r="P490">
        <v>41</v>
      </c>
      <c r="R490" t="str">
        <v>12516A</v>
      </c>
      <c r="S490">
        <v>56</v>
      </c>
      <c r="U490" t="str">
        <v>16689E</v>
      </c>
      <c r="V490" t="str">
        <v>3512B</v>
      </c>
      <c r="W490">
        <v>62</v>
      </c>
    </row>
    <row r="491" spans="1:23" x14ac:dyDescent="0.3">
      <c r="A491" s="3" t="s">
        <v>439</v>
      </c>
      <c r="B491" s="3" t="s">
        <v>407</v>
      </c>
      <c r="C491" s="3" t="s">
        <v>461</v>
      </c>
      <c r="D491" s="3" t="s">
        <v>452</v>
      </c>
      <c r="E491" s="3">
        <v>24</v>
      </c>
      <c r="F491" s="3">
        <v>24</v>
      </c>
      <c r="G491" s="3">
        <v>80</v>
      </c>
      <c r="H491" s="3">
        <v>80</v>
      </c>
      <c r="K491" t="str">
        <v>938E</v>
      </c>
      <c r="L491">
        <v>56</v>
      </c>
      <c r="N491" t="str">
        <v>6526D</v>
      </c>
      <c r="O491" t="str">
        <v>10M</v>
      </c>
      <c r="P491">
        <v>105</v>
      </c>
      <c r="R491" t="str">
        <v>938E</v>
      </c>
      <c r="S491">
        <v>56</v>
      </c>
      <c r="U491" t="str">
        <v>10C</v>
      </c>
      <c r="V491" t="str">
        <v>502A</v>
      </c>
      <c r="W491">
        <v>65</v>
      </c>
    </row>
    <row r="492" spans="1:23" x14ac:dyDescent="0.3">
      <c r="A492" s="3" t="s">
        <v>431</v>
      </c>
      <c r="B492" s="3" t="s">
        <v>397</v>
      </c>
      <c r="C492" s="3" t="s">
        <v>427</v>
      </c>
      <c r="D492" s="3" t="s">
        <v>416</v>
      </c>
      <c r="E492" s="3">
        <v>30</v>
      </c>
      <c r="F492" s="3">
        <v>30</v>
      </c>
      <c r="G492" s="3">
        <v>174</v>
      </c>
      <c r="H492" s="3">
        <v>174</v>
      </c>
      <c r="K492" t="str">
        <v>1469A</v>
      </c>
      <c r="L492">
        <v>121</v>
      </c>
      <c r="N492" t="str">
        <v>1687C</v>
      </c>
      <c r="O492" t="str">
        <v>98040C</v>
      </c>
      <c r="P492">
        <v>134</v>
      </c>
      <c r="R492" t="str">
        <v>1469A</v>
      </c>
      <c r="S492">
        <v>121</v>
      </c>
      <c r="U492" t="str">
        <v>10A</v>
      </c>
      <c r="V492" t="str">
        <v>10M</v>
      </c>
      <c r="W492">
        <v>115</v>
      </c>
    </row>
    <row r="493" spans="1:23" x14ac:dyDescent="0.3">
      <c r="A493" s="3" t="s">
        <v>404</v>
      </c>
      <c r="B493" s="3" t="s">
        <v>429</v>
      </c>
      <c r="C493" s="3" t="s">
        <v>456</v>
      </c>
      <c r="D493" s="3" t="s">
        <v>387</v>
      </c>
      <c r="E493" s="3">
        <v>77</v>
      </c>
      <c r="F493" s="3">
        <v>77</v>
      </c>
      <c r="G493" s="3">
        <v>68</v>
      </c>
      <c r="H493" s="3">
        <v>68</v>
      </c>
      <c r="K493" t="str">
        <v>10K</v>
      </c>
      <c r="L493">
        <v>121</v>
      </c>
      <c r="N493" t="str">
        <v>938F</v>
      </c>
      <c r="O493" t="str">
        <v>84141A</v>
      </c>
      <c r="P493">
        <v>70</v>
      </c>
      <c r="R493" t="str">
        <v>10K</v>
      </c>
      <c r="S493">
        <v>121</v>
      </c>
      <c r="U493" t="str">
        <v>9364C</v>
      </c>
      <c r="V493" t="str">
        <v>84141A</v>
      </c>
      <c r="W493">
        <v>88</v>
      </c>
    </row>
    <row r="494" spans="1:23" x14ac:dyDescent="0.3">
      <c r="A494" s="3" t="s">
        <v>408</v>
      </c>
      <c r="B494" s="3" t="s">
        <v>419</v>
      </c>
      <c r="C494" s="3" t="s">
        <v>426</v>
      </c>
      <c r="D494" s="3" t="s">
        <v>447</v>
      </c>
      <c r="E494" s="3">
        <v>85</v>
      </c>
      <c r="F494" s="3">
        <v>85</v>
      </c>
      <c r="G494" s="3">
        <v>75</v>
      </c>
      <c r="H494" s="3">
        <v>75</v>
      </c>
      <c r="K494" t="str">
        <v>3583A</v>
      </c>
      <c r="L494">
        <v>118</v>
      </c>
      <c r="N494" t="str">
        <v>98225H</v>
      </c>
      <c r="O494" t="str">
        <v>16689Z</v>
      </c>
      <c r="P494">
        <v>27</v>
      </c>
      <c r="R494" t="str">
        <v>3583A</v>
      </c>
      <c r="S494">
        <v>118</v>
      </c>
      <c r="U494" t="str">
        <v>47874J</v>
      </c>
      <c r="V494" t="str">
        <v>938C</v>
      </c>
      <c r="W494">
        <v>119</v>
      </c>
    </row>
    <row r="495" spans="1:23" x14ac:dyDescent="0.3">
      <c r="A495" s="3" t="s">
        <v>392</v>
      </c>
      <c r="B495" s="3" t="s">
        <v>424</v>
      </c>
      <c r="C495" s="3" t="s">
        <v>436</v>
      </c>
      <c r="D495" s="3" t="s">
        <v>428</v>
      </c>
      <c r="E495" s="3">
        <v>29</v>
      </c>
      <c r="F495" s="3">
        <v>29</v>
      </c>
      <c r="G495" s="3">
        <v>129</v>
      </c>
      <c r="H495" s="3">
        <v>129</v>
      </c>
      <c r="K495" t="str">
        <v>1091A</v>
      </c>
      <c r="L495">
        <v>118</v>
      </c>
      <c r="N495" t="str">
        <v>3512E</v>
      </c>
      <c r="O495" t="str">
        <v>99621A</v>
      </c>
      <c r="P495">
        <v>85</v>
      </c>
      <c r="R495" t="str">
        <v>1091A</v>
      </c>
      <c r="S495">
        <v>118</v>
      </c>
      <c r="U495" t="str">
        <v>51581E</v>
      </c>
      <c r="V495" t="str">
        <v>609A</v>
      </c>
      <c r="W495">
        <v>46</v>
      </c>
    </row>
    <row r="496" spans="1:23" x14ac:dyDescent="0.3">
      <c r="A496" s="3" t="s">
        <v>401</v>
      </c>
      <c r="B496" s="3" t="s">
        <v>388</v>
      </c>
      <c r="C496" s="3" t="s">
        <v>413</v>
      </c>
      <c r="D496" s="3" t="s">
        <v>457</v>
      </c>
      <c r="E496" s="3">
        <v>111</v>
      </c>
      <c r="F496" s="3">
        <v>111</v>
      </c>
      <c r="G496" s="3">
        <v>120</v>
      </c>
      <c r="H496" s="3">
        <v>120</v>
      </c>
      <c r="K496" t="str">
        <v>604X</v>
      </c>
      <c r="L496">
        <v>52</v>
      </c>
      <c r="N496" t="str">
        <v>938A</v>
      </c>
      <c r="O496" t="str">
        <v>1258V</v>
      </c>
      <c r="P496">
        <v>92</v>
      </c>
      <c r="R496" t="str">
        <v>604X</v>
      </c>
      <c r="S496">
        <v>52</v>
      </c>
      <c r="U496" t="str">
        <v>1000A</v>
      </c>
      <c r="V496" t="str">
        <v>917A</v>
      </c>
      <c r="W496">
        <v>72</v>
      </c>
    </row>
    <row r="497" spans="1:23" x14ac:dyDescent="0.3">
      <c r="A497" s="3" t="s">
        <v>421</v>
      </c>
      <c r="B497" s="3" t="s">
        <v>399</v>
      </c>
      <c r="C497" s="3" t="s">
        <v>448</v>
      </c>
      <c r="D497" s="3" t="s">
        <v>432</v>
      </c>
      <c r="E497" s="3">
        <v>136</v>
      </c>
      <c r="F497" s="3">
        <v>136</v>
      </c>
      <c r="G497" s="3">
        <v>137</v>
      </c>
      <c r="H497" s="3">
        <v>137</v>
      </c>
      <c r="K497" t="str">
        <v>938M</v>
      </c>
      <c r="L497">
        <v>52</v>
      </c>
      <c r="N497" t="str">
        <v>938U</v>
      </c>
      <c r="O497" t="str">
        <v>1168A</v>
      </c>
      <c r="P497">
        <v>105</v>
      </c>
      <c r="R497" t="str">
        <v>938M</v>
      </c>
      <c r="S497">
        <v>52</v>
      </c>
      <c r="U497" t="str">
        <v>938U</v>
      </c>
      <c r="V497" t="str">
        <v>938K</v>
      </c>
      <c r="W497">
        <v>106</v>
      </c>
    </row>
    <row r="498" spans="1:23" x14ac:dyDescent="0.3">
      <c r="A498" s="3" t="s">
        <v>443</v>
      </c>
      <c r="B498" s="3" t="s">
        <v>460</v>
      </c>
      <c r="C498" s="3" t="s">
        <v>411</v>
      </c>
      <c r="D498" s="3" t="s">
        <v>434</v>
      </c>
      <c r="E498" s="3">
        <v>98</v>
      </c>
      <c r="F498" s="3">
        <v>98</v>
      </c>
      <c r="G498" s="3">
        <v>22</v>
      </c>
      <c r="H498" s="3">
        <v>22</v>
      </c>
      <c r="K498" t="str">
        <v>8931R</v>
      </c>
      <c r="L498">
        <v>91</v>
      </c>
      <c r="N498" t="str">
        <v>51777H</v>
      </c>
      <c r="O498" t="str">
        <v>8675F</v>
      </c>
      <c r="P498">
        <v>110</v>
      </c>
      <c r="R498" t="str">
        <v>8931R</v>
      </c>
      <c r="S498">
        <v>91</v>
      </c>
      <c r="U498" t="str">
        <v>938X</v>
      </c>
      <c r="V498" t="str">
        <v>90385G</v>
      </c>
      <c r="W498">
        <v>74</v>
      </c>
    </row>
    <row r="499" spans="1:23" x14ac:dyDescent="0.3">
      <c r="A499" s="3" t="s">
        <v>423</v>
      </c>
      <c r="B499" s="3" t="s">
        <v>446</v>
      </c>
      <c r="C499" s="3" t="s">
        <v>455</v>
      </c>
      <c r="D499" s="3" t="s">
        <v>396</v>
      </c>
      <c r="E499" s="3">
        <v>79</v>
      </c>
      <c r="F499" s="3">
        <v>79</v>
      </c>
      <c r="G499" s="3">
        <v>65</v>
      </c>
      <c r="H499" s="3">
        <v>65</v>
      </c>
      <c r="K499" t="str">
        <v>16689D</v>
      </c>
      <c r="L499">
        <v>91</v>
      </c>
      <c r="N499" t="str">
        <v>10012G</v>
      </c>
      <c r="O499" t="str">
        <v>10J</v>
      </c>
      <c r="P499">
        <v>115</v>
      </c>
      <c r="R499" t="str">
        <v>16689D</v>
      </c>
      <c r="S499">
        <v>91</v>
      </c>
      <c r="U499" t="str">
        <v>7899B</v>
      </c>
      <c r="V499" t="str">
        <v>938H</v>
      </c>
      <c r="W499">
        <v>71</v>
      </c>
    </row>
    <row r="500" spans="1:23" x14ac:dyDescent="0.3">
      <c r="A500" s="3" t="s">
        <v>433</v>
      </c>
      <c r="B500" s="3" t="s">
        <v>409</v>
      </c>
      <c r="C500" s="3" t="s">
        <v>451</v>
      </c>
      <c r="D500" s="3" t="s">
        <v>417</v>
      </c>
      <c r="E500" s="3">
        <v>116</v>
      </c>
      <c r="F500" s="3">
        <v>116</v>
      </c>
      <c r="G500" s="3">
        <v>62</v>
      </c>
      <c r="H500" s="3">
        <v>62</v>
      </c>
      <c r="K500" t="str">
        <v>6526E</v>
      </c>
      <c r="L500">
        <v>72</v>
      </c>
      <c r="N500" t="str">
        <v>6526H</v>
      </c>
      <c r="O500" t="str">
        <v>229V</v>
      </c>
      <c r="P500">
        <v>115</v>
      </c>
      <c r="R500" t="str">
        <v>6526E</v>
      </c>
      <c r="S500">
        <v>72</v>
      </c>
      <c r="U500" t="str">
        <v>652A</v>
      </c>
      <c r="V500" t="str">
        <v>10J</v>
      </c>
      <c r="W500">
        <v>95</v>
      </c>
    </row>
    <row r="501" spans="1:23" x14ac:dyDescent="0.3">
      <c r="A501" s="3" t="s">
        <v>418</v>
      </c>
      <c r="B501" s="3" t="s">
        <v>406</v>
      </c>
      <c r="C501" s="3" t="s">
        <v>393</v>
      </c>
      <c r="D501" s="3" t="s">
        <v>414</v>
      </c>
      <c r="E501" s="3">
        <v>57</v>
      </c>
      <c r="F501" s="3">
        <v>57</v>
      </c>
      <c r="G501" s="3">
        <v>95</v>
      </c>
      <c r="H501" s="3">
        <v>95</v>
      </c>
      <c r="K501" t="str">
        <v>938P</v>
      </c>
      <c r="L501">
        <v>72</v>
      </c>
      <c r="N501" t="str">
        <v>66475C</v>
      </c>
      <c r="O501" t="str">
        <v>5327K</v>
      </c>
      <c r="P501">
        <v>57</v>
      </c>
      <c r="R501" t="str">
        <v>938P</v>
      </c>
      <c r="S501">
        <v>72</v>
      </c>
      <c r="U501" t="str">
        <v>2681A</v>
      </c>
      <c r="V501" t="str">
        <v>229V</v>
      </c>
      <c r="W501">
        <v>223</v>
      </c>
    </row>
    <row r="502" spans="1:23" x14ac:dyDescent="0.3">
      <c r="A502" s="3" t="s">
        <v>398</v>
      </c>
      <c r="B502" s="3" t="s">
        <v>422</v>
      </c>
      <c r="C502" s="3" t="s">
        <v>437</v>
      </c>
      <c r="D502" s="3" t="s">
        <v>402</v>
      </c>
      <c r="E502" s="3">
        <v>86</v>
      </c>
      <c r="F502" s="3">
        <v>86</v>
      </c>
      <c r="G502" s="3">
        <v>89</v>
      </c>
      <c r="H502" s="3">
        <v>89</v>
      </c>
      <c r="K502" t="str">
        <v>44244S</v>
      </c>
      <c r="L502">
        <v>144</v>
      </c>
      <c r="N502" t="str">
        <v>7899B</v>
      </c>
      <c r="O502" t="str">
        <v>938N</v>
      </c>
      <c r="P502">
        <v>62</v>
      </c>
      <c r="R502" t="str">
        <v>44244S</v>
      </c>
      <c r="S502">
        <v>144</v>
      </c>
      <c r="U502" t="str">
        <v>938R</v>
      </c>
      <c r="V502" t="str">
        <v>3512E</v>
      </c>
      <c r="W502">
        <v>37</v>
      </c>
    </row>
    <row r="503" spans="1:23" x14ac:dyDescent="0.3">
      <c r="A503" s="3" t="s">
        <v>444</v>
      </c>
      <c r="B503" s="3" t="s">
        <v>458</v>
      </c>
      <c r="C503" s="3" t="s">
        <v>395</v>
      </c>
      <c r="D503" s="3" t="s">
        <v>389</v>
      </c>
      <c r="E503" s="3">
        <v>67</v>
      </c>
      <c r="F503" s="3">
        <v>67</v>
      </c>
      <c r="G503" s="3">
        <v>119</v>
      </c>
      <c r="H503" s="3">
        <v>119</v>
      </c>
      <c r="K503" t="str">
        <v>51581S</v>
      </c>
      <c r="L503">
        <v>144</v>
      </c>
      <c r="N503" t="str">
        <v>90385G</v>
      </c>
      <c r="O503" t="str">
        <v>1000A</v>
      </c>
      <c r="P503">
        <v>65</v>
      </c>
      <c r="R503" t="str">
        <v>51581S</v>
      </c>
      <c r="S503">
        <v>144</v>
      </c>
      <c r="U503" t="str">
        <v>1023E</v>
      </c>
      <c r="V503" t="str">
        <v>6526H</v>
      </c>
      <c r="W503">
        <v>93</v>
      </c>
    </row>
    <row r="504" spans="1:23" x14ac:dyDescent="0.3">
      <c r="A504" s="3" t="s">
        <v>390</v>
      </c>
      <c r="B504" s="3" t="s">
        <v>403</v>
      </c>
      <c r="C504" s="3" t="s">
        <v>449</v>
      </c>
      <c r="D504" s="3" t="s">
        <v>442</v>
      </c>
      <c r="E504" s="3">
        <v>116</v>
      </c>
      <c r="F504" s="3">
        <v>116</v>
      </c>
      <c r="G504" s="3">
        <v>64</v>
      </c>
      <c r="H504" s="3">
        <v>64</v>
      </c>
      <c r="K504" t="str">
        <v>98225F</v>
      </c>
      <c r="L504">
        <v>72</v>
      </c>
      <c r="N504" t="str">
        <v>10A</v>
      </c>
      <c r="O504" t="str">
        <v>2681A</v>
      </c>
      <c r="P504">
        <v>60</v>
      </c>
      <c r="R504" t="str">
        <v>98225F</v>
      </c>
      <c r="S504">
        <v>72</v>
      </c>
      <c r="U504" t="str">
        <v>8675V</v>
      </c>
      <c r="V504" t="str">
        <v>1168A</v>
      </c>
      <c r="W504">
        <v>104</v>
      </c>
    </row>
    <row r="505" spans="1:23" x14ac:dyDescent="0.3">
      <c r="A505" s="3" t="s">
        <v>412</v>
      </c>
      <c r="B505" s="3" t="s">
        <v>441</v>
      </c>
      <c r="C505" s="3" t="s">
        <v>438</v>
      </c>
      <c r="D505" s="3" t="s">
        <v>453</v>
      </c>
      <c r="E505" s="3">
        <v>103</v>
      </c>
      <c r="F505" s="3">
        <v>103</v>
      </c>
      <c r="G505" s="3">
        <v>75</v>
      </c>
      <c r="H505" s="3">
        <v>75</v>
      </c>
      <c r="K505" t="str">
        <v>7700E</v>
      </c>
      <c r="L505">
        <v>72</v>
      </c>
      <c r="N505" t="str">
        <v>1258V</v>
      </c>
      <c r="O505" t="str">
        <v>3512E</v>
      </c>
      <c r="P505">
        <v>80</v>
      </c>
      <c r="R505" t="str">
        <v>7700E</v>
      </c>
      <c r="S505">
        <v>72</v>
      </c>
      <c r="U505" t="str">
        <v>5327K</v>
      </c>
      <c r="V505" t="str">
        <v>16689A</v>
      </c>
      <c r="W505">
        <v>109</v>
      </c>
    </row>
    <row r="506" spans="1:23" x14ac:dyDescent="0.3">
      <c r="A506" s="3" t="s">
        <v>454</v>
      </c>
      <c r="B506" s="3" t="s">
        <v>394</v>
      </c>
      <c r="C506" s="3" t="s">
        <v>443</v>
      </c>
      <c r="D506" s="3" t="s">
        <v>461</v>
      </c>
      <c r="E506" s="3">
        <v>87</v>
      </c>
      <c r="F506" s="3">
        <v>87</v>
      </c>
      <c r="G506" s="3">
        <v>97</v>
      </c>
      <c r="H506" s="3">
        <v>97</v>
      </c>
      <c r="K506" t="str">
        <v>10E</v>
      </c>
      <c r="L506">
        <v>52</v>
      </c>
      <c r="N506" t="str">
        <v>9364C</v>
      </c>
      <c r="O506" t="str">
        <v>1687C</v>
      </c>
      <c r="P506">
        <v>174</v>
      </c>
      <c r="R506" t="str">
        <v>10E</v>
      </c>
      <c r="S506">
        <v>52</v>
      </c>
      <c r="U506" t="str">
        <v>938K</v>
      </c>
      <c r="V506" t="str">
        <v>99621A</v>
      </c>
      <c r="W506">
        <v>39</v>
      </c>
    </row>
    <row r="507" spans="1:23" x14ac:dyDescent="0.3">
      <c r="A507" s="3" t="s">
        <v>457</v>
      </c>
      <c r="B507" s="3" t="s">
        <v>448</v>
      </c>
      <c r="C507" s="3" t="s">
        <v>460</v>
      </c>
      <c r="D507" s="3" t="s">
        <v>396</v>
      </c>
      <c r="E507" s="3">
        <v>78</v>
      </c>
      <c r="F507" s="3">
        <v>78</v>
      </c>
      <c r="G507" s="3">
        <v>102</v>
      </c>
      <c r="H507" s="3">
        <v>102</v>
      </c>
      <c r="K507" t="str">
        <v>2605B</v>
      </c>
      <c r="L507">
        <v>52</v>
      </c>
      <c r="N507" t="str">
        <v>3512B</v>
      </c>
      <c r="O507" t="str">
        <v>51581E</v>
      </c>
      <c r="P507">
        <v>68</v>
      </c>
      <c r="R507" t="str">
        <v>2605B</v>
      </c>
      <c r="S507">
        <v>52</v>
      </c>
      <c r="U507" t="str">
        <v>47000X</v>
      </c>
      <c r="V507" t="str">
        <v>5155A</v>
      </c>
      <c r="W507">
        <v>123</v>
      </c>
    </row>
    <row r="508" spans="1:23" x14ac:dyDescent="0.3">
      <c r="A508" s="3" t="s">
        <v>436</v>
      </c>
      <c r="B508" s="3" t="s">
        <v>413</v>
      </c>
      <c r="C508" s="3" t="s">
        <v>418</v>
      </c>
      <c r="D508" s="3" t="s">
        <v>433</v>
      </c>
      <c r="E508" s="3">
        <v>123</v>
      </c>
      <c r="F508" s="3">
        <v>123</v>
      </c>
      <c r="G508" s="3">
        <v>87</v>
      </c>
      <c r="H508" s="3">
        <v>87</v>
      </c>
      <c r="K508" t="str">
        <v>1010W</v>
      </c>
      <c r="L508">
        <v>143</v>
      </c>
      <c r="N508" t="str">
        <v>1698Y</v>
      </c>
      <c r="O508" t="str">
        <v>98225H</v>
      </c>
      <c r="P508">
        <v>75</v>
      </c>
      <c r="R508" t="str">
        <v>1010W</v>
      </c>
      <c r="S508">
        <v>143</v>
      </c>
      <c r="U508" t="str">
        <v>7784W</v>
      </c>
      <c r="V508" t="str">
        <v>9805A</v>
      </c>
      <c r="W508">
        <v>41</v>
      </c>
    </row>
    <row r="509" spans="1:23" x14ac:dyDescent="0.3">
      <c r="A509" s="3" t="s">
        <v>393</v>
      </c>
      <c r="B509" s="3" t="s">
        <v>451</v>
      </c>
      <c r="C509" s="3" t="s">
        <v>437</v>
      </c>
      <c r="D509" s="3" t="s">
        <v>446</v>
      </c>
      <c r="E509" s="3">
        <v>27</v>
      </c>
      <c r="F509" s="3">
        <v>27</v>
      </c>
      <c r="G509" s="3">
        <v>130</v>
      </c>
      <c r="H509" s="3">
        <v>130</v>
      </c>
      <c r="K509" t="str">
        <v>938G</v>
      </c>
      <c r="L509">
        <v>143</v>
      </c>
      <c r="N509" t="str">
        <v>1168A</v>
      </c>
      <c r="O509" t="str">
        <v>652A</v>
      </c>
      <c r="P509">
        <v>129</v>
      </c>
      <c r="R509" t="str">
        <v>938G</v>
      </c>
      <c r="S509">
        <v>143</v>
      </c>
      <c r="U509" t="str">
        <v>84141X</v>
      </c>
      <c r="V509" t="str">
        <v>8675F</v>
      </c>
      <c r="W509">
        <v>104</v>
      </c>
    </row>
    <row r="510" spans="1:23" x14ac:dyDescent="0.3">
      <c r="A510" s="3" t="s">
        <v>395</v>
      </c>
      <c r="B510" s="3" t="s">
        <v>417</v>
      </c>
      <c r="C510" s="3" t="s">
        <v>401</v>
      </c>
      <c r="D510" s="3" t="s">
        <v>422</v>
      </c>
      <c r="E510" s="3">
        <v>112</v>
      </c>
      <c r="F510" s="3">
        <v>112</v>
      </c>
      <c r="G510" s="3">
        <v>125</v>
      </c>
      <c r="H510" s="3">
        <v>125</v>
      </c>
      <c r="K510" t="str">
        <v>80001B</v>
      </c>
      <c r="L510">
        <v>0</v>
      </c>
      <c r="N510" t="str">
        <v>938C</v>
      </c>
      <c r="O510" t="str">
        <v>1023E</v>
      </c>
      <c r="P510">
        <v>120</v>
      </c>
      <c r="R510" t="str">
        <v>80001B</v>
      </c>
      <c r="S510">
        <v>0</v>
      </c>
      <c r="U510" t="str">
        <v>537K</v>
      </c>
      <c r="V510" t="str">
        <v>7700H</v>
      </c>
      <c r="W510">
        <v>120</v>
      </c>
    </row>
    <row r="511" spans="1:23" x14ac:dyDescent="0.3">
      <c r="A511" s="3" t="s">
        <v>392</v>
      </c>
      <c r="B511" s="3" t="s">
        <v>452</v>
      </c>
      <c r="C511" s="3" t="s">
        <v>398</v>
      </c>
      <c r="D511" s="3" t="s">
        <v>390</v>
      </c>
      <c r="E511" s="3">
        <v>47</v>
      </c>
      <c r="F511" s="3">
        <v>47</v>
      </c>
      <c r="G511" s="3">
        <v>53</v>
      </c>
      <c r="H511" s="3">
        <v>53</v>
      </c>
      <c r="K511" t="str">
        <v>5233J</v>
      </c>
      <c r="L511">
        <v>0</v>
      </c>
      <c r="N511" t="str">
        <v>84141X</v>
      </c>
      <c r="O511" t="str">
        <v>16689Z</v>
      </c>
      <c r="P511">
        <v>137</v>
      </c>
      <c r="R511" t="str">
        <v>5233J</v>
      </c>
      <c r="S511">
        <v>0</v>
      </c>
      <c r="U511" t="str">
        <v>10012G</v>
      </c>
      <c r="V511" t="str">
        <v>10X</v>
      </c>
      <c r="W511">
        <v>138</v>
      </c>
    </row>
    <row r="512" spans="1:23" x14ac:dyDescent="0.3">
      <c r="A512" s="3" t="s">
        <v>408</v>
      </c>
      <c r="B512" s="3" t="s">
        <v>412</v>
      </c>
      <c r="C512" s="3" t="s">
        <v>429</v>
      </c>
      <c r="D512" s="3" t="s">
        <v>397</v>
      </c>
      <c r="E512" s="3">
        <v>100</v>
      </c>
      <c r="F512" s="3">
        <v>100</v>
      </c>
      <c r="G512" s="3">
        <v>71</v>
      </c>
      <c r="H512" s="3">
        <v>71</v>
      </c>
      <c r="K512" t="str">
        <v>10N</v>
      </c>
      <c r="L512">
        <v>83</v>
      </c>
      <c r="N512" t="str">
        <v>10J</v>
      </c>
      <c r="O512" t="str">
        <v>9805A</v>
      </c>
      <c r="P512">
        <v>22</v>
      </c>
      <c r="R512" t="str">
        <v>10N</v>
      </c>
      <c r="S512">
        <v>83</v>
      </c>
      <c r="U512" t="str">
        <v>99621C</v>
      </c>
      <c r="V512" t="str">
        <v>10T</v>
      </c>
      <c r="W512">
        <v>80</v>
      </c>
    </row>
    <row r="513" spans="1:23" x14ac:dyDescent="0.3">
      <c r="A513" s="3" t="s">
        <v>453</v>
      </c>
      <c r="B513" s="3" t="s">
        <v>419</v>
      </c>
      <c r="C513" s="3" t="s">
        <v>427</v>
      </c>
      <c r="D513" s="3" t="s">
        <v>444</v>
      </c>
      <c r="E513" s="3">
        <v>109</v>
      </c>
      <c r="F513" s="3">
        <v>109</v>
      </c>
      <c r="G513" s="3">
        <v>109</v>
      </c>
      <c r="H513" s="3">
        <v>109</v>
      </c>
      <c r="K513" t="str">
        <v>8675R</v>
      </c>
      <c r="L513">
        <v>83</v>
      </c>
      <c r="N513" t="str">
        <v>10A</v>
      </c>
      <c r="O513" t="str">
        <v>51777H</v>
      </c>
      <c r="P513">
        <v>65</v>
      </c>
      <c r="R513" t="str">
        <v>8675R</v>
      </c>
      <c r="S513">
        <v>83</v>
      </c>
      <c r="U513" t="str">
        <v>1687C</v>
      </c>
      <c r="V513" t="str">
        <v>9364G</v>
      </c>
      <c r="W513">
        <v>52</v>
      </c>
    </row>
    <row r="514" spans="1:23" x14ac:dyDescent="0.3">
      <c r="A514" s="3" t="s">
        <v>428</v>
      </c>
      <c r="B514" s="3" t="s">
        <v>406</v>
      </c>
      <c r="C514" s="3" t="s">
        <v>431</v>
      </c>
      <c r="D514" s="3" t="s">
        <v>441</v>
      </c>
      <c r="E514" s="3">
        <v>100</v>
      </c>
      <c r="F514" s="3">
        <v>100</v>
      </c>
      <c r="G514" s="3">
        <v>70</v>
      </c>
      <c r="H514" s="3">
        <v>70</v>
      </c>
      <c r="K514" t="str">
        <v>16689X</v>
      </c>
      <c r="L514">
        <v>150</v>
      </c>
      <c r="N514" t="str">
        <v>938N</v>
      </c>
      <c r="O514" t="str">
        <v>99621A</v>
      </c>
      <c r="P514">
        <v>62</v>
      </c>
      <c r="R514" t="str">
        <v>16689X</v>
      </c>
      <c r="S514">
        <v>150</v>
      </c>
      <c r="U514" t="str">
        <v>66475C</v>
      </c>
      <c r="V514" t="str">
        <v>938A</v>
      </c>
      <c r="W514">
        <v>40</v>
      </c>
    </row>
    <row r="515" spans="1:23" x14ac:dyDescent="0.3">
      <c r="A515" s="3" t="s">
        <v>442</v>
      </c>
      <c r="B515" s="3" t="s">
        <v>416</v>
      </c>
      <c r="C515" s="3" t="s">
        <v>407</v>
      </c>
      <c r="D515" s="3" t="s">
        <v>404</v>
      </c>
      <c r="E515" s="3">
        <v>80</v>
      </c>
      <c r="F515" s="3">
        <v>80</v>
      </c>
      <c r="G515" s="3">
        <v>60</v>
      </c>
      <c r="H515" s="3">
        <v>60</v>
      </c>
      <c r="K515" t="str">
        <v>5327S</v>
      </c>
      <c r="L515">
        <v>150</v>
      </c>
      <c r="N515" t="str">
        <v>938F</v>
      </c>
      <c r="O515" t="str">
        <v>884B</v>
      </c>
      <c r="P515">
        <v>95</v>
      </c>
      <c r="R515" t="str">
        <v>5327S</v>
      </c>
      <c r="S515">
        <v>150</v>
      </c>
      <c r="U515" t="str">
        <v>99621A</v>
      </c>
      <c r="V515" t="str">
        <v>2681A</v>
      </c>
      <c r="W515">
        <v>60</v>
      </c>
    </row>
    <row r="516" spans="1:23" x14ac:dyDescent="0.3">
      <c r="A516" s="3" t="s">
        <v>449</v>
      </c>
      <c r="B516" s="3" t="s">
        <v>402</v>
      </c>
      <c r="C516" s="3" t="s">
        <v>421</v>
      </c>
      <c r="D516" s="3" t="s">
        <v>426</v>
      </c>
      <c r="E516" s="3">
        <v>51</v>
      </c>
      <c r="F516" s="3">
        <v>51</v>
      </c>
      <c r="G516" s="3">
        <v>168</v>
      </c>
      <c r="H516" s="3">
        <v>168</v>
      </c>
      <c r="K516" t="str">
        <v>93199G</v>
      </c>
      <c r="L516">
        <v>87</v>
      </c>
      <c r="N516" t="str">
        <v>16689A</v>
      </c>
      <c r="O516" t="str">
        <v>84141A</v>
      </c>
      <c r="P516">
        <v>89</v>
      </c>
      <c r="R516" t="str">
        <v>93199G</v>
      </c>
      <c r="S516">
        <v>87</v>
      </c>
      <c r="U516" t="str">
        <v>10J</v>
      </c>
      <c r="V516" t="str">
        <v>938H</v>
      </c>
      <c r="W516">
        <v>37</v>
      </c>
    </row>
    <row r="517" spans="1:23" x14ac:dyDescent="0.3">
      <c r="A517" s="3" t="s">
        <v>394</v>
      </c>
      <c r="B517" s="3" t="s">
        <v>423</v>
      </c>
      <c r="C517" s="3" t="s">
        <v>403</v>
      </c>
      <c r="D517" s="3" t="s">
        <v>458</v>
      </c>
      <c r="E517" s="3">
        <v>64</v>
      </c>
      <c r="F517" s="3">
        <v>64</v>
      </c>
      <c r="G517" s="3">
        <v>60</v>
      </c>
      <c r="H517" s="3">
        <v>60</v>
      </c>
      <c r="K517" t="str">
        <v>938B</v>
      </c>
      <c r="L517">
        <v>87</v>
      </c>
      <c r="N517" t="str">
        <v>99621C</v>
      </c>
      <c r="O517" t="str">
        <v>10C</v>
      </c>
      <c r="P517">
        <v>119</v>
      </c>
      <c r="R517" t="str">
        <v>938B</v>
      </c>
      <c r="S517">
        <v>87</v>
      </c>
      <c r="U517" t="str">
        <v>47874J</v>
      </c>
      <c r="V517" t="str">
        <v>8675F</v>
      </c>
      <c r="W517">
        <v>64</v>
      </c>
    </row>
    <row r="518" spans="1:23" x14ac:dyDescent="0.3">
      <c r="A518" s="3" t="s">
        <v>432</v>
      </c>
      <c r="B518" s="3" t="s">
        <v>455</v>
      </c>
      <c r="C518" s="3" t="s">
        <v>424</v>
      </c>
      <c r="D518" s="3" t="s">
        <v>387</v>
      </c>
      <c r="E518" s="3">
        <v>63</v>
      </c>
      <c r="F518" s="3">
        <v>63</v>
      </c>
      <c r="G518" s="3">
        <v>106</v>
      </c>
      <c r="H518" s="3">
        <v>106</v>
      </c>
      <c r="K518" t="str">
        <v>84141B</v>
      </c>
      <c r="L518">
        <v>104</v>
      </c>
      <c r="N518" t="str">
        <v>98225M</v>
      </c>
      <c r="O518" t="str">
        <v>5327K</v>
      </c>
      <c r="P518">
        <v>64</v>
      </c>
      <c r="R518" t="str">
        <v>84141B</v>
      </c>
      <c r="S518">
        <v>104</v>
      </c>
      <c r="U518" t="str">
        <v>7700H</v>
      </c>
      <c r="V518" t="str">
        <v>502A</v>
      </c>
      <c r="W518">
        <v>54</v>
      </c>
    </row>
    <row r="519" spans="1:23" x14ac:dyDescent="0.3">
      <c r="A519" s="3" t="s">
        <v>439</v>
      </c>
      <c r="B519" s="3" t="s">
        <v>434</v>
      </c>
      <c r="C519" s="3" t="s">
        <v>456</v>
      </c>
      <c r="D519" s="3" t="s">
        <v>388</v>
      </c>
      <c r="E519" s="3">
        <v>56</v>
      </c>
      <c r="F519" s="3">
        <v>56</v>
      </c>
      <c r="G519" s="3">
        <v>56</v>
      </c>
      <c r="H519" s="3">
        <v>56</v>
      </c>
      <c r="K519" t="str">
        <v>886N</v>
      </c>
      <c r="L519">
        <v>104</v>
      </c>
      <c r="N519" t="str">
        <v>47874J</v>
      </c>
      <c r="O519" t="str">
        <v>5155A</v>
      </c>
      <c r="P519">
        <v>75</v>
      </c>
      <c r="R519" t="str">
        <v>886N</v>
      </c>
      <c r="S519">
        <v>104</v>
      </c>
      <c r="U519" t="str">
        <v>84141A</v>
      </c>
      <c r="V519" t="str">
        <v>3512E</v>
      </c>
      <c r="W519">
        <v>40</v>
      </c>
    </row>
    <row r="520" spans="1:23" x14ac:dyDescent="0.3">
      <c r="A520" s="3" t="s">
        <v>438</v>
      </c>
      <c r="B520" s="3" t="s">
        <v>411</v>
      </c>
      <c r="C520" s="3" t="s">
        <v>409</v>
      </c>
      <c r="D520" s="3" t="s">
        <v>447</v>
      </c>
      <c r="E520" s="3">
        <v>77</v>
      </c>
      <c r="F520" s="3">
        <v>77</v>
      </c>
      <c r="G520" s="3">
        <v>63</v>
      </c>
      <c r="H520" s="3">
        <v>63</v>
      </c>
      <c r="K520" t="str">
        <v>99621H</v>
      </c>
      <c r="L520">
        <v>63</v>
      </c>
      <c r="N520" t="str">
        <v>609A</v>
      </c>
      <c r="O520" t="str">
        <v>1258V</v>
      </c>
      <c r="P520">
        <v>97</v>
      </c>
      <c r="R520" t="str">
        <v>99621H</v>
      </c>
      <c r="S520">
        <v>63</v>
      </c>
      <c r="U520" t="str">
        <v>3512B</v>
      </c>
      <c r="V520" t="str">
        <v>98225M</v>
      </c>
      <c r="W520">
        <v>25</v>
      </c>
    </row>
    <row r="521" spans="1:23" x14ac:dyDescent="0.3">
      <c r="A521" s="3" t="s">
        <v>389</v>
      </c>
      <c r="B521" s="3" t="s">
        <v>414</v>
      </c>
      <c r="C521" s="3" t="s">
        <v>399</v>
      </c>
      <c r="D521" s="3" t="s">
        <v>454</v>
      </c>
      <c r="E521" s="3">
        <v>98</v>
      </c>
      <c r="F521" s="3">
        <v>98</v>
      </c>
      <c r="G521" s="3">
        <v>37</v>
      </c>
      <c r="H521" s="3">
        <v>37</v>
      </c>
      <c r="K521" t="str">
        <v>10Z</v>
      </c>
      <c r="L521">
        <v>63</v>
      </c>
      <c r="N521" t="str">
        <v>66475C</v>
      </c>
      <c r="O521" t="str">
        <v>51777H</v>
      </c>
      <c r="P521">
        <v>102</v>
      </c>
      <c r="R521" t="str">
        <v>10Z</v>
      </c>
      <c r="S521">
        <v>63</v>
      </c>
      <c r="U521" t="str">
        <v>652A</v>
      </c>
      <c r="V521" t="str">
        <v>7784W</v>
      </c>
      <c r="W521">
        <v>53</v>
      </c>
    </row>
    <row r="522" spans="1:23" x14ac:dyDescent="0.3">
      <c r="A522" s="3" t="s">
        <v>444</v>
      </c>
      <c r="B522" s="3" t="s">
        <v>417</v>
      </c>
      <c r="C522" s="3" t="s">
        <v>437</v>
      </c>
      <c r="D522" s="3" t="s">
        <v>392</v>
      </c>
      <c r="E522" s="3">
        <v>57</v>
      </c>
      <c r="F522" s="3">
        <v>57</v>
      </c>
      <c r="G522" s="3">
        <v>99</v>
      </c>
      <c r="H522" s="3">
        <v>99</v>
      </c>
      <c r="K522" t="str">
        <v>938M</v>
      </c>
      <c r="L522">
        <v>66</v>
      </c>
      <c r="N522" t="str">
        <v>938H</v>
      </c>
      <c r="O522" t="str">
        <v>10X</v>
      </c>
      <c r="P522">
        <v>87</v>
      </c>
      <c r="R522" t="str">
        <v>938M</v>
      </c>
      <c r="S522">
        <v>66</v>
      </c>
      <c r="U522" t="str">
        <v>938F</v>
      </c>
      <c r="V522" t="str">
        <v>44244N</v>
      </c>
      <c r="W522">
        <v>87</v>
      </c>
    </row>
    <row r="523" spans="1:23" x14ac:dyDescent="0.3">
      <c r="A523" s="3" t="s">
        <v>428</v>
      </c>
      <c r="B523" s="3" t="s">
        <v>418</v>
      </c>
      <c r="C523" s="3" t="s">
        <v>408</v>
      </c>
      <c r="D523" s="3" t="s">
        <v>422</v>
      </c>
      <c r="E523" s="3">
        <v>123</v>
      </c>
      <c r="F523" s="3">
        <v>123</v>
      </c>
      <c r="G523" s="3">
        <v>80</v>
      </c>
      <c r="H523" s="3">
        <v>80</v>
      </c>
      <c r="K523" t="str">
        <v>47874R</v>
      </c>
      <c r="L523">
        <v>66</v>
      </c>
      <c r="N523" t="str">
        <v>16689A</v>
      </c>
      <c r="O523" t="str">
        <v>229V</v>
      </c>
      <c r="P523">
        <v>130</v>
      </c>
      <c r="R523" t="str">
        <v>47874R</v>
      </c>
      <c r="S523">
        <v>66</v>
      </c>
      <c r="U523" t="str">
        <v>917A</v>
      </c>
      <c r="V523" t="str">
        <v>51581E</v>
      </c>
      <c r="W523">
        <v>79</v>
      </c>
    </row>
    <row r="524" spans="1:23" x14ac:dyDescent="0.3">
      <c r="A524" s="3" t="s">
        <v>403</v>
      </c>
      <c r="B524" s="3" t="s">
        <v>421</v>
      </c>
      <c r="C524" s="3" t="s">
        <v>419</v>
      </c>
      <c r="D524" s="3" t="s">
        <v>431</v>
      </c>
      <c r="E524" s="3">
        <v>135</v>
      </c>
      <c r="F524" s="3">
        <v>135</v>
      </c>
      <c r="G524" s="3">
        <v>42</v>
      </c>
      <c r="H524" s="3">
        <v>42</v>
      </c>
      <c r="K524" t="str">
        <v>9364D</v>
      </c>
      <c r="L524">
        <v>62</v>
      </c>
      <c r="N524" t="str">
        <v>7899B</v>
      </c>
      <c r="O524" t="str">
        <v>98040C</v>
      </c>
      <c r="P524">
        <v>125</v>
      </c>
      <c r="R524" t="str">
        <v>9364D</v>
      </c>
      <c r="S524">
        <v>62</v>
      </c>
      <c r="U524" t="str">
        <v>10T</v>
      </c>
      <c r="V524" t="str">
        <v>537K</v>
      </c>
      <c r="W524">
        <v>86</v>
      </c>
    </row>
    <row r="525" spans="1:23" x14ac:dyDescent="0.3">
      <c r="A525" s="3" t="s">
        <v>442</v>
      </c>
      <c r="B525" s="3" t="s">
        <v>433</v>
      </c>
      <c r="C525" s="3" t="s">
        <v>446</v>
      </c>
      <c r="D525" s="3" t="s">
        <v>401</v>
      </c>
      <c r="E525" s="3">
        <v>72</v>
      </c>
      <c r="F525" s="3">
        <v>72</v>
      </c>
      <c r="G525" s="3">
        <v>132</v>
      </c>
      <c r="H525" s="3">
        <v>132</v>
      </c>
      <c r="K525" t="str">
        <v>938W</v>
      </c>
      <c r="L525">
        <v>62</v>
      </c>
      <c r="N525" t="str">
        <v>938X</v>
      </c>
      <c r="O525" t="str">
        <v>7784W</v>
      </c>
      <c r="P525">
        <v>53</v>
      </c>
      <c r="R525" t="str">
        <v>938W</v>
      </c>
      <c r="S525">
        <v>62</v>
      </c>
      <c r="U525" t="str">
        <v>938X</v>
      </c>
      <c r="V525" t="str">
        <v>10M</v>
      </c>
      <c r="W525">
        <v>105</v>
      </c>
    </row>
    <row r="526" spans="1:23" x14ac:dyDescent="0.3">
      <c r="A526" s="3" t="s">
        <v>426</v>
      </c>
      <c r="B526" s="3" t="s">
        <v>416</v>
      </c>
      <c r="C526" s="3" t="s">
        <v>406</v>
      </c>
      <c r="D526" s="3" t="s">
        <v>412</v>
      </c>
      <c r="E526" s="3">
        <v>135</v>
      </c>
      <c r="F526" s="3">
        <v>135</v>
      </c>
      <c r="G526" s="3">
        <v>22</v>
      </c>
      <c r="H526" s="3">
        <v>22</v>
      </c>
      <c r="K526" t="str">
        <v>47874A</v>
      </c>
      <c r="L526">
        <v>43</v>
      </c>
      <c r="N526" t="str">
        <v>10T</v>
      </c>
      <c r="O526" t="str">
        <v>938A</v>
      </c>
      <c r="P526">
        <v>71</v>
      </c>
      <c r="R526" t="str">
        <v>47874A</v>
      </c>
      <c r="S526">
        <v>43</v>
      </c>
      <c r="U526" t="str">
        <v>6526D</v>
      </c>
      <c r="V526" t="str">
        <v>938N</v>
      </c>
      <c r="W526">
        <v>86</v>
      </c>
    </row>
    <row r="527" spans="1:23" x14ac:dyDescent="0.3">
      <c r="A527" s="3" t="s">
        <v>451</v>
      </c>
      <c r="B527" s="3" t="s">
        <v>434</v>
      </c>
      <c r="C527" s="3" t="s">
        <v>457</v>
      </c>
      <c r="D527" s="3" t="s">
        <v>407</v>
      </c>
      <c r="E527" s="3">
        <v>49</v>
      </c>
      <c r="F527" s="3">
        <v>49</v>
      </c>
      <c r="G527" s="3">
        <v>114</v>
      </c>
      <c r="H527" s="3">
        <v>114</v>
      </c>
      <c r="K527" t="str">
        <v>609B</v>
      </c>
      <c r="L527">
        <v>43</v>
      </c>
      <c r="N527" t="str">
        <v>9364C</v>
      </c>
      <c r="O527" t="str">
        <v>8675V</v>
      </c>
      <c r="P527">
        <v>109</v>
      </c>
      <c r="R527" t="str">
        <v>609B</v>
      </c>
      <c r="S527">
        <v>43</v>
      </c>
      <c r="U527" t="str">
        <v>98225H</v>
      </c>
      <c r="V527" t="str">
        <v>884B</v>
      </c>
      <c r="W527">
        <v>77</v>
      </c>
    </row>
    <row r="528" spans="1:23" x14ac:dyDescent="0.3">
      <c r="A528" s="3" t="s">
        <v>397</v>
      </c>
      <c r="B528" s="3" t="s">
        <v>448</v>
      </c>
      <c r="C528" s="3" t="s">
        <v>409</v>
      </c>
      <c r="D528" s="3" t="s">
        <v>456</v>
      </c>
      <c r="E528" s="3">
        <v>82</v>
      </c>
      <c r="F528" s="3">
        <v>82</v>
      </c>
      <c r="G528" s="3">
        <v>62</v>
      </c>
      <c r="H528" s="3">
        <v>62</v>
      </c>
      <c r="K528" t="str">
        <v>1469A</v>
      </c>
      <c r="L528">
        <v>84</v>
      </c>
      <c r="N528" t="str">
        <v>938R</v>
      </c>
      <c r="O528" t="str">
        <v>1000A</v>
      </c>
      <c r="P528">
        <v>70</v>
      </c>
      <c r="R528" t="str">
        <v>1469A</v>
      </c>
      <c r="S528">
        <v>84</v>
      </c>
      <c r="U528" t="str">
        <v>9364G</v>
      </c>
      <c r="V528" t="str">
        <v>1000A</v>
      </c>
      <c r="W528">
        <v>75</v>
      </c>
    </row>
    <row r="529" spans="1:23" x14ac:dyDescent="0.3">
      <c r="A529" s="3" t="s">
        <v>461</v>
      </c>
      <c r="B529" s="3" t="s">
        <v>453</v>
      </c>
      <c r="C529" s="3" t="s">
        <v>389</v>
      </c>
      <c r="D529" s="3" t="s">
        <v>424</v>
      </c>
      <c r="E529" s="3">
        <v>97</v>
      </c>
      <c r="F529" s="3">
        <v>97</v>
      </c>
      <c r="G529" s="3">
        <v>65</v>
      </c>
      <c r="H529" s="3">
        <v>65</v>
      </c>
      <c r="K529" t="str">
        <v>938J</v>
      </c>
      <c r="L529">
        <v>84</v>
      </c>
      <c r="N529" t="str">
        <v>10F</v>
      </c>
      <c r="O529" t="str">
        <v>44244N</v>
      </c>
      <c r="P529">
        <v>60</v>
      </c>
      <c r="R529" t="str">
        <v>938J</v>
      </c>
      <c r="S529">
        <v>84</v>
      </c>
      <c r="U529" t="str">
        <v>16689Z</v>
      </c>
      <c r="V529" t="str">
        <v>10F</v>
      </c>
      <c r="W529">
        <v>92</v>
      </c>
    </row>
    <row r="530" spans="1:23" x14ac:dyDescent="0.3">
      <c r="A530" s="3" t="s">
        <v>411</v>
      </c>
      <c r="B530" s="3" t="s">
        <v>452</v>
      </c>
      <c r="C530" s="3" t="s">
        <v>455</v>
      </c>
      <c r="D530" s="3" t="s">
        <v>394</v>
      </c>
      <c r="E530" s="3">
        <v>82</v>
      </c>
      <c r="F530" s="3">
        <v>82</v>
      </c>
      <c r="G530" s="3">
        <v>115</v>
      </c>
      <c r="H530" s="3">
        <v>115</v>
      </c>
      <c r="K530" t="str">
        <v>11101B</v>
      </c>
      <c r="L530">
        <v>95</v>
      </c>
      <c r="N530" t="str">
        <v>10012G</v>
      </c>
      <c r="O530" t="str">
        <v>1698Y</v>
      </c>
      <c r="P530">
        <v>168</v>
      </c>
      <c r="R530" t="str">
        <v>11101B</v>
      </c>
      <c r="S530">
        <v>95</v>
      </c>
      <c r="U530" t="str">
        <v>6526H</v>
      </c>
      <c r="V530" t="str">
        <v>9364C</v>
      </c>
      <c r="W530">
        <v>92</v>
      </c>
    </row>
    <row r="531" spans="1:23" x14ac:dyDescent="0.3">
      <c r="A531" s="3" t="s">
        <v>396</v>
      </c>
      <c r="B531" s="3" t="s">
        <v>432</v>
      </c>
      <c r="C531" s="3" t="s">
        <v>427</v>
      </c>
      <c r="D531" s="3" t="s">
        <v>402</v>
      </c>
      <c r="E531" s="3">
        <v>67</v>
      </c>
      <c r="F531" s="3">
        <v>67</v>
      </c>
      <c r="G531" s="3">
        <v>88</v>
      </c>
      <c r="H531" s="3">
        <v>88</v>
      </c>
      <c r="K531" t="str">
        <v>7899A</v>
      </c>
      <c r="L531">
        <v>95</v>
      </c>
      <c r="N531" t="str">
        <v>9364G</v>
      </c>
      <c r="O531" t="str">
        <v>917A</v>
      </c>
      <c r="P531">
        <v>60</v>
      </c>
      <c r="R531" t="str">
        <v>7899A</v>
      </c>
      <c r="S531">
        <v>95</v>
      </c>
      <c r="U531" t="str">
        <v>609A</v>
      </c>
      <c r="V531" t="str">
        <v>47000X</v>
      </c>
      <c r="W531">
        <v>106</v>
      </c>
    </row>
    <row r="532" spans="1:23" x14ac:dyDescent="0.3">
      <c r="A532" s="3" t="s">
        <v>404</v>
      </c>
      <c r="B532" s="3" t="s">
        <v>449</v>
      </c>
      <c r="C532" s="3" t="s">
        <v>438</v>
      </c>
      <c r="D532" s="3" t="s">
        <v>413</v>
      </c>
      <c r="E532" s="3">
        <v>97</v>
      </c>
      <c r="F532" s="3">
        <v>97</v>
      </c>
      <c r="G532" s="3">
        <v>119</v>
      </c>
      <c r="H532" s="3">
        <v>119</v>
      </c>
      <c r="K532" t="str">
        <v>604X</v>
      </c>
      <c r="L532">
        <v>63</v>
      </c>
      <c r="N532" t="str">
        <v>502A</v>
      </c>
      <c r="O532" t="str">
        <v>51581E</v>
      </c>
      <c r="P532">
        <v>106</v>
      </c>
      <c r="R532" t="str">
        <v>604X</v>
      </c>
      <c r="S532">
        <v>63</v>
      </c>
      <c r="U532" t="str">
        <v>10M</v>
      </c>
      <c r="V532" t="str">
        <v>90385G</v>
      </c>
      <c r="W532">
        <v>60</v>
      </c>
    </row>
    <row r="533" spans="1:23" x14ac:dyDescent="0.3">
      <c r="A533" s="3" t="s">
        <v>395</v>
      </c>
      <c r="B533" s="3" t="s">
        <v>436</v>
      </c>
      <c r="C533" s="3" t="s">
        <v>387</v>
      </c>
      <c r="D533" s="3" t="s">
        <v>443</v>
      </c>
      <c r="E533" s="3">
        <v>90</v>
      </c>
      <c r="F533" s="3">
        <v>90</v>
      </c>
      <c r="G533" s="3">
        <v>46</v>
      </c>
      <c r="H533" s="3">
        <v>46</v>
      </c>
      <c r="K533" t="str">
        <v>884A</v>
      </c>
      <c r="L533">
        <v>63</v>
      </c>
      <c r="N533" t="str">
        <v>3512B</v>
      </c>
      <c r="O533" t="str">
        <v>90385G</v>
      </c>
      <c r="P533">
        <v>56</v>
      </c>
      <c r="R533" t="str">
        <v>884A</v>
      </c>
      <c r="S533">
        <v>63</v>
      </c>
      <c r="U533" t="str">
        <v>66475C</v>
      </c>
      <c r="V533" t="str">
        <v>16689A</v>
      </c>
      <c r="W533">
        <v>131</v>
      </c>
    </row>
    <row r="534" spans="1:23" x14ac:dyDescent="0.3">
      <c r="A534" s="3" t="s">
        <v>390</v>
      </c>
      <c r="B534" s="3" t="s">
        <v>414</v>
      </c>
      <c r="C534" s="3" t="s">
        <v>441</v>
      </c>
      <c r="D534" s="3" t="s">
        <v>458</v>
      </c>
      <c r="E534" s="3">
        <v>107</v>
      </c>
      <c r="F534" s="3">
        <v>107</v>
      </c>
      <c r="G534" s="3">
        <v>72</v>
      </c>
      <c r="H534" s="3">
        <v>72</v>
      </c>
      <c r="K534" t="str">
        <v>938E</v>
      </c>
      <c r="L534">
        <v>73</v>
      </c>
      <c r="N534" t="str">
        <v>16689E</v>
      </c>
      <c r="O534" t="str">
        <v>98225H</v>
      </c>
      <c r="P534">
        <v>63</v>
      </c>
      <c r="R534" t="str">
        <v>938E</v>
      </c>
      <c r="S534">
        <v>73</v>
      </c>
      <c r="U534" t="str">
        <v>9805A</v>
      </c>
      <c r="V534" t="str">
        <v>10012G</v>
      </c>
      <c r="W534">
        <v>112</v>
      </c>
    </row>
    <row r="535" spans="1:23" x14ac:dyDescent="0.3">
      <c r="A535" s="3" t="s">
        <v>393</v>
      </c>
      <c r="B535" s="3" t="s">
        <v>399</v>
      </c>
      <c r="C535" s="3" t="s">
        <v>423</v>
      </c>
      <c r="D535" s="3" t="s">
        <v>439</v>
      </c>
      <c r="E535" s="3">
        <v>114</v>
      </c>
      <c r="F535" s="3">
        <v>114</v>
      </c>
      <c r="G535" s="3">
        <v>106</v>
      </c>
      <c r="H535" s="3">
        <v>106</v>
      </c>
      <c r="K535" t="str">
        <v>949Z</v>
      </c>
      <c r="L535">
        <v>73</v>
      </c>
      <c r="N535" t="str">
        <v>47000X</v>
      </c>
      <c r="O535" t="str">
        <v>7700H</v>
      </c>
      <c r="P535">
        <v>37</v>
      </c>
      <c r="R535" t="str">
        <v>949Z</v>
      </c>
      <c r="S535">
        <v>73</v>
      </c>
      <c r="U535" t="str">
        <v>5155A</v>
      </c>
      <c r="V535" t="str">
        <v>51777H</v>
      </c>
      <c r="W535">
        <v>80</v>
      </c>
    </row>
    <row r="536" spans="1:23" x14ac:dyDescent="0.3">
      <c r="A536" s="3" t="s">
        <v>460</v>
      </c>
      <c r="B536" s="3" t="s">
        <v>447</v>
      </c>
      <c r="C536" s="3" t="s">
        <v>398</v>
      </c>
      <c r="D536" s="3" t="s">
        <v>388</v>
      </c>
      <c r="E536" s="3">
        <v>81</v>
      </c>
      <c r="F536" s="3">
        <v>81</v>
      </c>
      <c r="G536" s="3">
        <v>74</v>
      </c>
      <c r="H536" s="3">
        <v>74</v>
      </c>
      <c r="K536" t="str">
        <v>61002G</v>
      </c>
      <c r="L536">
        <v>111</v>
      </c>
      <c r="N536" t="str">
        <v>16689A</v>
      </c>
      <c r="O536" t="str">
        <v>8675F</v>
      </c>
      <c r="P536">
        <v>99</v>
      </c>
      <c r="R536" t="str">
        <v>61002G</v>
      </c>
      <c r="S536">
        <v>111</v>
      </c>
      <c r="U536" t="str">
        <v>938A</v>
      </c>
      <c r="V536" t="str">
        <v>99621C</v>
      </c>
      <c r="W536">
        <v>45</v>
      </c>
    </row>
    <row r="537" spans="1:23" x14ac:dyDescent="0.3">
      <c r="A537" s="3" t="s">
        <v>429</v>
      </c>
      <c r="B537" s="3" t="s">
        <v>454</v>
      </c>
      <c r="C537" s="3" t="s">
        <v>401</v>
      </c>
      <c r="D537" s="3" t="s">
        <v>418</v>
      </c>
      <c r="E537" s="3">
        <v>150</v>
      </c>
      <c r="F537" s="3">
        <v>150</v>
      </c>
      <c r="G537" s="3">
        <v>71</v>
      </c>
      <c r="H537" s="3">
        <v>71</v>
      </c>
      <c r="K537" t="str">
        <v>99621B</v>
      </c>
      <c r="L537">
        <v>111</v>
      </c>
      <c r="N537" t="str">
        <v>6526H</v>
      </c>
      <c r="O537" t="str">
        <v>98040C</v>
      </c>
      <c r="P537">
        <v>80</v>
      </c>
      <c r="R537" t="str">
        <v>99621B</v>
      </c>
      <c r="S537">
        <v>111</v>
      </c>
      <c r="U537" t="str">
        <v>2681A</v>
      </c>
      <c r="V537" t="str">
        <v>9364G</v>
      </c>
      <c r="W537">
        <v>70</v>
      </c>
    </row>
    <row r="538" spans="1:23" x14ac:dyDescent="0.3">
      <c r="A538" s="3" t="s">
        <v>461</v>
      </c>
      <c r="B538" s="3" t="s">
        <v>451</v>
      </c>
      <c r="C538" s="3" t="s">
        <v>428</v>
      </c>
      <c r="D538" s="3" t="s">
        <v>411</v>
      </c>
      <c r="E538" s="3">
        <v>54</v>
      </c>
      <c r="F538" s="3">
        <v>54</v>
      </c>
      <c r="G538" s="3">
        <v>95</v>
      </c>
      <c r="H538" s="3">
        <v>95</v>
      </c>
      <c r="K538" t="str">
        <v>10B</v>
      </c>
      <c r="L538">
        <v>68</v>
      </c>
      <c r="N538" t="str">
        <v>537K</v>
      </c>
      <c r="O538" t="str">
        <v>938R</v>
      </c>
      <c r="P538">
        <v>42</v>
      </c>
      <c r="R538" t="str">
        <v>10B</v>
      </c>
      <c r="S538">
        <v>68</v>
      </c>
      <c r="U538" t="str">
        <v>6526D</v>
      </c>
      <c r="V538" t="str">
        <v>10X</v>
      </c>
      <c r="W538">
        <v>55</v>
      </c>
    </row>
    <row r="539" spans="1:23" x14ac:dyDescent="0.3">
      <c r="A539" s="3" t="s">
        <v>413</v>
      </c>
      <c r="B539" s="3" t="s">
        <v>456</v>
      </c>
      <c r="C539" s="3" t="s">
        <v>406</v>
      </c>
      <c r="D539" s="3" t="s">
        <v>446</v>
      </c>
      <c r="E539" s="3">
        <v>39</v>
      </c>
      <c r="F539" s="3">
        <v>39</v>
      </c>
      <c r="G539" s="3">
        <v>223</v>
      </c>
      <c r="H539" s="3">
        <v>223</v>
      </c>
      <c r="K539" t="str">
        <v>90385R</v>
      </c>
      <c r="L539">
        <v>68</v>
      </c>
      <c r="N539" t="str">
        <v>229V</v>
      </c>
      <c r="O539" t="str">
        <v>7899B</v>
      </c>
      <c r="P539">
        <v>132</v>
      </c>
      <c r="R539" t="str">
        <v>90385R</v>
      </c>
      <c r="S539">
        <v>68</v>
      </c>
      <c r="U539" t="str">
        <v>1258V</v>
      </c>
      <c r="V539" t="str">
        <v>51581E</v>
      </c>
      <c r="W539">
        <v>92</v>
      </c>
    </row>
    <row r="540" spans="1:23" x14ac:dyDescent="0.3">
      <c r="A540" s="3" t="s">
        <v>389</v>
      </c>
      <c r="B540" s="3" t="s">
        <v>438</v>
      </c>
      <c r="C540" s="3" t="s">
        <v>431</v>
      </c>
      <c r="D540" s="3" t="s">
        <v>452</v>
      </c>
      <c r="E540" s="3">
        <v>120</v>
      </c>
      <c r="F540" s="3">
        <v>120</v>
      </c>
      <c r="G540" s="3">
        <v>37</v>
      </c>
      <c r="H540" s="3">
        <v>37</v>
      </c>
      <c r="K540" t="str">
        <v>7700P</v>
      </c>
      <c r="L540">
        <v>72</v>
      </c>
      <c r="N540" t="str">
        <v>2681A</v>
      </c>
      <c r="O540" t="str">
        <v>6526D</v>
      </c>
      <c r="P540">
        <v>22</v>
      </c>
      <c r="R540" t="str">
        <v>7700P</v>
      </c>
      <c r="S540">
        <v>72</v>
      </c>
      <c r="U540" t="str">
        <v>98225M</v>
      </c>
      <c r="V540" t="str">
        <v>1687C</v>
      </c>
      <c r="W540">
        <v>112</v>
      </c>
    </row>
    <row r="541" spans="1:23" x14ac:dyDescent="0.3">
      <c r="A541" s="3" t="s">
        <v>387</v>
      </c>
      <c r="B541" s="3" t="s">
        <v>402</v>
      </c>
      <c r="C541" s="3" t="s">
        <v>457</v>
      </c>
      <c r="D541" s="3" t="s">
        <v>408</v>
      </c>
      <c r="E541" s="3">
        <v>84</v>
      </c>
      <c r="F541" s="3">
        <v>84</v>
      </c>
      <c r="G541" s="3">
        <v>93</v>
      </c>
      <c r="H541" s="3">
        <v>93</v>
      </c>
      <c r="K541" t="str">
        <v>3583A</v>
      </c>
      <c r="L541">
        <v>72</v>
      </c>
      <c r="N541" t="str">
        <v>1023E</v>
      </c>
      <c r="O541" t="str">
        <v>10F</v>
      </c>
      <c r="P541">
        <v>114</v>
      </c>
      <c r="R541" t="str">
        <v>3583A</v>
      </c>
      <c r="S541">
        <v>72</v>
      </c>
      <c r="U541" t="str">
        <v>938U</v>
      </c>
      <c r="V541" t="str">
        <v>938N</v>
      </c>
      <c r="W541">
        <v>48</v>
      </c>
    </row>
    <row r="542" spans="1:23" x14ac:dyDescent="0.3">
      <c r="A542" s="3" t="s">
        <v>409</v>
      </c>
      <c r="B542" s="3" t="s">
        <v>396</v>
      </c>
      <c r="C542" s="3" t="s">
        <v>444</v>
      </c>
      <c r="D542" s="3" t="s">
        <v>436</v>
      </c>
      <c r="E542" s="3">
        <v>74</v>
      </c>
      <c r="F542" s="3">
        <v>74</v>
      </c>
      <c r="G542" s="3">
        <v>104</v>
      </c>
      <c r="H542" s="3">
        <v>104</v>
      </c>
      <c r="K542" t="str">
        <v>10K</v>
      </c>
      <c r="L542">
        <v>113</v>
      </c>
      <c r="N542" t="str">
        <v>16689E</v>
      </c>
      <c r="O542" t="str">
        <v>3512B</v>
      </c>
      <c r="P542">
        <v>62</v>
      </c>
      <c r="R542" t="str">
        <v>10K</v>
      </c>
      <c r="S542">
        <v>113</v>
      </c>
      <c r="U542" t="str">
        <v>938C</v>
      </c>
      <c r="V542" t="str">
        <v>1698Y</v>
      </c>
      <c r="W542">
        <v>62</v>
      </c>
    </row>
    <row r="543" spans="1:23" x14ac:dyDescent="0.3">
      <c r="A543" s="3" t="s">
        <v>423</v>
      </c>
      <c r="B543" s="3" t="s">
        <v>426</v>
      </c>
      <c r="C543" s="3" t="s">
        <v>442</v>
      </c>
      <c r="D543" s="3" t="s">
        <v>437</v>
      </c>
      <c r="E543" s="3">
        <v>80</v>
      </c>
      <c r="F543" s="3">
        <v>80</v>
      </c>
      <c r="G543" s="3">
        <v>109</v>
      </c>
      <c r="H543" s="3">
        <v>109</v>
      </c>
      <c r="K543" t="str">
        <v>10009A</v>
      </c>
      <c r="L543">
        <v>113</v>
      </c>
      <c r="N543" t="str">
        <v>10C</v>
      </c>
      <c r="O543" t="str">
        <v>502A</v>
      </c>
      <c r="P543">
        <v>65</v>
      </c>
      <c r="R543" t="str">
        <v>10009A</v>
      </c>
      <c r="S543">
        <v>113</v>
      </c>
      <c r="U543" t="str">
        <v>938F</v>
      </c>
      <c r="V543" t="str">
        <v>1168A</v>
      </c>
      <c r="W543">
        <v>111</v>
      </c>
    </row>
    <row r="544" spans="1:23" x14ac:dyDescent="0.3">
      <c r="A544" s="3" t="s">
        <v>449</v>
      </c>
      <c r="B544" s="3" t="s">
        <v>424</v>
      </c>
      <c r="C544" s="3" t="s">
        <v>439</v>
      </c>
      <c r="D544" s="3" t="s">
        <v>417</v>
      </c>
      <c r="E544" s="3">
        <v>111</v>
      </c>
      <c r="F544" s="3">
        <v>111</v>
      </c>
      <c r="G544" s="3">
        <v>39</v>
      </c>
      <c r="H544" s="3">
        <v>39</v>
      </c>
      <c r="K544" t="str">
        <v>3484X</v>
      </c>
      <c r="L544">
        <v>27</v>
      </c>
      <c r="N544" t="str">
        <v>10A</v>
      </c>
      <c r="O544" t="str">
        <v>10M</v>
      </c>
      <c r="P544">
        <v>115</v>
      </c>
      <c r="R544" t="str">
        <v>3484X</v>
      </c>
      <c r="S544">
        <v>27</v>
      </c>
      <c r="U544" t="str">
        <v>938K</v>
      </c>
      <c r="V544" t="str">
        <v>84141A</v>
      </c>
      <c r="W544">
        <v>22</v>
      </c>
    </row>
    <row r="545" spans="1:23" x14ac:dyDescent="0.3">
      <c r="A545" s="3" t="s">
        <v>404</v>
      </c>
      <c r="B545" s="3" t="s">
        <v>388</v>
      </c>
      <c r="C545" s="3" t="s">
        <v>399</v>
      </c>
      <c r="D545" s="3" t="s">
        <v>453</v>
      </c>
      <c r="E545" s="3">
        <v>74</v>
      </c>
      <c r="F545" s="3">
        <v>74</v>
      </c>
      <c r="G545" s="3">
        <v>123</v>
      </c>
      <c r="H545" s="3">
        <v>123</v>
      </c>
      <c r="K545" t="str">
        <v>3512D</v>
      </c>
      <c r="L545">
        <v>27</v>
      </c>
      <c r="N545" t="str">
        <v>9364C</v>
      </c>
      <c r="O545" t="str">
        <v>84141A</v>
      </c>
      <c r="P545">
        <v>88</v>
      </c>
      <c r="R545" t="str">
        <v>3512D</v>
      </c>
      <c r="S545">
        <v>27</v>
      </c>
      <c r="U545" t="str">
        <v>84141X</v>
      </c>
      <c r="V545" t="str">
        <v>10A</v>
      </c>
      <c r="W545">
        <v>70</v>
      </c>
    </row>
    <row r="546" spans="1:23" x14ac:dyDescent="0.3">
      <c r="A546" s="3" t="s">
        <v>394</v>
      </c>
      <c r="B546" s="3" t="s">
        <v>422</v>
      </c>
      <c r="C546" s="3" t="s">
        <v>390</v>
      </c>
      <c r="D546" s="3" t="s">
        <v>434</v>
      </c>
      <c r="E546" s="3">
        <v>106</v>
      </c>
      <c r="F546" s="3">
        <v>106</v>
      </c>
      <c r="G546" s="3">
        <v>41</v>
      </c>
      <c r="H546" s="3">
        <v>41</v>
      </c>
      <c r="K546" t="str">
        <v>98548C</v>
      </c>
      <c r="L546">
        <v>70</v>
      </c>
      <c r="N546" t="str">
        <v>47874J</v>
      </c>
      <c r="O546" t="str">
        <v>938C</v>
      </c>
      <c r="P546">
        <v>119</v>
      </c>
      <c r="R546" t="str">
        <v>98548C</v>
      </c>
      <c r="S546">
        <v>70</v>
      </c>
      <c r="U546" t="str">
        <v>229V</v>
      </c>
      <c r="V546" t="str">
        <v>98040C</v>
      </c>
      <c r="W546">
        <v>123</v>
      </c>
    </row>
    <row r="547" spans="1:23" x14ac:dyDescent="0.3">
      <c r="A547" s="3" t="s">
        <v>427</v>
      </c>
      <c r="B547" s="3" t="s">
        <v>443</v>
      </c>
      <c r="C547" s="3" t="s">
        <v>448</v>
      </c>
      <c r="D547" s="3" t="s">
        <v>392</v>
      </c>
      <c r="E547" s="3">
        <v>87</v>
      </c>
      <c r="F547" s="3">
        <v>87</v>
      </c>
      <c r="G547" s="3">
        <v>104</v>
      </c>
      <c r="H547" s="3">
        <v>104</v>
      </c>
      <c r="K547" t="str">
        <v>1248X</v>
      </c>
      <c r="L547">
        <v>70</v>
      </c>
      <c r="N547" t="str">
        <v>51581E</v>
      </c>
      <c r="O547" t="str">
        <v>609A</v>
      </c>
      <c r="P547">
        <v>46</v>
      </c>
      <c r="R547" t="str">
        <v>1248X</v>
      </c>
      <c r="S547">
        <v>70</v>
      </c>
      <c r="U547" t="str">
        <v>47874J</v>
      </c>
      <c r="V547" t="str">
        <v>7784W</v>
      </c>
      <c r="W547">
        <v>47</v>
      </c>
    </row>
    <row r="548" spans="1:23" x14ac:dyDescent="0.3">
      <c r="A548" s="3" t="s">
        <v>412</v>
      </c>
      <c r="B548" s="3" t="s">
        <v>432</v>
      </c>
      <c r="C548" s="3" t="s">
        <v>419</v>
      </c>
      <c r="D548" s="3" t="s">
        <v>454</v>
      </c>
      <c r="E548" s="3">
        <v>58</v>
      </c>
      <c r="F548" s="3">
        <v>58</v>
      </c>
      <c r="G548" s="3">
        <v>120</v>
      </c>
      <c r="H548" s="3">
        <v>120</v>
      </c>
      <c r="K548" t="str">
        <v>1091A</v>
      </c>
      <c r="L548">
        <v>161</v>
      </c>
      <c r="N548" t="str">
        <v>1000A</v>
      </c>
      <c r="O548" t="str">
        <v>917A</v>
      </c>
      <c r="P548">
        <v>72</v>
      </c>
      <c r="R548" t="str">
        <v>1091A</v>
      </c>
      <c r="S548">
        <v>161</v>
      </c>
      <c r="U548" t="str">
        <v>16689E</v>
      </c>
      <c r="V548" t="str">
        <v>66475C</v>
      </c>
      <c r="W548">
        <v>105</v>
      </c>
    </row>
    <row r="549" spans="1:23" x14ac:dyDescent="0.3">
      <c r="A549" s="3" t="s">
        <v>447</v>
      </c>
      <c r="B549" s="3" t="s">
        <v>458</v>
      </c>
      <c r="C549" s="3" t="s">
        <v>421</v>
      </c>
      <c r="D549" s="3" t="s">
        <v>433</v>
      </c>
      <c r="E549" s="3">
        <v>83</v>
      </c>
      <c r="F549" s="3">
        <v>83</v>
      </c>
      <c r="G549" s="3">
        <v>138</v>
      </c>
      <c r="H549" s="3">
        <v>138</v>
      </c>
      <c r="K549" t="str">
        <v>502X</v>
      </c>
      <c r="L549">
        <v>161</v>
      </c>
      <c r="N549" t="str">
        <v>938U</v>
      </c>
      <c r="O549" t="str">
        <v>938K</v>
      </c>
      <c r="P549">
        <v>106</v>
      </c>
      <c r="R549" t="str">
        <v>502X</v>
      </c>
      <c r="S549">
        <v>161</v>
      </c>
      <c r="U549" t="str">
        <v>8675F</v>
      </c>
      <c r="V549" t="str">
        <v>938N</v>
      </c>
      <c r="W549">
        <v>87</v>
      </c>
    </row>
    <row r="550" spans="1:23" x14ac:dyDescent="0.3">
      <c r="A550" s="3" t="s">
        <v>407</v>
      </c>
      <c r="B550" s="3" t="s">
        <v>414</v>
      </c>
      <c r="C550" s="3" t="s">
        <v>395</v>
      </c>
      <c r="D550" s="3" t="s">
        <v>429</v>
      </c>
      <c r="E550" s="3">
        <v>103</v>
      </c>
      <c r="F550" s="3">
        <v>103</v>
      </c>
      <c r="G550" s="3">
        <v>80</v>
      </c>
      <c r="H550" s="3">
        <v>80</v>
      </c>
      <c r="K550" t="str">
        <v>9364H</v>
      </c>
      <c r="L550">
        <v>69</v>
      </c>
      <c r="N550" t="str">
        <v>938X</v>
      </c>
      <c r="O550" t="str">
        <v>90385G</v>
      </c>
      <c r="P550">
        <v>74</v>
      </c>
      <c r="R550" t="str">
        <v>9364H</v>
      </c>
      <c r="S550">
        <v>69</v>
      </c>
      <c r="U550" t="str">
        <v>5327K</v>
      </c>
      <c r="V550" t="str">
        <v>3512B</v>
      </c>
      <c r="W550">
        <v>80</v>
      </c>
    </row>
    <row r="551" spans="1:23" x14ac:dyDescent="0.3">
      <c r="A551" s="3" t="s">
        <v>393</v>
      </c>
      <c r="B551" s="3" t="s">
        <v>398</v>
      </c>
      <c r="C551" s="3" t="s">
        <v>416</v>
      </c>
      <c r="D551" s="3" t="s">
        <v>403</v>
      </c>
      <c r="E551" s="3">
        <v>83</v>
      </c>
      <c r="F551" s="3">
        <v>83</v>
      </c>
      <c r="G551" s="3">
        <v>52</v>
      </c>
      <c r="H551" s="3">
        <v>52</v>
      </c>
      <c r="K551" t="str">
        <v>98225J</v>
      </c>
      <c r="L551">
        <v>69</v>
      </c>
      <c r="N551" t="str">
        <v>7899B</v>
      </c>
      <c r="O551" t="str">
        <v>938H</v>
      </c>
      <c r="P551">
        <v>71</v>
      </c>
      <c r="R551" t="str">
        <v>98225J</v>
      </c>
      <c r="S551">
        <v>69</v>
      </c>
      <c r="U551" t="str">
        <v>10C</v>
      </c>
      <c r="V551" t="str">
        <v>938F</v>
      </c>
      <c r="W551">
        <v>90</v>
      </c>
    </row>
    <row r="552" spans="1:23" x14ac:dyDescent="0.3">
      <c r="A552" s="3" t="s">
        <v>441</v>
      </c>
      <c r="B552" s="3" t="s">
        <v>455</v>
      </c>
      <c r="C552" s="3" t="s">
        <v>460</v>
      </c>
      <c r="D552" s="3" t="s">
        <v>397</v>
      </c>
      <c r="E552" s="3">
        <v>85</v>
      </c>
      <c r="F552" s="3">
        <v>85</v>
      </c>
      <c r="G552" s="3">
        <v>40</v>
      </c>
      <c r="H552" s="3">
        <v>40</v>
      </c>
      <c r="K552" t="str">
        <v>10G</v>
      </c>
      <c r="L552">
        <v>48</v>
      </c>
      <c r="N552" t="str">
        <v>652A</v>
      </c>
      <c r="O552" t="str">
        <v>10J</v>
      </c>
      <c r="P552">
        <v>95</v>
      </c>
      <c r="R552" t="str">
        <v>10G</v>
      </c>
      <c r="S552">
        <v>48</v>
      </c>
      <c r="U552" t="str">
        <v>884B</v>
      </c>
      <c r="V552" t="str">
        <v>1258V</v>
      </c>
      <c r="W552">
        <v>87</v>
      </c>
    </row>
    <row r="553" spans="1:23" x14ac:dyDescent="0.3">
      <c r="A553" s="3" t="s">
        <v>389</v>
      </c>
      <c r="B553" s="3" t="s">
        <v>442</v>
      </c>
      <c r="C553" s="3" t="s">
        <v>417</v>
      </c>
      <c r="D553" s="3" t="s">
        <v>406</v>
      </c>
      <c r="E553" s="3">
        <v>95</v>
      </c>
      <c r="F553" s="3">
        <v>95</v>
      </c>
      <c r="G553" s="3">
        <v>60</v>
      </c>
      <c r="H553" s="3">
        <v>60</v>
      </c>
      <c r="K553" t="str">
        <v>39313Z</v>
      </c>
      <c r="L553">
        <v>48</v>
      </c>
      <c r="N553" t="str">
        <v>2681A</v>
      </c>
      <c r="O553" t="str">
        <v>229V</v>
      </c>
      <c r="P553">
        <v>223</v>
      </c>
      <c r="R553" t="str">
        <v>39313Z</v>
      </c>
      <c r="S553">
        <v>48</v>
      </c>
      <c r="U553" t="str">
        <v>9805A</v>
      </c>
      <c r="V553" t="str">
        <v>8675V</v>
      </c>
      <c r="W553">
        <v>90</v>
      </c>
    </row>
    <row r="554" spans="1:23" x14ac:dyDescent="0.3">
      <c r="A554" s="3" t="s">
        <v>446</v>
      </c>
      <c r="B554" s="3" t="s">
        <v>439</v>
      </c>
      <c r="C554" s="3" t="s">
        <v>411</v>
      </c>
      <c r="D554" s="3" t="s">
        <v>418</v>
      </c>
      <c r="E554" s="3">
        <v>103</v>
      </c>
      <c r="F554" s="3">
        <v>103</v>
      </c>
      <c r="G554" s="3">
        <v>37</v>
      </c>
      <c r="H554" s="3">
        <v>37</v>
      </c>
      <c r="K554" t="str">
        <v>12516A</v>
      </c>
      <c r="L554">
        <v>37</v>
      </c>
      <c r="N554" t="str">
        <v>938R</v>
      </c>
      <c r="O554" t="str">
        <v>3512E</v>
      </c>
      <c r="P554">
        <v>37</v>
      </c>
      <c r="R554" t="str">
        <v>12516A</v>
      </c>
      <c r="S554">
        <v>37</v>
      </c>
      <c r="U554" t="str">
        <v>10X</v>
      </c>
      <c r="V554" t="str">
        <v>1023E</v>
      </c>
      <c r="W554">
        <v>105</v>
      </c>
    </row>
    <row r="555" spans="1:23" x14ac:dyDescent="0.3">
      <c r="A555" s="3" t="s">
        <v>401</v>
      </c>
      <c r="B555" s="3" t="s">
        <v>399</v>
      </c>
      <c r="C555" s="3" t="s">
        <v>438</v>
      </c>
      <c r="D555" s="3" t="s">
        <v>392</v>
      </c>
      <c r="E555" s="3">
        <v>118</v>
      </c>
      <c r="F555" s="3">
        <v>118</v>
      </c>
      <c r="G555" s="3">
        <v>64</v>
      </c>
      <c r="H555" s="3">
        <v>64</v>
      </c>
      <c r="K555" t="str">
        <v>10S</v>
      </c>
      <c r="L555">
        <v>37</v>
      </c>
      <c r="N555" t="str">
        <v>1023E</v>
      </c>
      <c r="O555" t="str">
        <v>6526H</v>
      </c>
      <c r="P555">
        <v>93</v>
      </c>
      <c r="R555" t="str">
        <v>10S</v>
      </c>
      <c r="S555">
        <v>37</v>
      </c>
      <c r="U555" t="str">
        <v>99621A</v>
      </c>
      <c r="V555" t="str">
        <v>98225H</v>
      </c>
      <c r="W555">
        <v>20</v>
      </c>
    </row>
    <row r="556" spans="1:23" x14ac:dyDescent="0.3">
      <c r="A556" s="3" t="s">
        <v>388</v>
      </c>
      <c r="B556" s="3" t="s">
        <v>426</v>
      </c>
      <c r="C556" s="3" t="s">
        <v>454</v>
      </c>
      <c r="D556" s="3" t="s">
        <v>424</v>
      </c>
      <c r="E556" s="3">
        <v>92</v>
      </c>
      <c r="F556" s="3">
        <v>92</v>
      </c>
      <c r="G556" s="3">
        <v>54</v>
      </c>
      <c r="H556" s="3">
        <v>54</v>
      </c>
      <c r="K556" t="str">
        <v>920B</v>
      </c>
      <c r="L556">
        <v>72</v>
      </c>
      <c r="N556" t="str">
        <v>8675V</v>
      </c>
      <c r="O556" t="str">
        <v>1168A</v>
      </c>
      <c r="P556">
        <v>104</v>
      </c>
      <c r="R556" t="str">
        <v>920B</v>
      </c>
      <c r="S556">
        <v>72</v>
      </c>
      <c r="U556" t="str">
        <v>1168A</v>
      </c>
      <c r="V556" t="str">
        <v>10A</v>
      </c>
      <c r="W556">
        <v>83</v>
      </c>
    </row>
    <row r="557" spans="1:23" x14ac:dyDescent="0.3">
      <c r="A557" s="3" t="s">
        <v>423</v>
      </c>
      <c r="B557" s="3" t="s">
        <v>443</v>
      </c>
      <c r="C557" s="3" t="s">
        <v>402</v>
      </c>
      <c r="D557" s="3" t="s">
        <v>452</v>
      </c>
      <c r="E557" s="3">
        <v>85</v>
      </c>
      <c r="F557" s="3">
        <v>85</v>
      </c>
      <c r="G557" s="3">
        <v>40</v>
      </c>
      <c r="H557" s="3">
        <v>40</v>
      </c>
      <c r="K557" t="str">
        <v>938T</v>
      </c>
      <c r="L557">
        <v>72</v>
      </c>
      <c r="N557" t="str">
        <v>5327K</v>
      </c>
      <c r="O557" t="str">
        <v>16689A</v>
      </c>
      <c r="P557">
        <v>109</v>
      </c>
      <c r="R557" t="str">
        <v>938T</v>
      </c>
      <c r="S557">
        <v>72</v>
      </c>
      <c r="U557" t="str">
        <v>47000X</v>
      </c>
      <c r="V557" t="str">
        <v>938C</v>
      </c>
      <c r="W557">
        <v>59</v>
      </c>
    </row>
    <row r="558" spans="1:23" x14ac:dyDescent="0.3">
      <c r="A558" s="3" t="s">
        <v>461</v>
      </c>
      <c r="B558" s="3" t="s">
        <v>427</v>
      </c>
      <c r="C558" s="3" t="s">
        <v>456</v>
      </c>
      <c r="D558" s="3" t="s">
        <v>449</v>
      </c>
      <c r="E558" s="3">
        <v>130</v>
      </c>
      <c r="F558" s="3">
        <v>130</v>
      </c>
      <c r="G558" s="3">
        <v>25</v>
      </c>
      <c r="H558" s="3">
        <v>25</v>
      </c>
      <c r="K558" t="str">
        <v>10W</v>
      </c>
      <c r="L558">
        <v>70</v>
      </c>
      <c r="N558" t="str">
        <v>938K</v>
      </c>
      <c r="O558" t="str">
        <v>99621A</v>
      </c>
      <c r="P558">
        <v>39</v>
      </c>
      <c r="R558" t="str">
        <v>10W</v>
      </c>
      <c r="S558">
        <v>70</v>
      </c>
      <c r="U558" t="str">
        <v>938K</v>
      </c>
      <c r="V558" t="str">
        <v>16689Z</v>
      </c>
      <c r="W558">
        <v>59</v>
      </c>
    </row>
    <row r="559" spans="1:23" x14ac:dyDescent="0.3">
      <c r="A559" s="3" t="s">
        <v>395</v>
      </c>
      <c r="B559" s="3" t="s">
        <v>421</v>
      </c>
      <c r="C559" s="3" t="s">
        <v>428</v>
      </c>
      <c r="D559" s="3" t="s">
        <v>390</v>
      </c>
      <c r="E559" s="3">
        <v>87</v>
      </c>
      <c r="F559" s="3">
        <v>87</v>
      </c>
      <c r="G559" s="3">
        <v>53</v>
      </c>
      <c r="H559" s="3">
        <v>53</v>
      </c>
      <c r="K559" t="str">
        <v>299Y</v>
      </c>
      <c r="L559">
        <v>70</v>
      </c>
      <c r="N559" t="str">
        <v>47000X</v>
      </c>
      <c r="O559" t="str">
        <v>5155A</v>
      </c>
      <c r="P559">
        <v>123</v>
      </c>
      <c r="R559" t="str">
        <v>299Y</v>
      </c>
      <c r="S559">
        <v>70</v>
      </c>
      <c r="U559" t="str">
        <v>99621C</v>
      </c>
      <c r="V559" t="str">
        <v>938R</v>
      </c>
      <c r="W559">
        <v>63</v>
      </c>
    </row>
    <row r="560" spans="1:23" x14ac:dyDescent="0.3">
      <c r="A560" s="3" t="s">
        <v>408</v>
      </c>
      <c r="B560" s="3" t="s">
        <v>434</v>
      </c>
      <c r="C560" s="3" t="s">
        <v>393</v>
      </c>
      <c r="D560" s="3" t="s">
        <v>404</v>
      </c>
      <c r="E560" s="3">
        <v>100</v>
      </c>
      <c r="F560" s="3">
        <v>100</v>
      </c>
      <c r="G560" s="3">
        <v>87</v>
      </c>
      <c r="H560" s="3">
        <v>87</v>
      </c>
      <c r="K560" t="str">
        <v>11101B</v>
      </c>
      <c r="L560">
        <v>125</v>
      </c>
      <c r="N560" t="str">
        <v>7784W</v>
      </c>
      <c r="O560" t="str">
        <v>9805A</v>
      </c>
      <c r="P560">
        <v>41</v>
      </c>
      <c r="R560" t="str">
        <v>11101B</v>
      </c>
      <c r="S560">
        <v>125</v>
      </c>
      <c r="U560" t="str">
        <v>7899B</v>
      </c>
      <c r="V560" t="str">
        <v>1698Y</v>
      </c>
      <c r="W560">
        <v>127</v>
      </c>
    </row>
    <row r="561" spans="1:23" x14ac:dyDescent="0.3">
      <c r="A561" s="3" t="s">
        <v>409</v>
      </c>
      <c r="B561" s="3" t="s">
        <v>437</v>
      </c>
      <c r="C561" s="3" t="s">
        <v>458</v>
      </c>
      <c r="D561" s="3" t="s">
        <v>387</v>
      </c>
      <c r="E561" s="3">
        <v>97</v>
      </c>
      <c r="F561" s="3">
        <v>97</v>
      </c>
      <c r="G561" s="3">
        <v>79</v>
      </c>
      <c r="H561" s="3">
        <v>79</v>
      </c>
      <c r="K561" t="str">
        <v>10Z</v>
      </c>
      <c r="L561">
        <v>125</v>
      </c>
      <c r="N561" t="str">
        <v>84141X</v>
      </c>
      <c r="O561" t="str">
        <v>8675F</v>
      </c>
      <c r="P561">
        <v>104</v>
      </c>
      <c r="R561" t="str">
        <v>10Z</v>
      </c>
      <c r="S561">
        <v>125</v>
      </c>
      <c r="U561" t="str">
        <v>938A</v>
      </c>
      <c r="V561" t="str">
        <v>10X</v>
      </c>
      <c r="W561">
        <v>96</v>
      </c>
    </row>
    <row r="562" spans="1:23" x14ac:dyDescent="0.3">
      <c r="A562" s="3" t="s">
        <v>396</v>
      </c>
      <c r="B562" s="3" t="s">
        <v>413</v>
      </c>
      <c r="C562" s="3" t="s">
        <v>429</v>
      </c>
      <c r="D562" s="3" t="s">
        <v>419</v>
      </c>
      <c r="E562" s="3">
        <v>84</v>
      </c>
      <c r="F562" s="3">
        <v>84</v>
      </c>
      <c r="G562" s="3">
        <v>86</v>
      </c>
      <c r="H562" s="3">
        <v>86</v>
      </c>
      <c r="K562" t="str">
        <v>1010W</v>
      </c>
      <c r="L562">
        <v>121</v>
      </c>
      <c r="N562" t="str">
        <v>537K</v>
      </c>
      <c r="O562" t="str">
        <v>7700H</v>
      </c>
      <c r="P562">
        <v>120</v>
      </c>
      <c r="R562" t="str">
        <v>51581E</v>
      </c>
      <c r="S562">
        <v>17</v>
      </c>
    </row>
    <row r="563" spans="1:23" x14ac:dyDescent="0.3">
      <c r="A563" s="3" t="s">
        <v>431</v>
      </c>
      <c r="B563" s="3" t="s">
        <v>457</v>
      </c>
      <c r="C563" s="3" t="s">
        <v>398</v>
      </c>
      <c r="D563" s="3" t="s">
        <v>394</v>
      </c>
      <c r="E563" s="3">
        <v>102</v>
      </c>
      <c r="F563" s="3">
        <v>102</v>
      </c>
      <c r="G563" s="3">
        <v>105</v>
      </c>
      <c r="H563" s="3">
        <v>105</v>
      </c>
      <c r="K563" t="str">
        <v>11101B</v>
      </c>
      <c r="L563">
        <v>121</v>
      </c>
      <c r="N563" t="str">
        <v>10012G</v>
      </c>
      <c r="O563" t="str">
        <v>10X</v>
      </c>
      <c r="P563">
        <v>138</v>
      </c>
      <c r="R563" t="str">
        <v>90385G</v>
      </c>
      <c r="S563">
        <v>17</v>
      </c>
    </row>
    <row r="564" spans="1:23" x14ac:dyDescent="0.3">
      <c r="A564" s="3" t="s">
        <v>436</v>
      </c>
      <c r="B564" s="3" t="s">
        <v>460</v>
      </c>
      <c r="C564" s="3" t="s">
        <v>412</v>
      </c>
      <c r="D564" s="3" t="s">
        <v>451</v>
      </c>
      <c r="E564" s="3">
        <v>148</v>
      </c>
      <c r="F564" s="3">
        <v>148</v>
      </c>
      <c r="G564" s="3">
        <v>86</v>
      </c>
      <c r="H564" s="3">
        <v>86</v>
      </c>
      <c r="K564" t="str">
        <v>3583A</v>
      </c>
      <c r="L564">
        <v>85</v>
      </c>
      <c r="N564" t="str">
        <v>99621C</v>
      </c>
      <c r="O564" t="str">
        <v>10T</v>
      </c>
      <c r="P564">
        <v>80</v>
      </c>
      <c r="R564" t="str">
        <v>10C</v>
      </c>
      <c r="S564">
        <v>73</v>
      </c>
    </row>
    <row r="565" spans="1:23" x14ac:dyDescent="0.3">
      <c r="A565" s="3" t="s">
        <v>453</v>
      </c>
      <c r="B565" s="3" t="s">
        <v>416</v>
      </c>
      <c r="C565" s="3" t="s">
        <v>447</v>
      </c>
      <c r="D565" s="3" t="s">
        <v>414</v>
      </c>
      <c r="E565" s="3">
        <v>89</v>
      </c>
      <c r="F565" s="3">
        <v>89</v>
      </c>
      <c r="G565" s="3">
        <v>77</v>
      </c>
      <c r="H565" s="3">
        <v>77</v>
      </c>
      <c r="K565" t="str">
        <v>10N</v>
      </c>
      <c r="L565">
        <v>85</v>
      </c>
      <c r="N565" t="str">
        <v>1687C</v>
      </c>
      <c r="O565" t="str">
        <v>9364G</v>
      </c>
      <c r="P565">
        <v>52</v>
      </c>
      <c r="R565" t="str">
        <v>7784W</v>
      </c>
      <c r="S565">
        <v>73</v>
      </c>
    </row>
    <row r="566" spans="1:23" x14ac:dyDescent="0.3">
      <c r="A566" s="3" t="s">
        <v>448</v>
      </c>
      <c r="B566" s="3" t="s">
        <v>422</v>
      </c>
      <c r="C566" s="3" t="s">
        <v>403</v>
      </c>
      <c r="D566" s="3" t="s">
        <v>441</v>
      </c>
      <c r="E566" s="3">
        <v>42</v>
      </c>
      <c r="F566" s="3">
        <v>42</v>
      </c>
      <c r="G566" s="3">
        <v>75</v>
      </c>
      <c r="H566" s="3">
        <v>75</v>
      </c>
      <c r="K566" t="str">
        <v>9364D</v>
      </c>
      <c r="L566">
        <v>103</v>
      </c>
      <c r="N566" t="str">
        <v>66475C</v>
      </c>
      <c r="O566" t="str">
        <v>938A</v>
      </c>
      <c r="P566">
        <v>40</v>
      </c>
      <c r="R566" t="str">
        <v>8675F</v>
      </c>
      <c r="S566">
        <v>109</v>
      </c>
    </row>
    <row r="567" spans="1:23" x14ac:dyDescent="0.3">
      <c r="A567" s="3" t="s">
        <v>444</v>
      </c>
      <c r="B567" s="3" t="s">
        <v>397</v>
      </c>
      <c r="C567" s="3" t="s">
        <v>432</v>
      </c>
      <c r="D567" s="3" t="s">
        <v>407</v>
      </c>
      <c r="E567" s="3">
        <v>85</v>
      </c>
      <c r="F567" s="3">
        <v>85</v>
      </c>
      <c r="G567" s="3">
        <v>92</v>
      </c>
      <c r="H567" s="3">
        <v>92</v>
      </c>
      <c r="K567" t="str">
        <v>39313Z</v>
      </c>
      <c r="L567">
        <v>103</v>
      </c>
      <c r="N567" t="str">
        <v>99621A</v>
      </c>
      <c r="O567" t="str">
        <v>2681A</v>
      </c>
      <c r="P567">
        <v>60</v>
      </c>
      <c r="R567" t="str">
        <v>938F</v>
      </c>
      <c r="S567">
        <v>109</v>
      </c>
    </row>
    <row r="568" spans="1:23" x14ac:dyDescent="0.3">
      <c r="A568" s="3" t="s">
        <v>433</v>
      </c>
      <c r="B568" s="3" t="s">
        <v>455</v>
      </c>
      <c r="C568" s="3" t="s">
        <v>408</v>
      </c>
      <c r="D568" s="3" t="s">
        <v>427</v>
      </c>
      <c r="E568" s="3">
        <v>98</v>
      </c>
      <c r="F568" s="3">
        <v>98</v>
      </c>
      <c r="G568" s="3">
        <v>92</v>
      </c>
      <c r="H568" s="3">
        <v>92</v>
      </c>
      <c r="K568" t="str">
        <v>51581S</v>
      </c>
      <c r="L568">
        <v>120</v>
      </c>
      <c r="N568" t="str">
        <v>10J</v>
      </c>
      <c r="O568" t="str">
        <v>938H</v>
      </c>
      <c r="P568">
        <v>37</v>
      </c>
      <c r="R568" t="str">
        <v>10M</v>
      </c>
      <c r="S568">
        <v>129</v>
      </c>
    </row>
    <row r="569" spans="1:23" x14ac:dyDescent="0.3">
      <c r="A569" s="3" t="s">
        <v>409</v>
      </c>
      <c r="B569" s="3" t="s">
        <v>390</v>
      </c>
      <c r="C569" s="3" t="s">
        <v>443</v>
      </c>
      <c r="D569" s="3" t="s">
        <v>399</v>
      </c>
      <c r="E569" s="3">
        <v>65</v>
      </c>
      <c r="F569" s="3">
        <v>65</v>
      </c>
      <c r="G569" s="3">
        <v>106</v>
      </c>
      <c r="H569" s="3">
        <v>106</v>
      </c>
      <c r="K569" t="str">
        <v>9364H</v>
      </c>
      <c r="L569">
        <v>120</v>
      </c>
      <c r="N569" t="str">
        <v>47874J</v>
      </c>
      <c r="O569" t="str">
        <v>8675F</v>
      </c>
      <c r="P569">
        <v>64</v>
      </c>
      <c r="R569" t="str">
        <v>99621C</v>
      </c>
      <c r="S569">
        <v>129</v>
      </c>
    </row>
    <row r="570" spans="1:23" x14ac:dyDescent="0.3">
      <c r="A570" s="3" t="s">
        <v>446</v>
      </c>
      <c r="B570" s="3" t="s">
        <v>417</v>
      </c>
      <c r="C570" s="3" t="s">
        <v>394</v>
      </c>
      <c r="D570" s="3" t="s">
        <v>388</v>
      </c>
      <c r="E570" s="3">
        <v>143</v>
      </c>
      <c r="F570" s="3">
        <v>143</v>
      </c>
      <c r="G570" s="3">
        <v>60</v>
      </c>
      <c r="H570" s="3">
        <v>60</v>
      </c>
      <c r="K570" t="str">
        <v>10B</v>
      </c>
      <c r="L570">
        <v>138</v>
      </c>
      <c r="N570" t="str">
        <v>7700H</v>
      </c>
      <c r="O570" t="str">
        <v>502A</v>
      </c>
      <c r="P570">
        <v>54</v>
      </c>
      <c r="R570" t="str">
        <v>51777H</v>
      </c>
      <c r="S570">
        <v>60</v>
      </c>
    </row>
    <row r="571" spans="1:23" x14ac:dyDescent="0.3">
      <c r="A571" s="3" t="s">
        <v>456</v>
      </c>
      <c r="B571" s="3" t="s">
        <v>418</v>
      </c>
      <c r="C571" s="3" t="s">
        <v>460</v>
      </c>
      <c r="D571" s="3" t="s">
        <v>437</v>
      </c>
      <c r="E571" s="3">
        <v>69</v>
      </c>
      <c r="F571" s="3">
        <v>69</v>
      </c>
      <c r="G571" s="3">
        <v>131</v>
      </c>
      <c r="H571" s="3">
        <v>131</v>
      </c>
      <c r="K571" t="str">
        <v>80001B</v>
      </c>
      <c r="L571">
        <v>138</v>
      </c>
      <c r="N571" t="str">
        <v>84141A</v>
      </c>
      <c r="O571" t="str">
        <v>3512E</v>
      </c>
      <c r="P571">
        <v>40</v>
      </c>
      <c r="R571" t="str">
        <v>938A</v>
      </c>
      <c r="S571">
        <v>60</v>
      </c>
    </row>
    <row r="572" spans="1:23" x14ac:dyDescent="0.3">
      <c r="A572" s="3" t="s">
        <v>438</v>
      </c>
      <c r="B572" s="3" t="s">
        <v>414</v>
      </c>
      <c r="C572" s="3" t="s">
        <v>434</v>
      </c>
      <c r="D572" s="3" t="s">
        <v>421</v>
      </c>
      <c r="E572" s="3">
        <v>90</v>
      </c>
      <c r="F572" s="3">
        <v>90</v>
      </c>
      <c r="G572" s="3">
        <v>112</v>
      </c>
      <c r="H572" s="3">
        <v>112</v>
      </c>
      <c r="K572" t="str">
        <v>886N</v>
      </c>
      <c r="L572">
        <v>122</v>
      </c>
      <c r="N572" t="str">
        <v>3512B</v>
      </c>
      <c r="O572" t="str">
        <v>98225M</v>
      </c>
      <c r="P572">
        <v>25</v>
      </c>
      <c r="R572" t="str">
        <v>938X</v>
      </c>
      <c r="S572">
        <v>89</v>
      </c>
    </row>
    <row r="573" spans="1:23" x14ac:dyDescent="0.3">
      <c r="A573" s="3" t="s">
        <v>422</v>
      </c>
      <c r="B573" s="3" t="s">
        <v>442</v>
      </c>
      <c r="C573" s="3" t="s">
        <v>453</v>
      </c>
      <c r="D573" s="3" t="s">
        <v>396</v>
      </c>
      <c r="E573" s="3">
        <v>80</v>
      </c>
      <c r="F573" s="3">
        <v>80</v>
      </c>
      <c r="G573" s="3">
        <v>80</v>
      </c>
      <c r="H573" s="3">
        <v>80</v>
      </c>
      <c r="K573" t="str">
        <v>920B</v>
      </c>
      <c r="L573">
        <v>122</v>
      </c>
      <c r="N573" t="str">
        <v>652A</v>
      </c>
      <c r="O573" t="str">
        <v>7784W</v>
      </c>
      <c r="P573">
        <v>53</v>
      </c>
      <c r="R573" t="str">
        <v>47000X</v>
      </c>
      <c r="S573">
        <v>89</v>
      </c>
    </row>
    <row r="574" spans="1:23" x14ac:dyDescent="0.3">
      <c r="A574" s="3" t="s">
        <v>424</v>
      </c>
      <c r="B574" s="3" t="s">
        <v>447</v>
      </c>
      <c r="C574" s="3" t="s">
        <v>397</v>
      </c>
      <c r="D574" s="3" t="s">
        <v>395</v>
      </c>
      <c r="E574" s="3">
        <v>103</v>
      </c>
      <c r="F574" s="3">
        <v>103</v>
      </c>
      <c r="G574" s="3">
        <v>45</v>
      </c>
      <c r="H574" s="3">
        <v>45</v>
      </c>
      <c r="K574" t="str">
        <v>61002G</v>
      </c>
      <c r="L574">
        <v>107</v>
      </c>
      <c r="N574" t="str">
        <v>938F</v>
      </c>
      <c r="O574" t="str">
        <v>44244N</v>
      </c>
      <c r="P574">
        <v>87</v>
      </c>
      <c r="R574" t="str">
        <v>7899B</v>
      </c>
      <c r="S574">
        <v>57</v>
      </c>
    </row>
    <row r="575" spans="1:23" x14ac:dyDescent="0.3">
      <c r="A575" s="3" t="s">
        <v>429</v>
      </c>
      <c r="B575" s="3" t="s">
        <v>452</v>
      </c>
      <c r="C575" s="3" t="s">
        <v>406</v>
      </c>
      <c r="D575" s="3" t="s">
        <v>403</v>
      </c>
      <c r="E575" s="3">
        <v>83</v>
      </c>
      <c r="F575" s="3">
        <v>83</v>
      </c>
      <c r="G575" s="3">
        <v>70</v>
      </c>
      <c r="H575" s="3">
        <v>70</v>
      </c>
      <c r="K575" t="str">
        <v>1469A</v>
      </c>
      <c r="L575">
        <v>107</v>
      </c>
      <c r="N575" t="str">
        <v>917A</v>
      </c>
      <c r="O575" t="str">
        <v>51581E</v>
      </c>
      <c r="P575">
        <v>79</v>
      </c>
      <c r="R575" t="str">
        <v>84141A</v>
      </c>
      <c r="S575">
        <v>57</v>
      </c>
    </row>
    <row r="576" spans="1:23" x14ac:dyDescent="0.3">
      <c r="A576" s="3" t="s">
        <v>428</v>
      </c>
      <c r="B576" s="3" t="s">
        <v>404</v>
      </c>
      <c r="C576" s="3" t="s">
        <v>412</v>
      </c>
      <c r="D576" s="3" t="s">
        <v>433</v>
      </c>
      <c r="E576" s="3">
        <v>93</v>
      </c>
      <c r="F576" s="3">
        <v>93</v>
      </c>
      <c r="G576" s="3">
        <v>55</v>
      </c>
      <c r="H576" s="3">
        <v>55</v>
      </c>
      <c r="K576" t="str">
        <v>1091A</v>
      </c>
      <c r="L576">
        <v>78</v>
      </c>
      <c r="N576" t="str">
        <v>10T</v>
      </c>
      <c r="O576" t="str">
        <v>537K</v>
      </c>
      <c r="P576">
        <v>86</v>
      </c>
      <c r="R576" t="str">
        <v>9364G</v>
      </c>
      <c r="S576">
        <v>118</v>
      </c>
    </row>
    <row r="577" spans="1:19" x14ac:dyDescent="0.3">
      <c r="A577" s="3" t="s">
        <v>441</v>
      </c>
      <c r="B577" s="3" t="s">
        <v>419</v>
      </c>
      <c r="C577" s="3" t="s">
        <v>461</v>
      </c>
      <c r="D577" s="3" t="s">
        <v>387</v>
      </c>
      <c r="E577" s="3">
        <v>37</v>
      </c>
      <c r="F577" s="3">
        <v>37</v>
      </c>
      <c r="G577" s="3">
        <v>92</v>
      </c>
      <c r="H577" s="3">
        <v>92</v>
      </c>
      <c r="K577" t="str">
        <v>502X</v>
      </c>
      <c r="L577">
        <v>78</v>
      </c>
      <c r="N577" t="str">
        <v>938X</v>
      </c>
      <c r="O577" t="str">
        <v>10M</v>
      </c>
      <c r="P577">
        <v>105</v>
      </c>
      <c r="R577" t="str">
        <v>44244N</v>
      </c>
      <c r="S577">
        <v>118</v>
      </c>
    </row>
    <row r="578" spans="1:19" x14ac:dyDescent="0.3">
      <c r="A578" s="3" t="s">
        <v>389</v>
      </c>
      <c r="B578" s="3" t="s">
        <v>457</v>
      </c>
      <c r="C578" s="3" t="s">
        <v>449</v>
      </c>
      <c r="D578" s="3" t="s">
        <v>416</v>
      </c>
      <c r="E578" s="3">
        <v>95</v>
      </c>
      <c r="F578" s="3">
        <v>95</v>
      </c>
      <c r="G578" s="3">
        <v>112</v>
      </c>
      <c r="H578" s="3">
        <v>112</v>
      </c>
      <c r="K578" t="str">
        <v>1010W</v>
      </c>
      <c r="L578">
        <v>119</v>
      </c>
      <c r="N578" t="str">
        <v>6526D</v>
      </c>
      <c r="O578" t="str">
        <v>938N</v>
      </c>
      <c r="P578">
        <v>86</v>
      </c>
      <c r="R578" t="str">
        <v>2681A</v>
      </c>
      <c r="S578">
        <v>89</v>
      </c>
    </row>
    <row r="579" spans="1:19" x14ac:dyDescent="0.3">
      <c r="A579" s="3" t="s">
        <v>398</v>
      </c>
      <c r="B579" s="3" t="s">
        <v>444</v>
      </c>
      <c r="C579" s="3" t="s">
        <v>423</v>
      </c>
      <c r="D579" s="3" t="s">
        <v>451</v>
      </c>
      <c r="E579" s="3">
        <v>168</v>
      </c>
      <c r="F579" s="3">
        <v>168</v>
      </c>
      <c r="G579" s="3">
        <v>48</v>
      </c>
      <c r="H579" s="3">
        <v>48</v>
      </c>
      <c r="K579" t="str">
        <v>11101B</v>
      </c>
      <c r="L579">
        <v>119</v>
      </c>
      <c r="N579" t="str">
        <v>98225H</v>
      </c>
      <c r="O579" t="str">
        <v>884B</v>
      </c>
      <c r="P579">
        <v>77</v>
      </c>
      <c r="R579" t="str">
        <v>10F</v>
      </c>
      <c r="S579">
        <v>89</v>
      </c>
    </row>
    <row r="580" spans="1:19" x14ac:dyDescent="0.3">
      <c r="A580" s="3" t="s">
        <v>392</v>
      </c>
      <c r="B580" s="3" t="s">
        <v>432</v>
      </c>
      <c r="C580" s="3" t="s">
        <v>413</v>
      </c>
      <c r="D580" s="3" t="s">
        <v>426</v>
      </c>
      <c r="E580" s="3">
        <v>52</v>
      </c>
      <c r="F580" s="3">
        <v>52</v>
      </c>
      <c r="G580" s="3">
        <v>62</v>
      </c>
      <c r="H580" s="3">
        <v>62</v>
      </c>
      <c r="K580" t="str">
        <v>51581S</v>
      </c>
      <c r="L580">
        <v>87</v>
      </c>
      <c r="N580" t="str">
        <v>9364G</v>
      </c>
      <c r="O580" t="str">
        <v>1000A</v>
      </c>
      <c r="P580">
        <v>75</v>
      </c>
      <c r="R580" t="str">
        <v>6526H</v>
      </c>
      <c r="S580">
        <v>113</v>
      </c>
    </row>
    <row r="581" spans="1:19" x14ac:dyDescent="0.3">
      <c r="A581" s="3" t="s">
        <v>458</v>
      </c>
      <c r="B581" s="3" t="s">
        <v>411</v>
      </c>
      <c r="C581" s="3" t="s">
        <v>393</v>
      </c>
      <c r="D581" s="3" t="s">
        <v>436</v>
      </c>
      <c r="E581" s="3">
        <v>79</v>
      </c>
      <c r="F581" s="3">
        <v>79</v>
      </c>
      <c r="G581" s="3">
        <v>111</v>
      </c>
      <c r="H581" s="3">
        <v>111</v>
      </c>
      <c r="K581" t="str">
        <v>9364H</v>
      </c>
      <c r="L581">
        <v>87</v>
      </c>
      <c r="N581" t="str">
        <v>16689Z</v>
      </c>
      <c r="O581" t="str">
        <v>10F</v>
      </c>
      <c r="P581">
        <v>92</v>
      </c>
      <c r="R581" t="str">
        <v>16689E</v>
      </c>
      <c r="S581">
        <v>113</v>
      </c>
    </row>
    <row r="582" spans="1:19" x14ac:dyDescent="0.3">
      <c r="A582" s="3" t="s">
        <v>431</v>
      </c>
      <c r="B582" s="3" t="s">
        <v>454</v>
      </c>
      <c r="C582" s="3" t="s">
        <v>439</v>
      </c>
      <c r="D582" s="3" t="s">
        <v>402</v>
      </c>
      <c r="E582" s="3">
        <v>62</v>
      </c>
      <c r="F582" s="3">
        <v>62</v>
      </c>
      <c r="G582" s="3">
        <v>22</v>
      </c>
      <c r="H582" s="3">
        <v>22</v>
      </c>
      <c r="K582" t="str">
        <v>10B</v>
      </c>
      <c r="L582">
        <v>130</v>
      </c>
      <c r="N582" t="str">
        <v>6526H</v>
      </c>
      <c r="O582" t="str">
        <v>9364C</v>
      </c>
      <c r="P582">
        <v>92</v>
      </c>
      <c r="R582" t="str">
        <v>10J</v>
      </c>
      <c r="S582">
        <v>112</v>
      </c>
    </row>
    <row r="583" spans="1:19" x14ac:dyDescent="0.3">
      <c r="A583" s="3" t="s">
        <v>407</v>
      </c>
      <c r="B583" s="3" t="s">
        <v>401</v>
      </c>
      <c r="C583" s="3" t="s">
        <v>448</v>
      </c>
      <c r="D583" s="3" t="s">
        <v>455</v>
      </c>
      <c r="E583" s="3">
        <v>94</v>
      </c>
      <c r="F583" s="3">
        <v>94</v>
      </c>
      <c r="G583" s="3">
        <v>70</v>
      </c>
      <c r="H583" s="3">
        <v>70</v>
      </c>
      <c r="K583" t="str">
        <v>80001B</v>
      </c>
      <c r="L583">
        <v>130</v>
      </c>
      <c r="N583" t="str">
        <v>609A</v>
      </c>
      <c r="O583" t="str">
        <v>47000X</v>
      </c>
      <c r="P583">
        <v>106</v>
      </c>
      <c r="R583" t="str">
        <v>6526D</v>
      </c>
      <c r="S583">
        <v>112</v>
      </c>
    </row>
    <row r="584" spans="1:19" x14ac:dyDescent="0.3">
      <c r="A584" s="3" t="s">
        <v>443</v>
      </c>
      <c r="B584" s="3" t="s">
        <v>412</v>
      </c>
      <c r="C584" s="3" t="s">
        <v>446</v>
      </c>
      <c r="D584" s="3" t="s">
        <v>422</v>
      </c>
      <c r="E584" s="3">
        <v>80</v>
      </c>
      <c r="F584" s="3">
        <v>80</v>
      </c>
      <c r="G584" s="3">
        <v>123</v>
      </c>
      <c r="H584" s="3">
        <v>123</v>
      </c>
      <c r="K584" t="str">
        <v>61002G</v>
      </c>
      <c r="L584">
        <v>93</v>
      </c>
      <c r="N584" t="str">
        <v>10M</v>
      </c>
      <c r="O584" t="str">
        <v>90385G</v>
      </c>
      <c r="P584">
        <v>60</v>
      </c>
      <c r="R584" t="str">
        <v>938C</v>
      </c>
      <c r="S584">
        <v>65</v>
      </c>
    </row>
    <row r="585" spans="1:19" x14ac:dyDescent="0.3">
      <c r="A585" s="3" t="s">
        <v>424</v>
      </c>
      <c r="B585" s="3" t="s">
        <v>429</v>
      </c>
      <c r="C585" s="3" t="s">
        <v>438</v>
      </c>
      <c r="D585" s="3" t="s">
        <v>390</v>
      </c>
      <c r="E585" s="3">
        <v>70</v>
      </c>
      <c r="F585" s="3">
        <v>70</v>
      </c>
      <c r="G585" s="3">
        <v>47</v>
      </c>
      <c r="H585" s="3">
        <v>47</v>
      </c>
      <c r="K585" t="str">
        <v>1469A</v>
      </c>
      <c r="L585">
        <v>93</v>
      </c>
      <c r="N585" t="str">
        <v>66475C</v>
      </c>
      <c r="O585" t="str">
        <v>16689A</v>
      </c>
      <c r="P585">
        <v>131</v>
      </c>
      <c r="R585" t="str">
        <v>884B</v>
      </c>
      <c r="S585">
        <v>65</v>
      </c>
    </row>
    <row r="586" spans="1:19" x14ac:dyDescent="0.3">
      <c r="A586" s="3" t="s">
        <v>452</v>
      </c>
      <c r="B586" s="3" t="s">
        <v>416</v>
      </c>
      <c r="C586" s="3" t="s">
        <v>409</v>
      </c>
      <c r="D586" s="3" t="s">
        <v>460</v>
      </c>
      <c r="E586" s="3">
        <v>62</v>
      </c>
      <c r="F586" s="3">
        <v>62</v>
      </c>
      <c r="G586" s="3">
        <v>105</v>
      </c>
      <c r="H586" s="3">
        <v>105</v>
      </c>
      <c r="K586" t="str">
        <v>1010W</v>
      </c>
      <c r="L586">
        <v>123</v>
      </c>
      <c r="N586" t="str">
        <v>9805A</v>
      </c>
      <c r="O586" t="str">
        <v>10012G</v>
      </c>
      <c r="P586">
        <v>112</v>
      </c>
      <c r="R586" t="str">
        <v>1687C</v>
      </c>
      <c r="S586">
        <v>99</v>
      </c>
    </row>
    <row r="587" spans="1:19" x14ac:dyDescent="0.3">
      <c r="A587" s="3" t="s">
        <v>397</v>
      </c>
      <c r="B587" s="3" t="s">
        <v>421</v>
      </c>
      <c r="C587" s="3" t="s">
        <v>392</v>
      </c>
      <c r="D587" s="3" t="s">
        <v>451</v>
      </c>
      <c r="E587" s="3">
        <v>109</v>
      </c>
      <c r="F587" s="3">
        <v>109</v>
      </c>
      <c r="G587" s="3">
        <v>87</v>
      </c>
      <c r="H587" s="3">
        <v>87</v>
      </c>
      <c r="K587" t="str">
        <v>11101B</v>
      </c>
      <c r="L587">
        <v>123</v>
      </c>
      <c r="N587" t="str">
        <v>5155A</v>
      </c>
      <c r="O587" t="str">
        <v>51777H</v>
      </c>
      <c r="P587">
        <v>80</v>
      </c>
      <c r="R587" t="str">
        <v>99621A</v>
      </c>
      <c r="S587">
        <v>99</v>
      </c>
    </row>
    <row r="588" spans="1:19" x14ac:dyDescent="0.3">
      <c r="A588" s="3" t="s">
        <v>419</v>
      </c>
      <c r="B588" s="3" t="s">
        <v>398</v>
      </c>
      <c r="C588" s="3" t="s">
        <v>442</v>
      </c>
      <c r="D588" s="3" t="s">
        <v>456</v>
      </c>
      <c r="E588" s="3">
        <v>60</v>
      </c>
      <c r="F588" s="3">
        <v>60</v>
      </c>
      <c r="G588" s="3">
        <v>80</v>
      </c>
      <c r="H588" s="3">
        <v>80</v>
      </c>
      <c r="K588" t="str">
        <v>10B</v>
      </c>
      <c r="L588">
        <v>130</v>
      </c>
      <c r="N588" t="str">
        <v>938A</v>
      </c>
      <c r="O588" t="str">
        <v>99621C</v>
      </c>
      <c r="P588">
        <v>45</v>
      </c>
      <c r="R588" t="str">
        <v>938H</v>
      </c>
      <c r="S588">
        <v>97</v>
      </c>
    </row>
    <row r="589" spans="1:19" x14ac:dyDescent="0.3">
      <c r="A589" s="3" t="s">
        <v>441</v>
      </c>
      <c r="B589" s="3" t="s">
        <v>427</v>
      </c>
      <c r="C589" s="3" t="s">
        <v>389</v>
      </c>
      <c r="D589" s="3" t="s">
        <v>393</v>
      </c>
      <c r="E589" s="3">
        <v>98</v>
      </c>
      <c r="F589" s="3">
        <v>98</v>
      </c>
      <c r="G589" s="3">
        <v>90</v>
      </c>
      <c r="H589" s="3">
        <v>90</v>
      </c>
      <c r="K589" t="str">
        <v>80001B</v>
      </c>
      <c r="L589">
        <v>130</v>
      </c>
      <c r="N589" t="str">
        <v>2681A</v>
      </c>
      <c r="O589" t="str">
        <v>9364G</v>
      </c>
      <c r="P589">
        <v>70</v>
      </c>
      <c r="R589" t="str">
        <v>537K</v>
      </c>
      <c r="S589">
        <v>97</v>
      </c>
    </row>
    <row r="590" spans="1:19" x14ac:dyDescent="0.3">
      <c r="A590" s="3" t="s">
        <v>448</v>
      </c>
      <c r="B590" s="3" t="s">
        <v>388</v>
      </c>
      <c r="C590" s="3" t="s">
        <v>414</v>
      </c>
      <c r="D590" s="3" t="s">
        <v>461</v>
      </c>
      <c r="E590" s="3">
        <v>83</v>
      </c>
      <c r="F590" s="3">
        <v>83</v>
      </c>
      <c r="G590" s="3">
        <v>87</v>
      </c>
      <c r="H590" s="3">
        <v>87</v>
      </c>
      <c r="K590" t="str">
        <v>1010W</v>
      </c>
      <c r="L590">
        <v>148</v>
      </c>
      <c r="N590" t="str">
        <v>6526D</v>
      </c>
      <c r="O590" t="str">
        <v>10X</v>
      </c>
      <c r="P590">
        <v>55</v>
      </c>
      <c r="R590" t="str">
        <v>10012G</v>
      </c>
      <c r="S590">
        <v>59</v>
      </c>
    </row>
    <row r="591" spans="1:19" x14ac:dyDescent="0.3">
      <c r="A591" s="3" t="s">
        <v>418</v>
      </c>
      <c r="B591" s="3" t="s">
        <v>449</v>
      </c>
      <c r="C591" s="3" t="s">
        <v>434</v>
      </c>
      <c r="D591" s="3" t="s">
        <v>444</v>
      </c>
      <c r="E591" s="3">
        <v>31</v>
      </c>
      <c r="F591" s="3">
        <v>31</v>
      </c>
      <c r="G591" s="3">
        <v>90</v>
      </c>
      <c r="H591" s="3">
        <v>90</v>
      </c>
      <c r="K591" t="str">
        <v>11101B</v>
      </c>
      <c r="L591">
        <v>148</v>
      </c>
      <c r="N591" t="str">
        <v>1258V</v>
      </c>
      <c r="O591" t="str">
        <v>51581E</v>
      </c>
      <c r="P591">
        <v>92</v>
      </c>
      <c r="R591" t="str">
        <v>98040C</v>
      </c>
      <c r="S591">
        <v>59</v>
      </c>
    </row>
    <row r="592" spans="1:19" x14ac:dyDescent="0.3">
      <c r="A592" s="3" t="s">
        <v>406</v>
      </c>
      <c r="B592" s="3" t="s">
        <v>423</v>
      </c>
      <c r="C592" s="3" t="s">
        <v>433</v>
      </c>
      <c r="D592" s="3" t="s">
        <v>457</v>
      </c>
      <c r="E592" s="3">
        <v>43</v>
      </c>
      <c r="F592" s="3">
        <v>43</v>
      </c>
      <c r="G592" s="3">
        <v>105</v>
      </c>
      <c r="H592" s="3">
        <v>105</v>
      </c>
      <c r="K592" t="str">
        <v>10B</v>
      </c>
      <c r="L592">
        <v>124</v>
      </c>
      <c r="N592" t="str">
        <v>98225M</v>
      </c>
      <c r="O592" t="str">
        <v>1687C</v>
      </c>
      <c r="P592">
        <v>112</v>
      </c>
      <c r="R592" t="str">
        <v>938U</v>
      </c>
      <c r="S592">
        <v>42</v>
      </c>
    </row>
    <row r="593" spans="1:19" x14ac:dyDescent="0.3">
      <c r="A593" s="3" t="s">
        <v>407</v>
      </c>
      <c r="B593" s="3" t="s">
        <v>454</v>
      </c>
      <c r="C593" s="3" t="s">
        <v>417</v>
      </c>
      <c r="D593" s="3" t="s">
        <v>447</v>
      </c>
      <c r="E593" s="3">
        <v>63</v>
      </c>
      <c r="F593" s="3">
        <v>63</v>
      </c>
      <c r="G593" s="3">
        <v>20</v>
      </c>
      <c r="H593" s="3">
        <v>20</v>
      </c>
      <c r="K593" t="str">
        <v>80001B</v>
      </c>
      <c r="L593">
        <v>124</v>
      </c>
      <c r="N593" t="str">
        <v>938U</v>
      </c>
      <c r="O593" t="str">
        <v>938N</v>
      </c>
      <c r="P593">
        <v>48</v>
      </c>
      <c r="R593" t="str">
        <v>502A</v>
      </c>
      <c r="S593">
        <v>42</v>
      </c>
    </row>
    <row r="594" spans="1:19" x14ac:dyDescent="0.3">
      <c r="A594" s="3" t="s">
        <v>402</v>
      </c>
      <c r="B594" s="3" t="s">
        <v>453</v>
      </c>
      <c r="C594" s="3" t="s">
        <v>436</v>
      </c>
      <c r="D594" s="3" t="s">
        <v>455</v>
      </c>
      <c r="E594" s="3">
        <v>130</v>
      </c>
      <c r="F594" s="3">
        <v>130</v>
      </c>
      <c r="G594" s="3">
        <v>83</v>
      </c>
      <c r="H594" s="3">
        <v>83</v>
      </c>
      <c r="K594" t="str">
        <v>1010W</v>
      </c>
      <c r="L594">
        <v>152</v>
      </c>
      <c r="N594" t="str">
        <v>938C</v>
      </c>
      <c r="O594" t="str">
        <v>1698Y</v>
      </c>
      <c r="P594">
        <v>62</v>
      </c>
      <c r="R594" t="str">
        <v>1698Y</v>
      </c>
      <c r="S594">
        <v>132</v>
      </c>
    </row>
    <row r="595" spans="1:19" x14ac:dyDescent="0.3">
      <c r="A595" s="3" t="s">
        <v>408</v>
      </c>
      <c r="B595" s="3" t="s">
        <v>403</v>
      </c>
      <c r="C595" s="3" t="s">
        <v>399</v>
      </c>
      <c r="D595" s="3" t="s">
        <v>413</v>
      </c>
      <c r="E595" s="3">
        <v>92</v>
      </c>
      <c r="F595" s="3">
        <v>92</v>
      </c>
      <c r="G595" s="3">
        <v>59</v>
      </c>
      <c r="H595" s="3">
        <v>59</v>
      </c>
      <c r="K595" t="str">
        <v>11101B</v>
      </c>
      <c r="L595">
        <v>152</v>
      </c>
      <c r="N595" t="str">
        <v>938F</v>
      </c>
      <c r="O595" t="str">
        <v>1168A</v>
      </c>
      <c r="P595">
        <v>111</v>
      </c>
      <c r="R595" t="str">
        <v>9364C</v>
      </c>
      <c r="S595">
        <v>132</v>
      </c>
    </row>
    <row r="596" spans="1:19" x14ac:dyDescent="0.3">
      <c r="A596" s="3" t="s">
        <v>458</v>
      </c>
      <c r="B596" s="3" t="s">
        <v>428</v>
      </c>
      <c r="C596" s="3" t="s">
        <v>439</v>
      </c>
      <c r="D596" s="3" t="s">
        <v>432</v>
      </c>
      <c r="E596" s="3">
        <v>129</v>
      </c>
      <c r="F596" s="3">
        <v>129</v>
      </c>
      <c r="G596" s="3">
        <v>59</v>
      </c>
      <c r="H596" s="3">
        <v>59</v>
      </c>
      <c r="K596" t="str">
        <v>10B</v>
      </c>
      <c r="L596">
        <v>142</v>
      </c>
      <c r="N596" t="str">
        <v>938K</v>
      </c>
      <c r="O596" t="str">
        <v>84141A</v>
      </c>
      <c r="P596">
        <v>22</v>
      </c>
      <c r="R596" t="str">
        <v>652A</v>
      </c>
      <c r="S596">
        <v>118</v>
      </c>
    </row>
    <row r="597" spans="1:19" x14ac:dyDescent="0.3">
      <c r="A597" s="3" t="s">
        <v>404</v>
      </c>
      <c r="B597" s="3" t="s">
        <v>396</v>
      </c>
      <c r="C597" s="3" t="s">
        <v>395</v>
      </c>
      <c r="D597" s="3" t="s">
        <v>431</v>
      </c>
      <c r="E597" s="3">
        <v>71</v>
      </c>
      <c r="F597" s="3">
        <v>71</v>
      </c>
      <c r="G597" s="3">
        <v>63</v>
      </c>
      <c r="H597" s="3">
        <v>63</v>
      </c>
      <c r="K597" t="str">
        <v>80001B</v>
      </c>
      <c r="L597">
        <v>142</v>
      </c>
      <c r="N597" t="str">
        <v>84141X</v>
      </c>
      <c r="O597" t="str">
        <v>10A</v>
      </c>
      <c r="P597">
        <v>70</v>
      </c>
      <c r="R597" t="str">
        <v>10T</v>
      </c>
      <c r="S597">
        <v>118</v>
      </c>
    </row>
    <row r="598" spans="1:19" x14ac:dyDescent="0.3">
      <c r="A598" s="3" t="s">
        <v>387</v>
      </c>
      <c r="B598" s="3" t="s">
        <v>411</v>
      </c>
      <c r="C598" s="3" t="s">
        <v>401</v>
      </c>
      <c r="D598" s="3" t="s">
        <v>426</v>
      </c>
      <c r="E598" s="3">
        <v>84</v>
      </c>
      <c r="F598" s="3">
        <v>84</v>
      </c>
      <c r="G598" s="3">
        <v>127</v>
      </c>
      <c r="H598" s="3">
        <v>127</v>
      </c>
      <c r="K598" t="str">
        <v>1010W</v>
      </c>
      <c r="L598">
        <v>138</v>
      </c>
      <c r="N598" t="str">
        <v>229V</v>
      </c>
      <c r="O598" t="str">
        <v>98040C</v>
      </c>
      <c r="P598">
        <v>123</v>
      </c>
      <c r="R598" t="str">
        <v>938R</v>
      </c>
      <c r="S598">
        <v>48</v>
      </c>
    </row>
    <row r="599" spans="1:19" x14ac:dyDescent="0.3">
      <c r="A599" s="3" t="s">
        <v>394</v>
      </c>
      <c r="B599" s="3" t="s">
        <v>437</v>
      </c>
      <c r="C599" s="3" t="s">
        <v>397</v>
      </c>
      <c r="D599" s="3" t="s">
        <v>433</v>
      </c>
      <c r="E599" s="3">
        <v>80</v>
      </c>
      <c r="F599" s="3">
        <v>80</v>
      </c>
      <c r="G599" s="3">
        <v>96</v>
      </c>
      <c r="H599" s="3">
        <v>96</v>
      </c>
      <c r="K599" t="str">
        <v>11101B</v>
      </c>
      <c r="L599">
        <v>138</v>
      </c>
      <c r="N599" t="str">
        <v>47874J</v>
      </c>
      <c r="O599" t="str">
        <v>7784W</v>
      </c>
      <c r="P599">
        <v>47</v>
      </c>
      <c r="R599" t="str">
        <v>16689Z</v>
      </c>
      <c r="S599">
        <v>48</v>
      </c>
    </row>
    <row r="600" spans="1:19" x14ac:dyDescent="0.3">
      <c r="K600" t="str">
        <v>938T</v>
      </c>
      <c r="L600">
        <v>67</v>
      </c>
      <c r="N600" t="str">
        <v>16689E</v>
      </c>
      <c r="O600" t="str">
        <v>66475C</v>
      </c>
      <c r="P600">
        <v>105</v>
      </c>
      <c r="R600" t="str">
        <v>10X</v>
      </c>
      <c r="S600">
        <v>125</v>
      </c>
    </row>
    <row r="601" spans="1:19" x14ac:dyDescent="0.3">
      <c r="K601" t="str">
        <v>93199G</v>
      </c>
      <c r="L601">
        <v>67</v>
      </c>
      <c r="N601" t="str">
        <v>8675F</v>
      </c>
      <c r="O601" t="str">
        <v>938N</v>
      </c>
      <c r="P601">
        <v>87</v>
      </c>
      <c r="R601" t="str">
        <v>9805A</v>
      </c>
      <c r="S601">
        <v>125</v>
      </c>
    </row>
    <row r="602" spans="1:19" x14ac:dyDescent="0.3">
      <c r="K602" t="str">
        <v>3583A</v>
      </c>
      <c r="L602">
        <v>107</v>
      </c>
      <c r="N602" t="str">
        <v>5327K</v>
      </c>
      <c r="O602" t="str">
        <v>3512B</v>
      </c>
      <c r="P602">
        <v>80</v>
      </c>
      <c r="R602" t="str">
        <v>1168A</v>
      </c>
      <c r="S602">
        <v>186</v>
      </c>
    </row>
    <row r="603" spans="1:19" x14ac:dyDescent="0.3">
      <c r="K603" t="str">
        <v>10N</v>
      </c>
      <c r="L603">
        <v>107</v>
      </c>
      <c r="N603" t="str">
        <v>10C</v>
      </c>
      <c r="O603" t="str">
        <v>938F</v>
      </c>
      <c r="P603">
        <v>90</v>
      </c>
      <c r="R603" t="str">
        <v>16689A</v>
      </c>
      <c r="S603">
        <v>186</v>
      </c>
    </row>
    <row r="604" spans="1:19" x14ac:dyDescent="0.3">
      <c r="K604" t="str">
        <v>10009A</v>
      </c>
      <c r="L604">
        <v>78</v>
      </c>
      <c r="N604" t="str">
        <v>884B</v>
      </c>
      <c r="O604" t="str">
        <v>1258V</v>
      </c>
      <c r="P604">
        <v>87</v>
      </c>
      <c r="R604" t="str">
        <v>47874J</v>
      </c>
      <c r="S604">
        <v>55</v>
      </c>
    </row>
    <row r="605" spans="1:19" x14ac:dyDescent="0.3">
      <c r="K605" t="str">
        <v>47874R</v>
      </c>
      <c r="L605">
        <v>78</v>
      </c>
      <c r="N605" t="str">
        <v>9805A</v>
      </c>
      <c r="O605" t="str">
        <v>8675V</v>
      </c>
      <c r="P605">
        <v>90</v>
      </c>
      <c r="R605" t="str">
        <v>938K</v>
      </c>
      <c r="S605">
        <v>55</v>
      </c>
    </row>
    <row r="606" spans="1:19" x14ac:dyDescent="0.3">
      <c r="K606" t="str">
        <v>9364D</v>
      </c>
      <c r="L606">
        <v>130</v>
      </c>
      <c r="N606" t="str">
        <v>10X</v>
      </c>
      <c r="O606" t="str">
        <v>1023E</v>
      </c>
      <c r="P606">
        <v>105</v>
      </c>
      <c r="R606" t="str">
        <v>1000A</v>
      </c>
      <c r="S606">
        <v>113</v>
      </c>
    </row>
    <row r="607" spans="1:19" x14ac:dyDescent="0.3">
      <c r="K607" t="str">
        <v>39313Z</v>
      </c>
      <c r="L607">
        <v>130</v>
      </c>
      <c r="N607" t="str">
        <v>99621A</v>
      </c>
      <c r="O607" t="str">
        <v>98225H</v>
      </c>
      <c r="P607">
        <v>20</v>
      </c>
      <c r="R607" t="str">
        <v>5327K</v>
      </c>
      <c r="S607">
        <v>113</v>
      </c>
    </row>
    <row r="608" spans="1:19" x14ac:dyDescent="0.3">
      <c r="K608" t="str">
        <v>10W</v>
      </c>
      <c r="L608">
        <v>93</v>
      </c>
      <c r="N608" t="str">
        <v>1168A</v>
      </c>
      <c r="O608" t="str">
        <v>10A</v>
      </c>
      <c r="P608">
        <v>83</v>
      </c>
      <c r="R608" t="str">
        <v>609A</v>
      </c>
      <c r="S608">
        <v>90</v>
      </c>
    </row>
    <row r="609" spans="11:19" x14ac:dyDescent="0.3">
      <c r="K609" t="str">
        <v>10K</v>
      </c>
      <c r="L609">
        <v>93</v>
      </c>
      <c r="N609" t="str">
        <v>47000X</v>
      </c>
      <c r="O609" t="str">
        <v>938C</v>
      </c>
      <c r="P609">
        <v>59</v>
      </c>
      <c r="R609" t="str">
        <v>8675V</v>
      </c>
      <c r="S609">
        <v>90</v>
      </c>
    </row>
    <row r="610" spans="11:19" x14ac:dyDescent="0.3">
      <c r="K610" t="str">
        <v>51581S</v>
      </c>
      <c r="L610">
        <v>121</v>
      </c>
      <c r="N610" t="str">
        <v>938K</v>
      </c>
      <c r="O610" t="str">
        <v>16689Z</v>
      </c>
      <c r="P610">
        <v>59</v>
      </c>
      <c r="R610" t="str">
        <v>229V</v>
      </c>
      <c r="S610">
        <v>149</v>
      </c>
    </row>
    <row r="611" spans="11:19" x14ac:dyDescent="0.3">
      <c r="K611" t="str">
        <v>9364H</v>
      </c>
      <c r="L611">
        <v>121</v>
      </c>
      <c r="N611" t="str">
        <v>99621C</v>
      </c>
      <c r="O611" t="str">
        <v>938R</v>
      </c>
      <c r="P611">
        <v>63</v>
      </c>
      <c r="R611" t="str">
        <v>98225H</v>
      </c>
      <c r="S611">
        <v>149</v>
      </c>
    </row>
    <row r="612" spans="11:19" x14ac:dyDescent="0.3">
      <c r="K612" t="str">
        <v>90385R</v>
      </c>
      <c r="L612">
        <v>71</v>
      </c>
      <c r="N612" t="str">
        <v>7899B</v>
      </c>
      <c r="O612" t="str">
        <v>1698Y</v>
      </c>
      <c r="P612">
        <v>127</v>
      </c>
      <c r="R612" t="str">
        <v>84141X</v>
      </c>
      <c r="S612">
        <v>62</v>
      </c>
    </row>
    <row r="613" spans="11:19" x14ac:dyDescent="0.3">
      <c r="K613" t="str">
        <v>98225F</v>
      </c>
      <c r="L613">
        <v>71</v>
      </c>
      <c r="N613" t="str">
        <v>938A</v>
      </c>
      <c r="O613" t="str">
        <v>10X</v>
      </c>
      <c r="P613">
        <v>96</v>
      </c>
      <c r="R613" t="str">
        <v>98225M</v>
      </c>
      <c r="S613">
        <v>62</v>
      </c>
    </row>
    <row r="614" spans="11:19" x14ac:dyDescent="0.3">
      <c r="K614" t="str">
        <v>10B</v>
      </c>
      <c r="L614">
        <v>120</v>
      </c>
      <c r="N614" t="str">
        <v>1687C</v>
      </c>
      <c r="O614" t="str">
        <v>10T</v>
      </c>
      <c r="P614">
        <v>65</v>
      </c>
      <c r="R614" t="str">
        <v>938N</v>
      </c>
      <c r="S614">
        <v>54</v>
      </c>
    </row>
    <row r="615" spans="11:19" x14ac:dyDescent="0.3">
      <c r="K615" t="str">
        <v>80001B</v>
      </c>
      <c r="L615">
        <v>120</v>
      </c>
      <c r="N615" t="str">
        <v>16689A</v>
      </c>
      <c r="O615" t="str">
        <v>1258V</v>
      </c>
      <c r="P615">
        <v>80</v>
      </c>
      <c r="R615" t="str">
        <v>3512E</v>
      </c>
      <c r="S615">
        <v>54</v>
      </c>
    </row>
    <row r="616" spans="11:19" x14ac:dyDescent="0.3">
      <c r="K616" t="str">
        <v>8675R</v>
      </c>
      <c r="L616">
        <v>0</v>
      </c>
      <c r="N616" t="str">
        <v>6526H</v>
      </c>
      <c r="O616" t="str">
        <v>51581E</v>
      </c>
      <c r="P616">
        <v>87</v>
      </c>
      <c r="R616" t="str">
        <v>5155A</v>
      </c>
      <c r="S616">
        <v>200</v>
      </c>
    </row>
    <row r="617" spans="11:19" x14ac:dyDescent="0.3">
      <c r="K617" t="str">
        <v>5233J</v>
      </c>
      <c r="L617">
        <v>0</v>
      </c>
      <c r="N617" t="str">
        <v>10012G</v>
      </c>
      <c r="O617" t="str">
        <v>9364C</v>
      </c>
      <c r="P617">
        <v>100</v>
      </c>
      <c r="R617" t="str">
        <v>7700H</v>
      </c>
      <c r="S617">
        <v>200</v>
      </c>
    </row>
    <row r="618" spans="11:19" x14ac:dyDescent="0.3">
      <c r="K618" t="str">
        <v>8931R</v>
      </c>
      <c r="L618">
        <v>108</v>
      </c>
      <c r="N618" t="str">
        <v>652A</v>
      </c>
      <c r="O618" t="str">
        <v>1000A</v>
      </c>
      <c r="P618">
        <v>90</v>
      </c>
      <c r="R618" t="str">
        <v>10A</v>
      </c>
      <c r="S618">
        <v>73</v>
      </c>
    </row>
    <row r="619" spans="11:19" x14ac:dyDescent="0.3">
      <c r="K619" t="str">
        <v>604X</v>
      </c>
      <c r="L619">
        <v>108</v>
      </c>
      <c r="N619" t="str">
        <v>10012G</v>
      </c>
      <c r="O619" t="str">
        <v>9364C</v>
      </c>
      <c r="P619">
        <v>128</v>
      </c>
      <c r="R619" t="str">
        <v>3512B</v>
      </c>
      <c r="S619">
        <v>73</v>
      </c>
    </row>
    <row r="620" spans="11:19" x14ac:dyDescent="0.3">
      <c r="K620" t="str">
        <v>886N</v>
      </c>
      <c r="L620">
        <v>148</v>
      </c>
      <c r="N620" t="str">
        <v>10012G</v>
      </c>
      <c r="O620" t="str">
        <v>9364C</v>
      </c>
      <c r="P620">
        <v>90</v>
      </c>
      <c r="R620" t="str">
        <v>1023E</v>
      </c>
      <c r="S620">
        <v>89</v>
      </c>
    </row>
    <row r="621" spans="11:19" x14ac:dyDescent="0.3">
      <c r="K621" t="str">
        <v>920B</v>
      </c>
      <c r="L621">
        <v>148</v>
      </c>
      <c r="N621" t="str">
        <v>10012G</v>
      </c>
      <c r="O621" t="str">
        <v>9364C</v>
      </c>
      <c r="P621">
        <v>97</v>
      </c>
      <c r="R621" t="str">
        <v>917A</v>
      </c>
      <c r="S621">
        <v>89</v>
      </c>
    </row>
    <row r="622" spans="11:19" x14ac:dyDescent="0.3">
      <c r="K622" t="str">
        <v>61002G</v>
      </c>
      <c r="L622">
        <v>158</v>
      </c>
      <c r="N622" t="str">
        <v>99621C</v>
      </c>
      <c r="O622" t="str">
        <v>10M</v>
      </c>
      <c r="P622">
        <v>54</v>
      </c>
      <c r="R622" t="str">
        <v>66475C</v>
      </c>
      <c r="S622">
        <v>62</v>
      </c>
    </row>
    <row r="623" spans="11:19" x14ac:dyDescent="0.3">
      <c r="K623" t="str">
        <v>1469A</v>
      </c>
      <c r="L623">
        <v>158</v>
      </c>
      <c r="N623" t="str">
        <v>1687C</v>
      </c>
      <c r="O623" t="str">
        <v>10T</v>
      </c>
      <c r="P623">
        <v>115</v>
      </c>
      <c r="R623" t="str">
        <v>1258V</v>
      </c>
      <c r="S623">
        <v>62</v>
      </c>
    </row>
    <row r="624" spans="11:19" x14ac:dyDescent="0.3">
      <c r="K624" t="str">
        <v>99621H</v>
      </c>
      <c r="L624">
        <v>90</v>
      </c>
      <c r="N624" t="str">
        <v>7899B</v>
      </c>
      <c r="O624" t="str">
        <v>10F</v>
      </c>
      <c r="P624">
        <v>55</v>
      </c>
      <c r="R624" t="str">
        <v>44244N</v>
      </c>
      <c r="S624">
        <v>47</v>
      </c>
    </row>
    <row r="625" spans="11:19" x14ac:dyDescent="0.3">
      <c r="K625" t="str">
        <v>99621B</v>
      </c>
      <c r="L625">
        <v>90</v>
      </c>
      <c r="N625" t="str">
        <v>9364G</v>
      </c>
      <c r="O625" t="str">
        <v>938F</v>
      </c>
      <c r="P625">
        <v>72</v>
      </c>
      <c r="R625" t="str">
        <v>1698Y</v>
      </c>
      <c r="S625">
        <v>47</v>
      </c>
    </row>
    <row r="626" spans="11:19" x14ac:dyDescent="0.3">
      <c r="K626" t="str">
        <v>1091A</v>
      </c>
      <c r="L626">
        <v>133</v>
      </c>
      <c r="N626" t="str">
        <v>537K</v>
      </c>
      <c r="O626" t="str">
        <v>51777H</v>
      </c>
      <c r="P626">
        <v>60</v>
      </c>
      <c r="R626" t="str">
        <v>47000X</v>
      </c>
      <c r="S626">
        <v>37</v>
      </c>
    </row>
    <row r="627" spans="11:19" x14ac:dyDescent="0.3">
      <c r="K627" t="str">
        <v>502X</v>
      </c>
      <c r="L627">
        <v>133</v>
      </c>
      <c r="N627" t="str">
        <v>6526H</v>
      </c>
      <c r="O627" t="str">
        <v>51581E</v>
      </c>
      <c r="P627">
        <v>72</v>
      </c>
      <c r="R627" t="str">
        <v>51581E</v>
      </c>
      <c r="S627">
        <v>37</v>
      </c>
    </row>
    <row r="628" spans="11:19" x14ac:dyDescent="0.3">
      <c r="K628" t="str">
        <v>5327S</v>
      </c>
      <c r="L628">
        <v>90</v>
      </c>
      <c r="N628" t="str">
        <v>938U</v>
      </c>
      <c r="O628" t="str">
        <v>938A</v>
      </c>
      <c r="P628">
        <v>0</v>
      </c>
      <c r="R628" t="str">
        <v>938R</v>
      </c>
      <c r="S628">
        <v>41</v>
      </c>
    </row>
    <row r="629" spans="11:19" x14ac:dyDescent="0.3">
      <c r="K629" t="str">
        <v>44244S</v>
      </c>
      <c r="L629">
        <v>90</v>
      </c>
      <c r="N629" t="str">
        <v>98040C</v>
      </c>
      <c r="O629" t="str">
        <v>10X</v>
      </c>
      <c r="P629">
        <v>100</v>
      </c>
      <c r="R629" t="str">
        <v>10F</v>
      </c>
      <c r="S629">
        <v>41</v>
      </c>
    </row>
    <row r="630" spans="11:19" x14ac:dyDescent="0.3">
      <c r="K630" t="str">
        <v>51581E</v>
      </c>
      <c r="L630">
        <v>17</v>
      </c>
      <c r="N630" t="str">
        <v>1010W</v>
      </c>
      <c r="O630" t="str">
        <v>11101B</v>
      </c>
      <c r="P630">
        <v>77</v>
      </c>
      <c r="R630" t="str">
        <v>938H</v>
      </c>
      <c r="S630">
        <v>107</v>
      </c>
    </row>
    <row r="631" spans="11:19" x14ac:dyDescent="0.3">
      <c r="K631" t="str">
        <v>90385G</v>
      </c>
      <c r="L631">
        <v>17</v>
      </c>
      <c r="N631" t="str">
        <v>1010W</v>
      </c>
      <c r="O631" t="str">
        <v>11101B</v>
      </c>
      <c r="P631">
        <v>89</v>
      </c>
      <c r="R631" t="str">
        <v>10C</v>
      </c>
      <c r="S631">
        <v>107</v>
      </c>
    </row>
    <row r="632" spans="11:19" x14ac:dyDescent="0.3">
      <c r="K632" t="str">
        <v>10C</v>
      </c>
      <c r="L632">
        <v>73</v>
      </c>
      <c r="R632" t="str">
        <v>6526D</v>
      </c>
      <c r="S632">
        <v>105</v>
      </c>
    </row>
    <row r="633" spans="11:19" x14ac:dyDescent="0.3">
      <c r="K633" t="str">
        <v>7784W</v>
      </c>
      <c r="L633">
        <v>73</v>
      </c>
      <c r="R633" t="str">
        <v>10M</v>
      </c>
      <c r="S633">
        <v>105</v>
      </c>
    </row>
    <row r="634" spans="11:19" x14ac:dyDescent="0.3">
      <c r="K634" t="str">
        <v>8675F</v>
      </c>
      <c r="L634">
        <v>109</v>
      </c>
      <c r="R634" t="str">
        <v>8675V</v>
      </c>
      <c r="S634">
        <v>128</v>
      </c>
    </row>
    <row r="635" spans="11:19" x14ac:dyDescent="0.3">
      <c r="K635" t="str">
        <v>938F</v>
      </c>
      <c r="L635">
        <v>109</v>
      </c>
      <c r="R635" t="str">
        <v>47874J</v>
      </c>
      <c r="S635">
        <v>128</v>
      </c>
    </row>
    <row r="636" spans="11:19" x14ac:dyDescent="0.3">
      <c r="K636" t="str">
        <v>10M</v>
      </c>
      <c r="L636">
        <v>129</v>
      </c>
      <c r="R636" t="str">
        <v>1687C</v>
      </c>
      <c r="S636">
        <v>134</v>
      </c>
    </row>
    <row r="637" spans="11:19" x14ac:dyDescent="0.3">
      <c r="K637" t="str">
        <v>99621C</v>
      </c>
      <c r="L637">
        <v>129</v>
      </c>
      <c r="R637" t="str">
        <v>98040C</v>
      </c>
      <c r="S637">
        <v>134</v>
      </c>
    </row>
    <row r="638" spans="11:19" x14ac:dyDescent="0.3">
      <c r="K638" t="str">
        <v>51777H</v>
      </c>
      <c r="L638">
        <v>60</v>
      </c>
      <c r="R638" t="str">
        <v>537K</v>
      </c>
      <c r="S638">
        <v>130</v>
      </c>
    </row>
    <row r="639" spans="11:19" x14ac:dyDescent="0.3">
      <c r="K639" t="str">
        <v>938A</v>
      </c>
      <c r="L639">
        <v>60</v>
      </c>
      <c r="R639" t="str">
        <v>652A</v>
      </c>
      <c r="S639">
        <v>130</v>
      </c>
    </row>
    <row r="640" spans="11:19" x14ac:dyDescent="0.3">
      <c r="K640" t="str">
        <v>938X</v>
      </c>
      <c r="L640">
        <v>89</v>
      </c>
      <c r="R640" t="str">
        <v>938F</v>
      </c>
      <c r="S640">
        <v>70</v>
      </c>
    </row>
    <row r="641" spans="11:19" x14ac:dyDescent="0.3">
      <c r="K641" t="str">
        <v>47000X</v>
      </c>
      <c r="L641">
        <v>89</v>
      </c>
      <c r="R641" t="str">
        <v>84141A</v>
      </c>
      <c r="S641">
        <v>70</v>
      </c>
    </row>
    <row r="642" spans="11:19" x14ac:dyDescent="0.3">
      <c r="K642" t="str">
        <v>7899B</v>
      </c>
      <c r="L642">
        <v>57</v>
      </c>
      <c r="R642" t="str">
        <v>16689A</v>
      </c>
      <c r="S642">
        <v>98</v>
      </c>
    </row>
    <row r="643" spans="11:19" x14ac:dyDescent="0.3">
      <c r="K643" t="str">
        <v>84141A</v>
      </c>
      <c r="L643">
        <v>57</v>
      </c>
      <c r="R643" t="str">
        <v>9364G</v>
      </c>
      <c r="S643">
        <v>98</v>
      </c>
    </row>
    <row r="644" spans="11:19" x14ac:dyDescent="0.3">
      <c r="K644" t="str">
        <v>9364G</v>
      </c>
      <c r="L644">
        <v>118</v>
      </c>
      <c r="R644" t="str">
        <v>98225H</v>
      </c>
      <c r="S644">
        <v>27</v>
      </c>
    </row>
    <row r="645" spans="11:19" x14ac:dyDescent="0.3">
      <c r="K645" t="str">
        <v>44244N</v>
      </c>
      <c r="L645">
        <v>118</v>
      </c>
      <c r="R645" t="str">
        <v>16689Z</v>
      </c>
      <c r="S645">
        <v>27</v>
      </c>
    </row>
    <row r="646" spans="11:19" x14ac:dyDescent="0.3">
      <c r="K646" t="str">
        <v>2681A</v>
      </c>
      <c r="L646">
        <v>89</v>
      </c>
      <c r="R646" t="str">
        <v>1023E</v>
      </c>
      <c r="S646">
        <v>168</v>
      </c>
    </row>
    <row r="647" spans="11:19" x14ac:dyDescent="0.3">
      <c r="K647" t="str">
        <v>10F</v>
      </c>
      <c r="L647">
        <v>89</v>
      </c>
      <c r="R647" t="str">
        <v>9364C</v>
      </c>
      <c r="S647">
        <v>168</v>
      </c>
    </row>
    <row r="648" spans="11:19" x14ac:dyDescent="0.3">
      <c r="K648" t="str">
        <v>6526H</v>
      </c>
      <c r="L648">
        <v>113</v>
      </c>
      <c r="R648" t="str">
        <v>3512E</v>
      </c>
      <c r="S648">
        <v>85</v>
      </c>
    </row>
    <row r="649" spans="11:19" x14ac:dyDescent="0.3">
      <c r="K649" t="str">
        <v>16689E</v>
      </c>
      <c r="L649">
        <v>113</v>
      </c>
      <c r="R649" t="str">
        <v>99621A</v>
      </c>
      <c r="S649">
        <v>85</v>
      </c>
    </row>
    <row r="650" spans="11:19" x14ac:dyDescent="0.3">
      <c r="K650" t="str">
        <v>10J</v>
      </c>
      <c r="L650">
        <v>112</v>
      </c>
      <c r="R650" t="str">
        <v>9805A</v>
      </c>
      <c r="S650">
        <v>75</v>
      </c>
    </row>
    <row r="651" spans="11:19" x14ac:dyDescent="0.3">
      <c r="K651" t="str">
        <v>6526D</v>
      </c>
      <c r="L651">
        <v>112</v>
      </c>
      <c r="R651" t="str">
        <v>917A</v>
      </c>
      <c r="S651">
        <v>75</v>
      </c>
    </row>
    <row r="652" spans="11:19" x14ac:dyDescent="0.3">
      <c r="K652" t="str">
        <v>938C</v>
      </c>
      <c r="L652">
        <v>65</v>
      </c>
      <c r="R652" t="str">
        <v>938A</v>
      </c>
      <c r="S652">
        <v>92</v>
      </c>
    </row>
    <row r="653" spans="11:19" x14ac:dyDescent="0.3">
      <c r="K653" t="str">
        <v>884B</v>
      </c>
      <c r="L653">
        <v>65</v>
      </c>
      <c r="R653" t="str">
        <v>1258V</v>
      </c>
      <c r="S653">
        <v>92</v>
      </c>
    </row>
    <row r="654" spans="11:19" x14ac:dyDescent="0.3">
      <c r="K654" t="str">
        <v>1687C</v>
      </c>
      <c r="L654">
        <v>99</v>
      </c>
      <c r="R654" t="str">
        <v>84141X</v>
      </c>
      <c r="S654">
        <v>92</v>
      </c>
    </row>
    <row r="655" spans="11:19" x14ac:dyDescent="0.3">
      <c r="K655" t="str">
        <v>99621A</v>
      </c>
      <c r="L655">
        <v>99</v>
      </c>
      <c r="R655" t="str">
        <v>10T</v>
      </c>
      <c r="S655">
        <v>92</v>
      </c>
    </row>
    <row r="656" spans="11:19" x14ac:dyDescent="0.3">
      <c r="K656" t="str">
        <v>938H</v>
      </c>
      <c r="L656">
        <v>97</v>
      </c>
      <c r="R656" t="str">
        <v>938U</v>
      </c>
      <c r="S656">
        <v>105</v>
      </c>
    </row>
    <row r="657" spans="11:19" x14ac:dyDescent="0.3">
      <c r="K657" t="str">
        <v>537K</v>
      </c>
      <c r="L657">
        <v>97</v>
      </c>
      <c r="R657" t="str">
        <v>1168A</v>
      </c>
      <c r="S657">
        <v>105</v>
      </c>
    </row>
    <row r="658" spans="11:19" x14ac:dyDescent="0.3">
      <c r="K658" t="str">
        <v>10012G</v>
      </c>
      <c r="L658">
        <v>59</v>
      </c>
      <c r="R658" t="str">
        <v>10X</v>
      </c>
      <c r="S658">
        <v>70</v>
      </c>
    </row>
    <row r="659" spans="11:19" x14ac:dyDescent="0.3">
      <c r="K659" t="str">
        <v>98040C</v>
      </c>
      <c r="L659">
        <v>59</v>
      </c>
      <c r="R659" t="str">
        <v>938K</v>
      </c>
      <c r="S659">
        <v>70</v>
      </c>
    </row>
    <row r="660" spans="11:19" x14ac:dyDescent="0.3">
      <c r="K660" t="str">
        <v>938U</v>
      </c>
      <c r="L660">
        <v>42</v>
      </c>
      <c r="R660" t="str">
        <v>51777H</v>
      </c>
      <c r="S660">
        <v>110</v>
      </c>
    </row>
    <row r="661" spans="11:19" x14ac:dyDescent="0.3">
      <c r="K661" t="str">
        <v>502A</v>
      </c>
      <c r="L661">
        <v>42</v>
      </c>
      <c r="R661" t="str">
        <v>8675F</v>
      </c>
      <c r="S661">
        <v>110</v>
      </c>
    </row>
    <row r="662" spans="11:19" x14ac:dyDescent="0.3">
      <c r="K662" t="str">
        <v>1698Y</v>
      </c>
      <c r="L662">
        <v>132</v>
      </c>
      <c r="R662" t="str">
        <v>7700H</v>
      </c>
      <c r="S662">
        <v>53</v>
      </c>
    </row>
    <row r="663" spans="11:19" x14ac:dyDescent="0.3">
      <c r="K663" t="str">
        <v>9364C</v>
      </c>
      <c r="L663">
        <v>132</v>
      </c>
      <c r="R663" t="str">
        <v>3512B</v>
      </c>
      <c r="S663">
        <v>53</v>
      </c>
    </row>
    <row r="664" spans="11:19" x14ac:dyDescent="0.3">
      <c r="K664" t="str">
        <v>652A</v>
      </c>
      <c r="L664">
        <v>118</v>
      </c>
      <c r="R664" t="str">
        <v>10012G</v>
      </c>
      <c r="S664">
        <v>115</v>
      </c>
    </row>
    <row r="665" spans="11:19" x14ac:dyDescent="0.3">
      <c r="K665" t="str">
        <v>10T</v>
      </c>
      <c r="L665">
        <v>118</v>
      </c>
      <c r="R665" t="str">
        <v>10J</v>
      </c>
      <c r="S665">
        <v>115</v>
      </c>
    </row>
    <row r="666" spans="11:19" x14ac:dyDescent="0.3">
      <c r="K666" t="str">
        <v>938R</v>
      </c>
      <c r="L666">
        <v>48</v>
      </c>
      <c r="R666" t="str">
        <v>7784W</v>
      </c>
      <c r="S666">
        <v>93</v>
      </c>
    </row>
    <row r="667" spans="11:19" x14ac:dyDescent="0.3">
      <c r="K667" t="str">
        <v>16689Z</v>
      </c>
      <c r="L667">
        <v>48</v>
      </c>
      <c r="R667" t="str">
        <v>5155A</v>
      </c>
      <c r="S667">
        <v>93</v>
      </c>
    </row>
    <row r="668" spans="11:19" x14ac:dyDescent="0.3">
      <c r="K668" t="str">
        <v>10X</v>
      </c>
      <c r="L668">
        <v>125</v>
      </c>
      <c r="R668" t="str">
        <v>6526H</v>
      </c>
      <c r="S668">
        <v>115</v>
      </c>
    </row>
    <row r="669" spans="11:19" x14ac:dyDescent="0.3">
      <c r="K669" t="str">
        <v>9805A</v>
      </c>
      <c r="L669">
        <v>125</v>
      </c>
      <c r="R669" t="str">
        <v>229V</v>
      </c>
      <c r="S669">
        <v>115</v>
      </c>
    </row>
    <row r="670" spans="11:19" x14ac:dyDescent="0.3">
      <c r="K670" t="str">
        <v>1168A</v>
      </c>
      <c r="L670">
        <v>186</v>
      </c>
      <c r="R670" t="str">
        <v>938C</v>
      </c>
      <c r="S670">
        <v>65</v>
      </c>
    </row>
    <row r="671" spans="11:19" x14ac:dyDescent="0.3">
      <c r="K671" t="str">
        <v>16689A</v>
      </c>
      <c r="L671">
        <v>186</v>
      </c>
      <c r="R671" t="str">
        <v>502A</v>
      </c>
      <c r="S671">
        <v>65</v>
      </c>
    </row>
    <row r="672" spans="11:19" x14ac:dyDescent="0.3">
      <c r="K672" t="str">
        <v>47874J</v>
      </c>
      <c r="L672">
        <v>55</v>
      </c>
      <c r="R672" t="str">
        <v>66475C</v>
      </c>
      <c r="S672">
        <v>57</v>
      </c>
    </row>
    <row r="673" spans="11:19" x14ac:dyDescent="0.3">
      <c r="K673" t="str">
        <v>938K</v>
      </c>
      <c r="L673">
        <v>55</v>
      </c>
      <c r="R673" t="str">
        <v>5327K</v>
      </c>
      <c r="S673">
        <v>57</v>
      </c>
    </row>
    <row r="674" spans="11:19" x14ac:dyDescent="0.3">
      <c r="K674" t="str">
        <v>1000A</v>
      </c>
      <c r="L674">
        <v>113</v>
      </c>
      <c r="R674" t="str">
        <v>884B</v>
      </c>
      <c r="S674">
        <v>54</v>
      </c>
    </row>
    <row r="675" spans="11:19" x14ac:dyDescent="0.3">
      <c r="K675" t="str">
        <v>5327K</v>
      </c>
      <c r="L675">
        <v>113</v>
      </c>
      <c r="R675" t="str">
        <v>98225M</v>
      </c>
      <c r="S675">
        <v>54</v>
      </c>
    </row>
    <row r="676" spans="11:19" x14ac:dyDescent="0.3">
      <c r="K676" t="str">
        <v>609A</v>
      </c>
      <c r="L676">
        <v>90</v>
      </c>
      <c r="R676" t="str">
        <v>7899B</v>
      </c>
      <c r="S676">
        <v>62</v>
      </c>
    </row>
    <row r="677" spans="11:19" x14ac:dyDescent="0.3">
      <c r="K677" t="str">
        <v>8675V</v>
      </c>
      <c r="L677">
        <v>90</v>
      </c>
      <c r="R677" t="str">
        <v>938N</v>
      </c>
      <c r="S677">
        <v>62</v>
      </c>
    </row>
    <row r="678" spans="11:19" x14ac:dyDescent="0.3">
      <c r="K678" t="str">
        <v>229V</v>
      </c>
      <c r="L678">
        <v>149</v>
      </c>
      <c r="R678" t="str">
        <v>99621C</v>
      </c>
      <c r="S678">
        <v>42</v>
      </c>
    </row>
    <row r="679" spans="11:19" x14ac:dyDescent="0.3">
      <c r="K679" t="str">
        <v>98225H</v>
      </c>
      <c r="L679">
        <v>149</v>
      </c>
      <c r="R679" t="str">
        <v>16689E</v>
      </c>
      <c r="S679">
        <v>42</v>
      </c>
    </row>
    <row r="680" spans="11:19" x14ac:dyDescent="0.3">
      <c r="K680" t="str">
        <v>84141X</v>
      </c>
      <c r="L680">
        <v>62</v>
      </c>
      <c r="R680" t="str">
        <v>90385G</v>
      </c>
      <c r="S680">
        <v>65</v>
      </c>
    </row>
    <row r="681" spans="11:19" x14ac:dyDescent="0.3">
      <c r="K681" t="str">
        <v>98225M</v>
      </c>
      <c r="L681">
        <v>62</v>
      </c>
      <c r="R681" t="str">
        <v>1000A</v>
      </c>
      <c r="S681">
        <v>65</v>
      </c>
    </row>
    <row r="682" spans="11:19" x14ac:dyDescent="0.3">
      <c r="K682" t="str">
        <v>938N</v>
      </c>
      <c r="L682">
        <v>54</v>
      </c>
      <c r="R682" t="str">
        <v>938X</v>
      </c>
      <c r="S682">
        <v>77</v>
      </c>
    </row>
    <row r="683" spans="11:19" x14ac:dyDescent="0.3">
      <c r="K683" t="str">
        <v>3512E</v>
      </c>
      <c r="L683">
        <v>54</v>
      </c>
      <c r="R683" t="str">
        <v>609A</v>
      </c>
      <c r="S683">
        <v>77</v>
      </c>
    </row>
    <row r="684" spans="11:19" x14ac:dyDescent="0.3">
      <c r="K684" t="str">
        <v>5155A</v>
      </c>
      <c r="L684">
        <v>200</v>
      </c>
      <c r="R684" t="str">
        <v>10A</v>
      </c>
      <c r="S684">
        <v>60</v>
      </c>
    </row>
    <row r="685" spans="11:19" x14ac:dyDescent="0.3">
      <c r="K685" t="str">
        <v>7700H</v>
      </c>
      <c r="L685">
        <v>200</v>
      </c>
      <c r="R685" t="str">
        <v>2681A</v>
      </c>
      <c r="S685">
        <v>60</v>
      </c>
    </row>
    <row r="686" spans="11:19" x14ac:dyDescent="0.3">
      <c r="K686" t="str">
        <v>10A</v>
      </c>
      <c r="L686">
        <v>73</v>
      </c>
      <c r="R686" t="str">
        <v>938K</v>
      </c>
      <c r="S686">
        <v>24</v>
      </c>
    </row>
    <row r="687" spans="11:19" x14ac:dyDescent="0.3">
      <c r="K687" t="str">
        <v>3512B</v>
      </c>
      <c r="L687">
        <v>73</v>
      </c>
      <c r="R687" t="str">
        <v>10F</v>
      </c>
      <c r="S687">
        <v>24</v>
      </c>
    </row>
    <row r="688" spans="11:19" x14ac:dyDescent="0.3">
      <c r="K688" t="str">
        <v>1023E</v>
      </c>
      <c r="L688">
        <v>89</v>
      </c>
      <c r="R688" t="str">
        <v>1258V</v>
      </c>
      <c r="S688">
        <v>80</v>
      </c>
    </row>
    <row r="689" spans="11:19" x14ac:dyDescent="0.3">
      <c r="K689" t="str">
        <v>917A</v>
      </c>
      <c r="L689">
        <v>89</v>
      </c>
      <c r="R689" t="str">
        <v>3512E</v>
      </c>
      <c r="S689">
        <v>80</v>
      </c>
    </row>
    <row r="690" spans="11:19" x14ac:dyDescent="0.3">
      <c r="K690" t="str">
        <v>66475C</v>
      </c>
      <c r="L690">
        <v>62</v>
      </c>
      <c r="R690" t="str">
        <v>938R</v>
      </c>
      <c r="S690">
        <v>30</v>
      </c>
    </row>
    <row r="691" spans="11:19" x14ac:dyDescent="0.3">
      <c r="K691" t="str">
        <v>1258V</v>
      </c>
      <c r="L691">
        <v>62</v>
      </c>
      <c r="R691" t="str">
        <v>938A</v>
      </c>
      <c r="S691">
        <v>30</v>
      </c>
    </row>
    <row r="692" spans="11:19" x14ac:dyDescent="0.3">
      <c r="K692" t="str">
        <v>44244N</v>
      </c>
      <c r="L692">
        <v>47</v>
      </c>
      <c r="R692" t="str">
        <v>9364C</v>
      </c>
      <c r="S692">
        <v>174</v>
      </c>
    </row>
    <row r="693" spans="11:19" x14ac:dyDescent="0.3">
      <c r="K693" t="str">
        <v>1698Y</v>
      </c>
      <c r="L693">
        <v>47</v>
      </c>
      <c r="R693" t="str">
        <v>1687C</v>
      </c>
      <c r="S693">
        <v>174</v>
      </c>
    </row>
    <row r="694" spans="11:19" x14ac:dyDescent="0.3">
      <c r="K694" t="str">
        <v>47000X</v>
      </c>
      <c r="L694">
        <v>37</v>
      </c>
      <c r="R694" t="str">
        <v>44244N</v>
      </c>
      <c r="S694">
        <v>77</v>
      </c>
    </row>
    <row r="695" spans="11:19" x14ac:dyDescent="0.3">
      <c r="K695" t="str">
        <v>51581E</v>
      </c>
      <c r="L695">
        <v>37</v>
      </c>
      <c r="R695" t="str">
        <v>10T</v>
      </c>
      <c r="S695">
        <v>77</v>
      </c>
    </row>
    <row r="696" spans="11:19" x14ac:dyDescent="0.3">
      <c r="K696" t="str">
        <v>938R</v>
      </c>
      <c r="L696">
        <v>41</v>
      </c>
      <c r="R696" t="str">
        <v>3512B</v>
      </c>
      <c r="S696">
        <v>68</v>
      </c>
    </row>
    <row r="697" spans="11:19" x14ac:dyDescent="0.3">
      <c r="K697" t="str">
        <v>10F</v>
      </c>
      <c r="L697">
        <v>41</v>
      </c>
      <c r="R697" t="str">
        <v>51581E</v>
      </c>
      <c r="S697">
        <v>68</v>
      </c>
    </row>
    <row r="698" spans="11:19" x14ac:dyDescent="0.3">
      <c r="K698" t="str">
        <v>938H</v>
      </c>
      <c r="L698">
        <v>107</v>
      </c>
      <c r="R698" t="str">
        <v>6526H</v>
      </c>
      <c r="S698">
        <v>85</v>
      </c>
    </row>
    <row r="699" spans="11:19" x14ac:dyDescent="0.3">
      <c r="K699" t="str">
        <v>10C</v>
      </c>
      <c r="L699">
        <v>107</v>
      </c>
      <c r="R699" t="str">
        <v>537K</v>
      </c>
      <c r="S699">
        <v>85</v>
      </c>
    </row>
    <row r="700" spans="11:19" x14ac:dyDescent="0.3">
      <c r="K700" t="str">
        <v>6526D</v>
      </c>
      <c r="L700">
        <v>105</v>
      </c>
      <c r="R700" t="str">
        <v>1698Y</v>
      </c>
      <c r="S700">
        <v>75</v>
      </c>
    </row>
    <row r="701" spans="11:19" x14ac:dyDescent="0.3">
      <c r="K701" t="str">
        <v>10M</v>
      </c>
      <c r="L701">
        <v>105</v>
      </c>
      <c r="R701" t="str">
        <v>98225H</v>
      </c>
      <c r="S701">
        <v>75</v>
      </c>
    </row>
    <row r="702" spans="11:19" x14ac:dyDescent="0.3">
      <c r="K702" t="str">
        <v>8675V</v>
      </c>
      <c r="L702">
        <v>128</v>
      </c>
      <c r="R702" t="str">
        <v>8675F</v>
      </c>
      <c r="S702">
        <v>29</v>
      </c>
    </row>
    <row r="703" spans="11:19" x14ac:dyDescent="0.3">
      <c r="K703" t="str">
        <v>47874J</v>
      </c>
      <c r="L703">
        <v>128</v>
      </c>
      <c r="R703" t="str">
        <v>502A</v>
      </c>
      <c r="S703">
        <v>29</v>
      </c>
    </row>
    <row r="704" spans="11:19" x14ac:dyDescent="0.3">
      <c r="K704" t="str">
        <v>1687C</v>
      </c>
      <c r="L704">
        <v>134</v>
      </c>
      <c r="R704" t="str">
        <v>1168A</v>
      </c>
      <c r="S704">
        <v>129</v>
      </c>
    </row>
    <row r="705" spans="11:19" x14ac:dyDescent="0.3">
      <c r="K705" t="str">
        <v>98040C</v>
      </c>
      <c r="L705">
        <v>134</v>
      </c>
      <c r="R705" t="str">
        <v>652A</v>
      </c>
      <c r="S705">
        <v>129</v>
      </c>
    </row>
    <row r="706" spans="11:19" x14ac:dyDescent="0.3">
      <c r="K706" t="str">
        <v>537K</v>
      </c>
      <c r="L706">
        <v>130</v>
      </c>
      <c r="R706" t="str">
        <v>7899B</v>
      </c>
      <c r="S706">
        <v>111</v>
      </c>
    </row>
    <row r="707" spans="11:19" x14ac:dyDescent="0.3">
      <c r="K707" t="str">
        <v>652A</v>
      </c>
      <c r="L707">
        <v>130</v>
      </c>
      <c r="R707" t="str">
        <v>90385G</v>
      </c>
      <c r="S707">
        <v>111</v>
      </c>
    </row>
    <row r="708" spans="11:19" x14ac:dyDescent="0.3">
      <c r="K708" t="str">
        <v>938F</v>
      </c>
      <c r="L708">
        <v>70</v>
      </c>
      <c r="R708" t="str">
        <v>938C</v>
      </c>
      <c r="S708">
        <v>120</v>
      </c>
    </row>
    <row r="709" spans="11:19" x14ac:dyDescent="0.3">
      <c r="K709" t="str">
        <v>84141A</v>
      </c>
      <c r="L709">
        <v>70</v>
      </c>
      <c r="R709" t="str">
        <v>1023E</v>
      </c>
      <c r="S709">
        <v>120</v>
      </c>
    </row>
    <row r="710" spans="11:19" x14ac:dyDescent="0.3">
      <c r="K710" t="str">
        <v>16689A</v>
      </c>
      <c r="L710">
        <v>98</v>
      </c>
      <c r="R710" t="str">
        <v>10012G</v>
      </c>
      <c r="S710">
        <v>136</v>
      </c>
    </row>
    <row r="711" spans="11:19" x14ac:dyDescent="0.3">
      <c r="K711" t="str">
        <v>9364G</v>
      </c>
      <c r="L711">
        <v>98</v>
      </c>
      <c r="R711" t="str">
        <v>47000X</v>
      </c>
      <c r="S711">
        <v>136</v>
      </c>
    </row>
    <row r="712" spans="11:19" x14ac:dyDescent="0.3">
      <c r="K712" t="str">
        <v>98225H</v>
      </c>
      <c r="L712">
        <v>27</v>
      </c>
      <c r="R712" t="str">
        <v>84141X</v>
      </c>
      <c r="S712">
        <v>137</v>
      </c>
    </row>
    <row r="713" spans="11:19" x14ac:dyDescent="0.3">
      <c r="K713" t="str">
        <v>16689Z</v>
      </c>
      <c r="L713">
        <v>27</v>
      </c>
      <c r="R713" t="str">
        <v>16689Z</v>
      </c>
      <c r="S713">
        <v>137</v>
      </c>
    </row>
    <row r="714" spans="11:19" x14ac:dyDescent="0.3">
      <c r="K714" t="str">
        <v>1023E</v>
      </c>
      <c r="L714">
        <v>168</v>
      </c>
      <c r="R714" t="str">
        <v>609A</v>
      </c>
      <c r="S714">
        <v>98</v>
      </c>
    </row>
    <row r="715" spans="11:19" x14ac:dyDescent="0.3">
      <c r="K715" t="str">
        <v>9364C</v>
      </c>
      <c r="L715">
        <v>168</v>
      </c>
      <c r="R715" t="str">
        <v>66475C</v>
      </c>
      <c r="S715">
        <v>98</v>
      </c>
    </row>
    <row r="716" spans="11:19" x14ac:dyDescent="0.3">
      <c r="K716" t="str">
        <v>3512E</v>
      </c>
      <c r="L716">
        <v>85</v>
      </c>
      <c r="R716" t="str">
        <v>10J</v>
      </c>
      <c r="S716">
        <v>22</v>
      </c>
    </row>
    <row r="717" spans="11:19" x14ac:dyDescent="0.3">
      <c r="K717" t="str">
        <v>99621A</v>
      </c>
      <c r="L717">
        <v>85</v>
      </c>
      <c r="R717" t="str">
        <v>9805A</v>
      </c>
      <c r="S717">
        <v>22</v>
      </c>
    </row>
    <row r="718" spans="11:19" x14ac:dyDescent="0.3">
      <c r="K718" t="str">
        <v>9805A</v>
      </c>
      <c r="L718">
        <v>75</v>
      </c>
      <c r="R718" t="str">
        <v>938U</v>
      </c>
      <c r="S718">
        <v>79</v>
      </c>
    </row>
    <row r="719" spans="11:19" x14ac:dyDescent="0.3">
      <c r="K719" t="str">
        <v>917A</v>
      </c>
      <c r="L719">
        <v>75</v>
      </c>
      <c r="R719" t="str">
        <v>229V</v>
      </c>
      <c r="S719">
        <v>79</v>
      </c>
    </row>
    <row r="720" spans="11:19" x14ac:dyDescent="0.3">
      <c r="K720" t="str">
        <v>938A</v>
      </c>
      <c r="L720">
        <v>92</v>
      </c>
      <c r="R720" t="str">
        <v>10A</v>
      </c>
      <c r="S720">
        <v>65</v>
      </c>
    </row>
    <row r="721" spans="11:19" x14ac:dyDescent="0.3">
      <c r="K721" t="str">
        <v>1258V</v>
      </c>
      <c r="L721">
        <v>92</v>
      </c>
      <c r="R721" t="str">
        <v>51777H</v>
      </c>
      <c r="S721">
        <v>65</v>
      </c>
    </row>
    <row r="722" spans="11:19" x14ac:dyDescent="0.3">
      <c r="K722" t="str">
        <v>84141X</v>
      </c>
      <c r="L722">
        <v>92</v>
      </c>
      <c r="R722" t="str">
        <v>10X</v>
      </c>
      <c r="S722">
        <v>116</v>
      </c>
    </row>
    <row r="723" spans="11:19" x14ac:dyDescent="0.3">
      <c r="K723" t="str">
        <v>10T</v>
      </c>
      <c r="L723">
        <v>92</v>
      </c>
      <c r="R723" t="str">
        <v>16689E</v>
      </c>
      <c r="S723">
        <v>116</v>
      </c>
    </row>
    <row r="724" spans="11:19" x14ac:dyDescent="0.3">
      <c r="K724" t="str">
        <v>938U</v>
      </c>
      <c r="L724">
        <v>105</v>
      </c>
      <c r="R724" t="str">
        <v>938N</v>
      </c>
      <c r="S724">
        <v>62</v>
      </c>
    </row>
    <row r="725" spans="11:19" x14ac:dyDescent="0.3">
      <c r="K725" t="str">
        <v>1168A</v>
      </c>
      <c r="L725">
        <v>105</v>
      </c>
      <c r="R725" t="str">
        <v>99621A</v>
      </c>
      <c r="S725">
        <v>62</v>
      </c>
    </row>
    <row r="726" spans="11:19" x14ac:dyDescent="0.3">
      <c r="K726" t="str">
        <v>10X</v>
      </c>
      <c r="L726">
        <v>70</v>
      </c>
      <c r="R726" t="str">
        <v>938H</v>
      </c>
      <c r="S726">
        <v>57</v>
      </c>
    </row>
    <row r="727" spans="11:19" x14ac:dyDescent="0.3">
      <c r="K727" t="str">
        <v>938K</v>
      </c>
      <c r="L727">
        <v>70</v>
      </c>
      <c r="R727" t="str">
        <v>2681A</v>
      </c>
      <c r="S727">
        <v>57</v>
      </c>
    </row>
    <row r="728" spans="11:19" x14ac:dyDescent="0.3">
      <c r="K728" t="str">
        <v>51777H</v>
      </c>
      <c r="L728">
        <v>110</v>
      </c>
      <c r="R728" t="str">
        <v>938F</v>
      </c>
      <c r="S728">
        <v>95</v>
      </c>
    </row>
    <row r="729" spans="11:19" x14ac:dyDescent="0.3">
      <c r="K729" t="str">
        <v>8675F</v>
      </c>
      <c r="L729">
        <v>110</v>
      </c>
      <c r="R729" t="str">
        <v>884B</v>
      </c>
      <c r="S729">
        <v>95</v>
      </c>
    </row>
    <row r="730" spans="11:19" x14ac:dyDescent="0.3">
      <c r="K730" t="str">
        <v>7700H</v>
      </c>
      <c r="L730">
        <v>53</v>
      </c>
      <c r="R730" t="str">
        <v>938X</v>
      </c>
      <c r="S730">
        <v>86</v>
      </c>
    </row>
    <row r="731" spans="11:19" x14ac:dyDescent="0.3">
      <c r="K731" t="str">
        <v>3512B</v>
      </c>
      <c r="L731">
        <v>53</v>
      </c>
      <c r="R731" t="str">
        <v>98040C</v>
      </c>
      <c r="S731">
        <v>86</v>
      </c>
    </row>
    <row r="732" spans="11:19" x14ac:dyDescent="0.3">
      <c r="K732" t="str">
        <v>10012G</v>
      </c>
      <c r="L732">
        <v>115</v>
      </c>
      <c r="R732" t="str">
        <v>16689A</v>
      </c>
      <c r="S732">
        <v>89</v>
      </c>
    </row>
    <row r="733" spans="11:19" x14ac:dyDescent="0.3">
      <c r="K733" t="str">
        <v>10J</v>
      </c>
      <c r="L733">
        <v>115</v>
      </c>
      <c r="R733" t="str">
        <v>84141A</v>
      </c>
      <c r="S733">
        <v>89</v>
      </c>
    </row>
    <row r="734" spans="11:19" x14ac:dyDescent="0.3">
      <c r="K734" t="str">
        <v>7784W</v>
      </c>
      <c r="L734">
        <v>93</v>
      </c>
      <c r="R734" t="str">
        <v>8675V</v>
      </c>
      <c r="S734">
        <v>67</v>
      </c>
    </row>
    <row r="735" spans="11:19" x14ac:dyDescent="0.3">
      <c r="K735" t="str">
        <v>5155A</v>
      </c>
      <c r="L735">
        <v>93</v>
      </c>
      <c r="R735" t="str">
        <v>917A</v>
      </c>
      <c r="S735">
        <v>67</v>
      </c>
    </row>
    <row r="736" spans="11:19" x14ac:dyDescent="0.3">
      <c r="K736" t="str">
        <v>6526H</v>
      </c>
      <c r="L736">
        <v>115</v>
      </c>
      <c r="R736" t="str">
        <v>99621C</v>
      </c>
      <c r="S736">
        <v>119</v>
      </c>
    </row>
    <row r="737" spans="11:19" x14ac:dyDescent="0.3">
      <c r="K737" t="str">
        <v>229V</v>
      </c>
      <c r="L737">
        <v>115</v>
      </c>
      <c r="R737" t="str">
        <v>10C</v>
      </c>
      <c r="S737">
        <v>119</v>
      </c>
    </row>
    <row r="738" spans="11:19" x14ac:dyDescent="0.3">
      <c r="K738" t="str">
        <v>938C</v>
      </c>
      <c r="L738">
        <v>65</v>
      </c>
      <c r="R738" t="str">
        <v>7784W</v>
      </c>
      <c r="S738">
        <v>116</v>
      </c>
    </row>
    <row r="739" spans="11:19" x14ac:dyDescent="0.3">
      <c r="K739" t="str">
        <v>502A</v>
      </c>
      <c r="L739">
        <v>65</v>
      </c>
      <c r="R739" t="str">
        <v>9364G</v>
      </c>
      <c r="S739">
        <v>116</v>
      </c>
    </row>
    <row r="740" spans="11:19" x14ac:dyDescent="0.3">
      <c r="K740" t="str">
        <v>66475C</v>
      </c>
      <c r="L740">
        <v>57</v>
      </c>
      <c r="R740" t="str">
        <v>98225M</v>
      </c>
      <c r="S740">
        <v>64</v>
      </c>
    </row>
    <row r="741" spans="11:19" x14ac:dyDescent="0.3">
      <c r="K741" t="str">
        <v>5327K</v>
      </c>
      <c r="L741">
        <v>57</v>
      </c>
      <c r="R741" t="str">
        <v>5327K</v>
      </c>
      <c r="S741">
        <v>64</v>
      </c>
    </row>
    <row r="742" spans="11:19" x14ac:dyDescent="0.3">
      <c r="K742" t="str">
        <v>884B</v>
      </c>
      <c r="L742">
        <v>54</v>
      </c>
      <c r="R742" t="str">
        <v>6526D</v>
      </c>
      <c r="S742">
        <v>103</v>
      </c>
    </row>
    <row r="743" spans="11:19" x14ac:dyDescent="0.3">
      <c r="K743" t="str">
        <v>98225M</v>
      </c>
      <c r="L743">
        <v>54</v>
      </c>
      <c r="R743" t="str">
        <v>1000A</v>
      </c>
      <c r="S743">
        <v>103</v>
      </c>
    </row>
    <row r="744" spans="11:19" x14ac:dyDescent="0.3">
      <c r="K744" t="str">
        <v>7899B</v>
      </c>
      <c r="L744">
        <v>62</v>
      </c>
      <c r="R744" t="str">
        <v>47874J</v>
      </c>
      <c r="S744">
        <v>75</v>
      </c>
    </row>
    <row r="745" spans="11:19" x14ac:dyDescent="0.3">
      <c r="K745" t="str">
        <v>938N</v>
      </c>
      <c r="L745">
        <v>62</v>
      </c>
      <c r="R745" t="str">
        <v>5155A</v>
      </c>
      <c r="S745">
        <v>75</v>
      </c>
    </row>
    <row r="746" spans="11:19" x14ac:dyDescent="0.3">
      <c r="K746" t="str">
        <v>99621C</v>
      </c>
      <c r="L746">
        <v>42</v>
      </c>
      <c r="R746" t="str">
        <v>7700H</v>
      </c>
      <c r="S746">
        <v>87</v>
      </c>
    </row>
    <row r="747" spans="11:19" x14ac:dyDescent="0.3">
      <c r="K747" t="str">
        <v>16689E</v>
      </c>
      <c r="L747">
        <v>42</v>
      </c>
      <c r="R747" t="str">
        <v>10M</v>
      </c>
      <c r="S747">
        <v>87</v>
      </c>
    </row>
    <row r="748" spans="11:19" x14ac:dyDescent="0.3">
      <c r="K748" t="str">
        <v>90385G</v>
      </c>
      <c r="L748">
        <v>65</v>
      </c>
      <c r="R748" t="str">
        <v>609A</v>
      </c>
      <c r="S748">
        <v>97</v>
      </c>
    </row>
    <row r="749" spans="11:19" x14ac:dyDescent="0.3">
      <c r="K749" t="str">
        <v>1000A</v>
      </c>
      <c r="L749">
        <v>65</v>
      </c>
      <c r="R749" t="str">
        <v>1258V</v>
      </c>
      <c r="S749">
        <v>97</v>
      </c>
    </row>
    <row r="750" spans="11:19" x14ac:dyDescent="0.3">
      <c r="K750" t="str">
        <v>938X</v>
      </c>
      <c r="L750">
        <v>77</v>
      </c>
      <c r="R750" t="str">
        <v>1023E</v>
      </c>
      <c r="S750">
        <v>78</v>
      </c>
    </row>
    <row r="751" spans="11:19" x14ac:dyDescent="0.3">
      <c r="K751" t="str">
        <v>609A</v>
      </c>
      <c r="L751">
        <v>77</v>
      </c>
      <c r="R751" t="str">
        <v>84141X</v>
      </c>
      <c r="S751">
        <v>78</v>
      </c>
    </row>
    <row r="752" spans="11:19" x14ac:dyDescent="0.3">
      <c r="K752" t="str">
        <v>10A</v>
      </c>
      <c r="L752">
        <v>60</v>
      </c>
      <c r="R752" t="str">
        <v>66475C</v>
      </c>
      <c r="S752">
        <v>102</v>
      </c>
    </row>
    <row r="753" spans="11:19" x14ac:dyDescent="0.3">
      <c r="K753" t="str">
        <v>2681A</v>
      </c>
      <c r="L753">
        <v>60</v>
      </c>
      <c r="R753" t="str">
        <v>51777H</v>
      </c>
      <c r="S753">
        <v>102</v>
      </c>
    </row>
    <row r="754" spans="11:19" x14ac:dyDescent="0.3">
      <c r="K754" t="str">
        <v>938K</v>
      </c>
      <c r="L754">
        <v>24</v>
      </c>
      <c r="R754" t="str">
        <v>1168A</v>
      </c>
      <c r="S754">
        <v>123</v>
      </c>
    </row>
    <row r="755" spans="11:19" x14ac:dyDescent="0.3">
      <c r="K755" t="str">
        <v>10F</v>
      </c>
      <c r="L755">
        <v>24</v>
      </c>
      <c r="R755" t="str">
        <v>938C</v>
      </c>
      <c r="S755">
        <v>123</v>
      </c>
    </row>
    <row r="756" spans="11:19" x14ac:dyDescent="0.3">
      <c r="K756" t="str">
        <v>1258V</v>
      </c>
      <c r="L756">
        <v>80</v>
      </c>
      <c r="R756" t="str">
        <v>938H</v>
      </c>
      <c r="S756">
        <v>87</v>
      </c>
    </row>
    <row r="757" spans="11:19" x14ac:dyDescent="0.3">
      <c r="K757" t="str">
        <v>3512E</v>
      </c>
      <c r="L757">
        <v>80</v>
      </c>
      <c r="R757" t="str">
        <v>10X</v>
      </c>
      <c r="S757">
        <v>87</v>
      </c>
    </row>
    <row r="758" spans="11:19" x14ac:dyDescent="0.3">
      <c r="K758" t="str">
        <v>938R</v>
      </c>
      <c r="L758">
        <v>30</v>
      </c>
      <c r="R758" t="str">
        <v>938F</v>
      </c>
      <c r="S758">
        <v>27</v>
      </c>
    </row>
    <row r="759" spans="11:19" x14ac:dyDescent="0.3">
      <c r="K759" t="str">
        <v>938A</v>
      </c>
      <c r="L759">
        <v>30</v>
      </c>
      <c r="R759" t="str">
        <v>938N</v>
      </c>
      <c r="S759">
        <v>27</v>
      </c>
    </row>
    <row r="760" spans="11:19" x14ac:dyDescent="0.3">
      <c r="K760" t="str">
        <v>9364C</v>
      </c>
      <c r="L760">
        <v>174</v>
      </c>
      <c r="R760" t="str">
        <v>16689A</v>
      </c>
      <c r="S760">
        <v>130</v>
      </c>
    </row>
    <row r="761" spans="11:19" x14ac:dyDescent="0.3">
      <c r="K761" t="str">
        <v>1687C</v>
      </c>
      <c r="L761">
        <v>174</v>
      </c>
      <c r="R761" t="str">
        <v>229V</v>
      </c>
      <c r="S761">
        <v>130</v>
      </c>
    </row>
    <row r="762" spans="11:19" x14ac:dyDescent="0.3">
      <c r="K762" t="str">
        <v>44244N</v>
      </c>
      <c r="L762">
        <v>77</v>
      </c>
      <c r="R762" t="str">
        <v>99621C</v>
      </c>
      <c r="S762">
        <v>112</v>
      </c>
    </row>
    <row r="763" spans="11:19" x14ac:dyDescent="0.3">
      <c r="K763" t="str">
        <v>10T</v>
      </c>
      <c r="L763">
        <v>77</v>
      </c>
      <c r="R763" t="str">
        <v>99621A</v>
      </c>
      <c r="S763">
        <v>112</v>
      </c>
    </row>
    <row r="764" spans="11:19" x14ac:dyDescent="0.3">
      <c r="K764" t="str">
        <v>3512B</v>
      </c>
      <c r="L764">
        <v>68</v>
      </c>
      <c r="R764" t="str">
        <v>7899B</v>
      </c>
      <c r="S764">
        <v>125</v>
      </c>
    </row>
    <row r="765" spans="11:19" x14ac:dyDescent="0.3">
      <c r="K765" t="str">
        <v>51581E</v>
      </c>
      <c r="L765">
        <v>68</v>
      </c>
      <c r="R765" t="str">
        <v>98040C</v>
      </c>
      <c r="S765">
        <v>125</v>
      </c>
    </row>
    <row r="766" spans="11:19" x14ac:dyDescent="0.3">
      <c r="K766" t="str">
        <v>6526H</v>
      </c>
      <c r="L766">
        <v>85</v>
      </c>
      <c r="R766" t="str">
        <v>8675F</v>
      </c>
      <c r="S766">
        <v>47</v>
      </c>
    </row>
    <row r="767" spans="11:19" x14ac:dyDescent="0.3">
      <c r="K767" t="str">
        <v>537K</v>
      </c>
      <c r="L767">
        <v>85</v>
      </c>
      <c r="R767" t="str">
        <v>3512E</v>
      </c>
      <c r="S767">
        <v>47</v>
      </c>
    </row>
    <row r="768" spans="11:19" x14ac:dyDescent="0.3">
      <c r="K768" t="str">
        <v>1698Y</v>
      </c>
      <c r="L768">
        <v>75</v>
      </c>
      <c r="R768" t="str">
        <v>938X</v>
      </c>
      <c r="S768">
        <v>53</v>
      </c>
    </row>
    <row r="769" spans="11:19" x14ac:dyDescent="0.3">
      <c r="K769" t="str">
        <v>98225H</v>
      </c>
      <c r="L769">
        <v>75</v>
      </c>
      <c r="R769" t="str">
        <v>7784W</v>
      </c>
      <c r="S769">
        <v>53</v>
      </c>
    </row>
    <row r="770" spans="11:19" x14ac:dyDescent="0.3">
      <c r="K770" t="str">
        <v>8675F</v>
      </c>
      <c r="L770">
        <v>29</v>
      </c>
      <c r="R770" t="str">
        <v>6526H</v>
      </c>
      <c r="S770">
        <v>100</v>
      </c>
    </row>
    <row r="771" spans="11:19" x14ac:dyDescent="0.3">
      <c r="K771" t="str">
        <v>502A</v>
      </c>
      <c r="L771">
        <v>29</v>
      </c>
      <c r="R771" t="str">
        <v>6526D</v>
      </c>
      <c r="S771">
        <v>100</v>
      </c>
    </row>
    <row r="772" spans="11:19" x14ac:dyDescent="0.3">
      <c r="K772" t="str">
        <v>1168A</v>
      </c>
      <c r="L772">
        <v>129</v>
      </c>
      <c r="R772" t="str">
        <v>10T</v>
      </c>
      <c r="S772">
        <v>71</v>
      </c>
    </row>
    <row r="773" spans="11:19" x14ac:dyDescent="0.3">
      <c r="K773" t="str">
        <v>652A</v>
      </c>
      <c r="L773">
        <v>129</v>
      </c>
      <c r="R773" t="str">
        <v>938A</v>
      </c>
      <c r="S773">
        <v>71</v>
      </c>
    </row>
    <row r="774" spans="11:19" x14ac:dyDescent="0.3">
      <c r="K774" t="str">
        <v>7899B</v>
      </c>
      <c r="L774">
        <v>111</v>
      </c>
      <c r="R774" t="str">
        <v>5155A</v>
      </c>
      <c r="S774">
        <v>109</v>
      </c>
    </row>
    <row r="775" spans="11:19" x14ac:dyDescent="0.3">
      <c r="K775" t="str">
        <v>90385G</v>
      </c>
      <c r="L775">
        <v>111</v>
      </c>
      <c r="R775" t="str">
        <v>537K</v>
      </c>
      <c r="S775">
        <v>109</v>
      </c>
    </row>
    <row r="776" spans="11:19" x14ac:dyDescent="0.3">
      <c r="K776" t="str">
        <v>938C</v>
      </c>
      <c r="L776">
        <v>120</v>
      </c>
      <c r="R776" t="str">
        <v>9364C</v>
      </c>
      <c r="S776">
        <v>109</v>
      </c>
    </row>
    <row r="777" spans="11:19" x14ac:dyDescent="0.3">
      <c r="K777" t="str">
        <v>1023E</v>
      </c>
      <c r="L777">
        <v>120</v>
      </c>
      <c r="R777" t="str">
        <v>8675V</v>
      </c>
      <c r="S777">
        <v>109</v>
      </c>
    </row>
    <row r="778" spans="11:19" x14ac:dyDescent="0.3">
      <c r="K778" t="str">
        <v>10012G</v>
      </c>
      <c r="L778">
        <v>136</v>
      </c>
      <c r="R778" t="str">
        <v>652A</v>
      </c>
      <c r="S778">
        <v>100</v>
      </c>
    </row>
    <row r="779" spans="11:19" x14ac:dyDescent="0.3">
      <c r="K779" t="str">
        <v>47000X</v>
      </c>
      <c r="L779">
        <v>136</v>
      </c>
      <c r="R779" t="str">
        <v>2681A</v>
      </c>
      <c r="S779">
        <v>100</v>
      </c>
    </row>
    <row r="780" spans="11:19" x14ac:dyDescent="0.3">
      <c r="K780" t="str">
        <v>84141X</v>
      </c>
      <c r="L780">
        <v>137</v>
      </c>
      <c r="R780" t="str">
        <v>938R</v>
      </c>
      <c r="S780">
        <v>70</v>
      </c>
    </row>
    <row r="781" spans="11:19" x14ac:dyDescent="0.3">
      <c r="K781" t="str">
        <v>16689Z</v>
      </c>
      <c r="L781">
        <v>137</v>
      </c>
      <c r="R781" t="str">
        <v>1000A</v>
      </c>
      <c r="S781">
        <v>70</v>
      </c>
    </row>
    <row r="782" spans="11:19" x14ac:dyDescent="0.3">
      <c r="K782" t="str">
        <v>609A</v>
      </c>
      <c r="L782">
        <v>98</v>
      </c>
      <c r="R782" t="str">
        <v>5327K</v>
      </c>
      <c r="S782">
        <v>80</v>
      </c>
    </row>
    <row r="783" spans="11:19" x14ac:dyDescent="0.3">
      <c r="K783" t="str">
        <v>66475C</v>
      </c>
      <c r="L783">
        <v>98</v>
      </c>
      <c r="R783" t="str">
        <v>1687C</v>
      </c>
      <c r="S783">
        <v>80</v>
      </c>
    </row>
    <row r="784" spans="11:19" x14ac:dyDescent="0.3">
      <c r="K784" t="str">
        <v>10J</v>
      </c>
      <c r="L784">
        <v>22</v>
      </c>
      <c r="R784" t="str">
        <v>10F</v>
      </c>
      <c r="S784">
        <v>60</v>
      </c>
    </row>
    <row r="785" spans="11:19" x14ac:dyDescent="0.3">
      <c r="K785" t="str">
        <v>9805A</v>
      </c>
      <c r="L785">
        <v>22</v>
      </c>
      <c r="R785" t="str">
        <v>44244N</v>
      </c>
      <c r="S785">
        <v>60</v>
      </c>
    </row>
    <row r="786" spans="11:19" x14ac:dyDescent="0.3">
      <c r="K786" t="str">
        <v>938U</v>
      </c>
      <c r="L786">
        <v>79</v>
      </c>
      <c r="R786" t="str">
        <v>98225M</v>
      </c>
      <c r="S786">
        <v>51</v>
      </c>
    </row>
    <row r="787" spans="11:19" x14ac:dyDescent="0.3">
      <c r="K787" t="str">
        <v>229V</v>
      </c>
      <c r="L787">
        <v>79</v>
      </c>
      <c r="R787" t="str">
        <v>84141A</v>
      </c>
      <c r="S787">
        <v>51</v>
      </c>
    </row>
    <row r="788" spans="11:19" x14ac:dyDescent="0.3">
      <c r="K788" t="str">
        <v>10A</v>
      </c>
      <c r="L788">
        <v>65</v>
      </c>
      <c r="R788" t="str">
        <v>10012G</v>
      </c>
      <c r="S788">
        <v>168</v>
      </c>
    </row>
    <row r="789" spans="11:19" x14ac:dyDescent="0.3">
      <c r="K789" t="str">
        <v>51777H</v>
      </c>
      <c r="L789">
        <v>65</v>
      </c>
      <c r="R789" t="str">
        <v>1698Y</v>
      </c>
      <c r="S789">
        <v>168</v>
      </c>
    </row>
    <row r="790" spans="11:19" x14ac:dyDescent="0.3">
      <c r="K790" t="str">
        <v>10X</v>
      </c>
      <c r="L790">
        <v>116</v>
      </c>
      <c r="R790" t="str">
        <v>10M</v>
      </c>
      <c r="S790">
        <v>64</v>
      </c>
    </row>
    <row r="791" spans="11:19" x14ac:dyDescent="0.3">
      <c r="K791" t="str">
        <v>16689E</v>
      </c>
      <c r="L791">
        <v>116</v>
      </c>
      <c r="R791" t="str">
        <v>938U</v>
      </c>
      <c r="S791">
        <v>64</v>
      </c>
    </row>
    <row r="792" spans="11:19" x14ac:dyDescent="0.3">
      <c r="K792" t="str">
        <v>938N</v>
      </c>
      <c r="L792">
        <v>62</v>
      </c>
      <c r="R792" t="str">
        <v>9364G</v>
      </c>
      <c r="S792">
        <v>60</v>
      </c>
    </row>
    <row r="793" spans="11:19" x14ac:dyDescent="0.3">
      <c r="K793" t="str">
        <v>99621A</v>
      </c>
      <c r="L793">
        <v>62</v>
      </c>
      <c r="R793" t="str">
        <v>917A</v>
      </c>
      <c r="S793">
        <v>60</v>
      </c>
    </row>
    <row r="794" spans="11:19" x14ac:dyDescent="0.3">
      <c r="K794" t="str">
        <v>938H</v>
      </c>
      <c r="L794">
        <v>57</v>
      </c>
      <c r="R794" t="str">
        <v>16689Z</v>
      </c>
      <c r="S794">
        <v>63</v>
      </c>
    </row>
    <row r="795" spans="11:19" x14ac:dyDescent="0.3">
      <c r="K795" t="str">
        <v>2681A</v>
      </c>
      <c r="L795">
        <v>57</v>
      </c>
      <c r="R795" t="str">
        <v>10A</v>
      </c>
      <c r="S795">
        <v>63</v>
      </c>
    </row>
    <row r="796" spans="11:19" x14ac:dyDescent="0.3">
      <c r="K796" t="str">
        <v>938F</v>
      </c>
      <c r="L796">
        <v>95</v>
      </c>
      <c r="R796" t="str">
        <v>502A</v>
      </c>
      <c r="S796">
        <v>106</v>
      </c>
    </row>
    <row r="797" spans="11:19" x14ac:dyDescent="0.3">
      <c r="K797" t="str">
        <v>884B</v>
      </c>
      <c r="L797">
        <v>95</v>
      </c>
      <c r="R797" t="str">
        <v>51581E</v>
      </c>
      <c r="S797">
        <v>106</v>
      </c>
    </row>
    <row r="798" spans="11:19" x14ac:dyDescent="0.3">
      <c r="K798" t="str">
        <v>938X</v>
      </c>
      <c r="L798">
        <v>86</v>
      </c>
      <c r="R798" t="str">
        <v>938K</v>
      </c>
      <c r="S798">
        <v>56</v>
      </c>
    </row>
    <row r="799" spans="11:19" x14ac:dyDescent="0.3">
      <c r="K799" t="str">
        <v>98040C</v>
      </c>
      <c r="L799">
        <v>86</v>
      </c>
      <c r="R799" t="str">
        <v>9805A</v>
      </c>
      <c r="S799">
        <v>56</v>
      </c>
    </row>
    <row r="800" spans="11:19" x14ac:dyDescent="0.3">
      <c r="K800" t="str">
        <v>16689A</v>
      </c>
      <c r="L800">
        <v>89</v>
      </c>
      <c r="R800" t="str">
        <v>3512B</v>
      </c>
      <c r="S800">
        <v>56</v>
      </c>
    </row>
    <row r="801" spans="11:19" x14ac:dyDescent="0.3">
      <c r="K801" t="str">
        <v>84141A</v>
      </c>
      <c r="L801">
        <v>89</v>
      </c>
      <c r="R801" t="str">
        <v>90385G</v>
      </c>
      <c r="S801">
        <v>56</v>
      </c>
    </row>
    <row r="802" spans="11:19" x14ac:dyDescent="0.3">
      <c r="K802" t="str">
        <v>8675V</v>
      </c>
      <c r="L802">
        <v>67</v>
      </c>
      <c r="R802" t="str">
        <v>47874J</v>
      </c>
      <c r="S802">
        <v>77</v>
      </c>
    </row>
    <row r="803" spans="11:19" x14ac:dyDescent="0.3">
      <c r="K803" t="str">
        <v>917A</v>
      </c>
      <c r="L803">
        <v>67</v>
      </c>
      <c r="R803" t="str">
        <v>10J</v>
      </c>
      <c r="S803">
        <v>77</v>
      </c>
    </row>
    <row r="804" spans="11:19" x14ac:dyDescent="0.3">
      <c r="K804" t="str">
        <v>99621C</v>
      </c>
      <c r="L804">
        <v>119</v>
      </c>
      <c r="R804" t="str">
        <v>16689E</v>
      </c>
      <c r="S804">
        <v>63</v>
      </c>
    </row>
    <row r="805" spans="11:19" x14ac:dyDescent="0.3">
      <c r="K805" t="str">
        <v>10C</v>
      </c>
      <c r="L805">
        <v>119</v>
      </c>
      <c r="R805" t="str">
        <v>98225H</v>
      </c>
      <c r="S805">
        <v>63</v>
      </c>
    </row>
    <row r="806" spans="11:19" x14ac:dyDescent="0.3">
      <c r="K806" t="str">
        <v>7784W</v>
      </c>
      <c r="L806">
        <v>116</v>
      </c>
      <c r="R806" t="str">
        <v>10C</v>
      </c>
      <c r="S806">
        <v>98</v>
      </c>
    </row>
    <row r="807" spans="11:19" x14ac:dyDescent="0.3">
      <c r="K807" t="str">
        <v>9364G</v>
      </c>
      <c r="L807">
        <v>116</v>
      </c>
      <c r="R807" t="str">
        <v>884B</v>
      </c>
      <c r="S807">
        <v>98</v>
      </c>
    </row>
    <row r="808" spans="11:19" x14ac:dyDescent="0.3">
      <c r="K808" t="str">
        <v>98225M</v>
      </c>
      <c r="L808">
        <v>64</v>
      </c>
      <c r="R808" t="str">
        <v>47000X</v>
      </c>
      <c r="S808">
        <v>37</v>
      </c>
    </row>
    <row r="809" spans="11:19" x14ac:dyDescent="0.3">
      <c r="K809" t="str">
        <v>5327K</v>
      </c>
      <c r="L809">
        <v>64</v>
      </c>
      <c r="R809" t="str">
        <v>7700H</v>
      </c>
      <c r="S809">
        <v>37</v>
      </c>
    </row>
    <row r="810" spans="11:19" x14ac:dyDescent="0.3">
      <c r="K810" t="str">
        <v>6526D</v>
      </c>
      <c r="L810">
        <v>103</v>
      </c>
      <c r="R810" t="str">
        <v>8675V</v>
      </c>
      <c r="S810">
        <v>57</v>
      </c>
    </row>
    <row r="811" spans="11:19" x14ac:dyDescent="0.3">
      <c r="K811" t="str">
        <v>1000A</v>
      </c>
      <c r="L811">
        <v>103</v>
      </c>
      <c r="R811" t="str">
        <v>99621A</v>
      </c>
      <c r="S811">
        <v>57</v>
      </c>
    </row>
    <row r="812" spans="11:19" x14ac:dyDescent="0.3">
      <c r="K812" t="str">
        <v>47874J</v>
      </c>
      <c r="L812">
        <v>75</v>
      </c>
      <c r="R812" t="str">
        <v>16689A</v>
      </c>
      <c r="S812">
        <v>99</v>
      </c>
    </row>
    <row r="813" spans="11:19" x14ac:dyDescent="0.3">
      <c r="K813" t="str">
        <v>5155A</v>
      </c>
      <c r="L813">
        <v>75</v>
      </c>
      <c r="R813" t="str">
        <v>8675F</v>
      </c>
      <c r="S813">
        <v>99</v>
      </c>
    </row>
    <row r="814" spans="11:19" x14ac:dyDescent="0.3">
      <c r="K814" t="str">
        <v>7700H</v>
      </c>
      <c r="L814">
        <v>87</v>
      </c>
      <c r="R814" t="str">
        <v>652A</v>
      </c>
      <c r="S814">
        <v>123</v>
      </c>
    </row>
    <row r="815" spans="11:19" x14ac:dyDescent="0.3">
      <c r="K815" t="str">
        <v>10M</v>
      </c>
      <c r="L815">
        <v>87</v>
      </c>
      <c r="R815" t="str">
        <v>938H</v>
      </c>
      <c r="S815">
        <v>123</v>
      </c>
    </row>
    <row r="816" spans="11:19" x14ac:dyDescent="0.3">
      <c r="K816" t="str">
        <v>609A</v>
      </c>
      <c r="L816">
        <v>97</v>
      </c>
      <c r="R816" t="str">
        <v>6526H</v>
      </c>
      <c r="S816">
        <v>80</v>
      </c>
    </row>
    <row r="817" spans="11:19" x14ac:dyDescent="0.3">
      <c r="K817" t="str">
        <v>1258V</v>
      </c>
      <c r="L817">
        <v>97</v>
      </c>
      <c r="R817" t="str">
        <v>98040C</v>
      </c>
      <c r="S817">
        <v>80</v>
      </c>
    </row>
    <row r="818" spans="11:19" x14ac:dyDescent="0.3">
      <c r="K818" t="str">
        <v>1023E</v>
      </c>
      <c r="L818">
        <v>78</v>
      </c>
      <c r="R818" t="str">
        <v>9364G</v>
      </c>
      <c r="S818">
        <v>135</v>
      </c>
    </row>
    <row r="819" spans="11:19" x14ac:dyDescent="0.3">
      <c r="K819" t="str">
        <v>84141X</v>
      </c>
      <c r="L819">
        <v>78</v>
      </c>
      <c r="R819" t="str">
        <v>10012G</v>
      </c>
      <c r="S819">
        <v>135</v>
      </c>
    </row>
    <row r="820" spans="11:19" x14ac:dyDescent="0.3">
      <c r="K820" t="str">
        <v>66475C</v>
      </c>
      <c r="L820">
        <v>102</v>
      </c>
      <c r="R820" t="str">
        <v>537K</v>
      </c>
      <c r="S820">
        <v>42</v>
      </c>
    </row>
    <row r="821" spans="11:19" x14ac:dyDescent="0.3">
      <c r="K821" t="str">
        <v>51777H</v>
      </c>
      <c r="L821">
        <v>102</v>
      </c>
      <c r="R821" t="str">
        <v>938R</v>
      </c>
      <c r="S821">
        <v>42</v>
      </c>
    </row>
    <row r="822" spans="11:19" x14ac:dyDescent="0.3">
      <c r="K822" t="str">
        <v>1168A</v>
      </c>
      <c r="L822">
        <v>123</v>
      </c>
      <c r="R822" t="str">
        <v>5327K</v>
      </c>
      <c r="S822">
        <v>72</v>
      </c>
    </row>
    <row r="823" spans="11:19" x14ac:dyDescent="0.3">
      <c r="K823" t="str">
        <v>938C</v>
      </c>
      <c r="L823">
        <v>123</v>
      </c>
      <c r="R823" t="str">
        <v>10X</v>
      </c>
      <c r="S823">
        <v>72</v>
      </c>
    </row>
    <row r="824" spans="11:19" x14ac:dyDescent="0.3">
      <c r="K824" t="str">
        <v>938H</v>
      </c>
      <c r="L824">
        <v>87</v>
      </c>
      <c r="R824" t="str">
        <v>229V</v>
      </c>
      <c r="S824">
        <v>132</v>
      </c>
    </row>
    <row r="825" spans="11:19" x14ac:dyDescent="0.3">
      <c r="K825" t="str">
        <v>10X</v>
      </c>
      <c r="L825">
        <v>87</v>
      </c>
      <c r="R825" t="str">
        <v>7899B</v>
      </c>
      <c r="S825">
        <v>132</v>
      </c>
    </row>
    <row r="826" spans="11:19" x14ac:dyDescent="0.3">
      <c r="K826" t="str">
        <v>938F</v>
      </c>
      <c r="L826">
        <v>27</v>
      </c>
      <c r="R826" t="str">
        <v>1698Y</v>
      </c>
      <c r="S826">
        <v>135</v>
      </c>
    </row>
    <row r="827" spans="11:19" x14ac:dyDescent="0.3">
      <c r="K827" t="str">
        <v>938N</v>
      </c>
      <c r="L827">
        <v>27</v>
      </c>
      <c r="R827" t="str">
        <v>1687C</v>
      </c>
      <c r="S827">
        <v>135</v>
      </c>
    </row>
    <row r="828" spans="11:19" x14ac:dyDescent="0.3">
      <c r="K828" t="str">
        <v>16689A</v>
      </c>
      <c r="L828">
        <v>130</v>
      </c>
      <c r="R828" t="str">
        <v>2681A</v>
      </c>
      <c r="S828">
        <v>22</v>
      </c>
    </row>
    <row r="829" spans="11:19" x14ac:dyDescent="0.3">
      <c r="K829" t="str">
        <v>229V</v>
      </c>
      <c r="L829">
        <v>130</v>
      </c>
      <c r="R829" t="str">
        <v>6526D</v>
      </c>
      <c r="S829">
        <v>22</v>
      </c>
    </row>
    <row r="830" spans="11:19" x14ac:dyDescent="0.3">
      <c r="K830" t="str">
        <v>99621C</v>
      </c>
      <c r="L830">
        <v>112</v>
      </c>
      <c r="R830" t="str">
        <v>938N</v>
      </c>
      <c r="S830">
        <v>49</v>
      </c>
    </row>
    <row r="831" spans="11:19" x14ac:dyDescent="0.3">
      <c r="K831" t="str">
        <v>99621A</v>
      </c>
      <c r="L831">
        <v>112</v>
      </c>
      <c r="R831" t="str">
        <v>9805A</v>
      </c>
      <c r="S831">
        <v>49</v>
      </c>
    </row>
    <row r="832" spans="11:19" x14ac:dyDescent="0.3">
      <c r="K832" t="str">
        <v>7899B</v>
      </c>
      <c r="L832">
        <v>125</v>
      </c>
      <c r="R832" t="str">
        <v>1023E</v>
      </c>
      <c r="S832">
        <v>114</v>
      </c>
    </row>
    <row r="833" spans="11:19" x14ac:dyDescent="0.3">
      <c r="K833" t="str">
        <v>98040C</v>
      </c>
      <c r="L833">
        <v>125</v>
      </c>
      <c r="R833" t="str">
        <v>10F</v>
      </c>
      <c r="S833">
        <v>114</v>
      </c>
    </row>
    <row r="834" spans="11:19" x14ac:dyDescent="0.3">
      <c r="K834" t="str">
        <v>8675F</v>
      </c>
      <c r="L834">
        <v>47</v>
      </c>
      <c r="R834" t="str">
        <v>938A</v>
      </c>
      <c r="S834">
        <v>82</v>
      </c>
    </row>
    <row r="835" spans="11:19" x14ac:dyDescent="0.3">
      <c r="K835" t="str">
        <v>3512E</v>
      </c>
      <c r="L835">
        <v>47</v>
      </c>
      <c r="R835" t="str">
        <v>84141X</v>
      </c>
      <c r="S835">
        <v>82</v>
      </c>
    </row>
    <row r="836" spans="11:19" x14ac:dyDescent="0.3">
      <c r="K836" t="str">
        <v>938X</v>
      </c>
      <c r="L836">
        <v>53</v>
      </c>
      <c r="R836" t="str">
        <v>16689E</v>
      </c>
      <c r="S836">
        <v>62</v>
      </c>
    </row>
    <row r="837" spans="11:19" x14ac:dyDescent="0.3">
      <c r="K837" t="str">
        <v>7784W</v>
      </c>
      <c r="L837">
        <v>53</v>
      </c>
      <c r="R837" t="str">
        <v>3512B</v>
      </c>
      <c r="S837">
        <v>62</v>
      </c>
    </row>
    <row r="838" spans="11:19" x14ac:dyDescent="0.3">
      <c r="K838" t="str">
        <v>6526H</v>
      </c>
      <c r="L838">
        <v>100</v>
      </c>
      <c r="R838" t="str">
        <v>1258V</v>
      </c>
      <c r="S838">
        <v>97</v>
      </c>
    </row>
    <row r="839" spans="11:19" x14ac:dyDescent="0.3">
      <c r="K839" t="str">
        <v>6526D</v>
      </c>
      <c r="L839">
        <v>100</v>
      </c>
      <c r="R839" t="str">
        <v>5155A</v>
      </c>
      <c r="S839">
        <v>97</v>
      </c>
    </row>
    <row r="840" spans="11:19" x14ac:dyDescent="0.3">
      <c r="K840" t="str">
        <v>10T</v>
      </c>
      <c r="L840">
        <v>71</v>
      </c>
      <c r="R840" t="str">
        <v>10C</v>
      </c>
      <c r="S840">
        <v>65</v>
      </c>
    </row>
    <row r="841" spans="11:19" x14ac:dyDescent="0.3">
      <c r="K841" t="str">
        <v>938A</v>
      </c>
      <c r="L841">
        <v>71</v>
      </c>
      <c r="R841" t="str">
        <v>502A</v>
      </c>
      <c r="S841">
        <v>65</v>
      </c>
    </row>
    <row r="842" spans="11:19" x14ac:dyDescent="0.3">
      <c r="K842" t="str">
        <v>5155A</v>
      </c>
      <c r="L842">
        <v>109</v>
      </c>
      <c r="R842" t="str">
        <v>10J</v>
      </c>
      <c r="S842">
        <v>82</v>
      </c>
    </row>
    <row r="843" spans="11:19" x14ac:dyDescent="0.3">
      <c r="K843" t="str">
        <v>537K</v>
      </c>
      <c r="L843">
        <v>109</v>
      </c>
      <c r="R843" t="str">
        <v>3512E</v>
      </c>
      <c r="S843">
        <v>82</v>
      </c>
    </row>
    <row r="844" spans="11:19" x14ac:dyDescent="0.3">
      <c r="K844" t="str">
        <v>9364C</v>
      </c>
      <c r="L844">
        <v>109</v>
      </c>
      <c r="R844" t="str">
        <v>10A</v>
      </c>
      <c r="S844">
        <v>115</v>
      </c>
    </row>
    <row r="845" spans="11:19" x14ac:dyDescent="0.3">
      <c r="K845" t="str">
        <v>8675V</v>
      </c>
      <c r="L845">
        <v>109</v>
      </c>
      <c r="R845" t="str">
        <v>10M</v>
      </c>
      <c r="S845">
        <v>115</v>
      </c>
    </row>
    <row r="846" spans="11:19" x14ac:dyDescent="0.3">
      <c r="K846" t="str">
        <v>652A</v>
      </c>
      <c r="L846">
        <v>100</v>
      </c>
      <c r="R846" t="str">
        <v>51777H</v>
      </c>
      <c r="S846">
        <v>67</v>
      </c>
    </row>
    <row r="847" spans="11:19" x14ac:dyDescent="0.3">
      <c r="K847" t="str">
        <v>2681A</v>
      </c>
      <c r="L847">
        <v>100</v>
      </c>
      <c r="R847" t="str">
        <v>16689Z</v>
      </c>
      <c r="S847">
        <v>67</v>
      </c>
    </row>
    <row r="848" spans="11:19" x14ac:dyDescent="0.3">
      <c r="K848" t="str">
        <v>938R</v>
      </c>
      <c r="L848">
        <v>70</v>
      </c>
      <c r="R848" t="str">
        <v>9364C</v>
      </c>
      <c r="S848">
        <v>88</v>
      </c>
    </row>
    <row r="849" spans="11:19" x14ac:dyDescent="0.3">
      <c r="K849" t="str">
        <v>1000A</v>
      </c>
      <c r="L849">
        <v>70</v>
      </c>
      <c r="R849" t="str">
        <v>84141A</v>
      </c>
      <c r="S849">
        <v>88</v>
      </c>
    </row>
    <row r="850" spans="11:19" x14ac:dyDescent="0.3">
      <c r="K850" t="str">
        <v>5327K</v>
      </c>
      <c r="L850">
        <v>80</v>
      </c>
      <c r="R850" t="str">
        <v>44244N</v>
      </c>
      <c r="S850">
        <v>97</v>
      </c>
    </row>
    <row r="851" spans="11:19" x14ac:dyDescent="0.3">
      <c r="K851" t="str">
        <v>1687C</v>
      </c>
      <c r="L851">
        <v>80</v>
      </c>
      <c r="R851" t="str">
        <v>98225M</v>
      </c>
      <c r="S851">
        <v>97</v>
      </c>
    </row>
    <row r="852" spans="11:19" x14ac:dyDescent="0.3">
      <c r="K852" t="str">
        <v>10F</v>
      </c>
      <c r="L852">
        <v>60</v>
      </c>
      <c r="R852" t="str">
        <v>47874J</v>
      </c>
      <c r="S852">
        <v>119</v>
      </c>
    </row>
    <row r="853" spans="11:19" x14ac:dyDescent="0.3">
      <c r="K853" t="str">
        <v>44244N</v>
      </c>
      <c r="L853">
        <v>60</v>
      </c>
      <c r="R853" t="str">
        <v>938C</v>
      </c>
      <c r="S853">
        <v>119</v>
      </c>
    </row>
    <row r="854" spans="11:19" x14ac:dyDescent="0.3">
      <c r="K854" t="str">
        <v>98225M</v>
      </c>
      <c r="L854">
        <v>51</v>
      </c>
      <c r="R854" t="str">
        <v>99621C</v>
      </c>
      <c r="S854">
        <v>90</v>
      </c>
    </row>
    <row r="855" spans="11:19" x14ac:dyDescent="0.3">
      <c r="K855" t="str">
        <v>84141A</v>
      </c>
      <c r="L855">
        <v>51</v>
      </c>
      <c r="R855" t="str">
        <v>1168A</v>
      </c>
      <c r="S855">
        <v>90</v>
      </c>
    </row>
    <row r="856" spans="11:19" x14ac:dyDescent="0.3">
      <c r="K856" t="str">
        <v>10012G</v>
      </c>
      <c r="L856">
        <v>168</v>
      </c>
      <c r="R856" t="str">
        <v>51581E</v>
      </c>
      <c r="S856">
        <v>46</v>
      </c>
    </row>
    <row r="857" spans="11:19" x14ac:dyDescent="0.3">
      <c r="K857" t="str">
        <v>1698Y</v>
      </c>
      <c r="L857">
        <v>168</v>
      </c>
      <c r="R857" t="str">
        <v>609A</v>
      </c>
      <c r="S857">
        <v>46</v>
      </c>
    </row>
    <row r="858" spans="11:19" x14ac:dyDescent="0.3">
      <c r="K858" t="str">
        <v>10M</v>
      </c>
      <c r="L858">
        <v>64</v>
      </c>
      <c r="R858" t="str">
        <v>7784W</v>
      </c>
      <c r="S858">
        <v>107</v>
      </c>
    </row>
    <row r="859" spans="11:19" x14ac:dyDescent="0.3">
      <c r="K859" t="str">
        <v>938U</v>
      </c>
      <c r="L859">
        <v>64</v>
      </c>
      <c r="R859" t="str">
        <v>884B</v>
      </c>
      <c r="S859">
        <v>107</v>
      </c>
    </row>
    <row r="860" spans="11:19" x14ac:dyDescent="0.3">
      <c r="K860" t="str">
        <v>9364G</v>
      </c>
      <c r="L860">
        <v>60</v>
      </c>
      <c r="R860" t="str">
        <v>1000A</v>
      </c>
      <c r="S860">
        <v>72</v>
      </c>
    </row>
    <row r="861" spans="11:19" x14ac:dyDescent="0.3">
      <c r="K861" t="str">
        <v>917A</v>
      </c>
      <c r="L861">
        <v>60</v>
      </c>
      <c r="R861" t="str">
        <v>917A</v>
      </c>
      <c r="S861">
        <v>72</v>
      </c>
    </row>
    <row r="862" spans="11:19" x14ac:dyDescent="0.3">
      <c r="K862" t="str">
        <v>16689Z</v>
      </c>
      <c r="L862">
        <v>63</v>
      </c>
      <c r="R862" t="str">
        <v>938F</v>
      </c>
      <c r="S862">
        <v>114</v>
      </c>
    </row>
    <row r="863" spans="11:19" x14ac:dyDescent="0.3">
      <c r="K863" t="str">
        <v>10A</v>
      </c>
      <c r="L863">
        <v>63</v>
      </c>
      <c r="R863" t="str">
        <v>47000X</v>
      </c>
      <c r="S863">
        <v>114</v>
      </c>
    </row>
    <row r="864" spans="11:19" x14ac:dyDescent="0.3">
      <c r="K864" t="str">
        <v>502A</v>
      </c>
      <c r="L864">
        <v>106</v>
      </c>
      <c r="R864" t="str">
        <v>938U</v>
      </c>
      <c r="S864">
        <v>106</v>
      </c>
    </row>
    <row r="865" spans="11:19" x14ac:dyDescent="0.3">
      <c r="K865" t="str">
        <v>51581E</v>
      </c>
      <c r="L865">
        <v>106</v>
      </c>
      <c r="R865" t="str">
        <v>938K</v>
      </c>
      <c r="S865">
        <v>106</v>
      </c>
    </row>
    <row r="866" spans="11:19" x14ac:dyDescent="0.3">
      <c r="K866" t="str">
        <v>938K</v>
      </c>
      <c r="L866">
        <v>56</v>
      </c>
      <c r="R866" t="str">
        <v>66475C</v>
      </c>
      <c r="S866">
        <v>81</v>
      </c>
    </row>
    <row r="867" spans="11:19" x14ac:dyDescent="0.3">
      <c r="K867" t="str">
        <v>9805A</v>
      </c>
      <c r="L867">
        <v>56</v>
      </c>
      <c r="R867" t="str">
        <v>98225H</v>
      </c>
      <c r="S867">
        <v>81</v>
      </c>
    </row>
    <row r="868" spans="11:19" x14ac:dyDescent="0.3">
      <c r="K868" t="str">
        <v>3512B</v>
      </c>
      <c r="L868">
        <v>56</v>
      </c>
      <c r="R868" t="str">
        <v>938X</v>
      </c>
      <c r="S868">
        <v>74</v>
      </c>
    </row>
    <row r="869" spans="11:19" x14ac:dyDescent="0.3">
      <c r="K869" t="str">
        <v>90385G</v>
      </c>
      <c r="L869">
        <v>56</v>
      </c>
      <c r="R869" t="str">
        <v>90385G</v>
      </c>
      <c r="S869">
        <v>74</v>
      </c>
    </row>
    <row r="870" spans="11:19" x14ac:dyDescent="0.3">
      <c r="K870" t="str">
        <v>47874J</v>
      </c>
      <c r="L870">
        <v>77</v>
      </c>
      <c r="R870" t="str">
        <v>10T</v>
      </c>
      <c r="S870">
        <v>150</v>
      </c>
    </row>
    <row r="871" spans="11:19" x14ac:dyDescent="0.3">
      <c r="K871" t="str">
        <v>10J</v>
      </c>
      <c r="L871">
        <v>77</v>
      </c>
      <c r="R871" t="str">
        <v>7700H</v>
      </c>
      <c r="S871">
        <v>150</v>
      </c>
    </row>
    <row r="872" spans="11:19" x14ac:dyDescent="0.3">
      <c r="K872" t="str">
        <v>16689E</v>
      </c>
      <c r="L872">
        <v>63</v>
      </c>
      <c r="R872" t="str">
        <v>7899B</v>
      </c>
      <c r="S872">
        <v>71</v>
      </c>
    </row>
    <row r="873" spans="11:19" x14ac:dyDescent="0.3">
      <c r="K873" t="str">
        <v>98225H</v>
      </c>
      <c r="L873">
        <v>63</v>
      </c>
      <c r="R873" t="str">
        <v>938H</v>
      </c>
      <c r="S873">
        <v>71</v>
      </c>
    </row>
    <row r="874" spans="11:19" x14ac:dyDescent="0.3">
      <c r="K874" t="str">
        <v>10C</v>
      </c>
      <c r="L874">
        <v>98</v>
      </c>
      <c r="R874" t="str">
        <v>1258V</v>
      </c>
      <c r="S874">
        <v>54</v>
      </c>
    </row>
    <row r="875" spans="11:19" x14ac:dyDescent="0.3">
      <c r="K875" t="str">
        <v>884B</v>
      </c>
      <c r="L875">
        <v>98</v>
      </c>
      <c r="R875" t="str">
        <v>938N</v>
      </c>
      <c r="S875">
        <v>54</v>
      </c>
    </row>
    <row r="876" spans="11:19" x14ac:dyDescent="0.3">
      <c r="K876" t="str">
        <v>47000X</v>
      </c>
      <c r="L876">
        <v>37</v>
      </c>
      <c r="R876" t="str">
        <v>652A</v>
      </c>
      <c r="S876">
        <v>95</v>
      </c>
    </row>
    <row r="877" spans="11:19" x14ac:dyDescent="0.3">
      <c r="K877" t="str">
        <v>7700H</v>
      </c>
      <c r="L877">
        <v>37</v>
      </c>
      <c r="R877" t="str">
        <v>10J</v>
      </c>
      <c r="S877">
        <v>95</v>
      </c>
    </row>
    <row r="878" spans="11:19" x14ac:dyDescent="0.3">
      <c r="K878" t="str">
        <v>8675V</v>
      </c>
      <c r="L878">
        <v>57</v>
      </c>
      <c r="R878" t="str">
        <v>938C</v>
      </c>
      <c r="S878">
        <v>39</v>
      </c>
    </row>
    <row r="879" spans="11:19" x14ac:dyDescent="0.3">
      <c r="K879" t="str">
        <v>99621A</v>
      </c>
      <c r="L879">
        <v>57</v>
      </c>
      <c r="R879" t="str">
        <v>3512B</v>
      </c>
      <c r="S879">
        <v>39</v>
      </c>
    </row>
    <row r="880" spans="11:19" x14ac:dyDescent="0.3">
      <c r="K880" t="str">
        <v>16689A</v>
      </c>
      <c r="L880">
        <v>99</v>
      </c>
      <c r="R880" t="str">
        <v>2681A</v>
      </c>
      <c r="S880">
        <v>223</v>
      </c>
    </row>
    <row r="881" spans="11:19" x14ac:dyDescent="0.3">
      <c r="K881" t="str">
        <v>8675F</v>
      </c>
      <c r="L881">
        <v>99</v>
      </c>
      <c r="R881" t="str">
        <v>229V</v>
      </c>
      <c r="S881">
        <v>223</v>
      </c>
    </row>
    <row r="882" spans="11:19" x14ac:dyDescent="0.3">
      <c r="K882" t="str">
        <v>652A</v>
      </c>
      <c r="L882">
        <v>123</v>
      </c>
      <c r="R882" t="str">
        <v>10C</v>
      </c>
      <c r="S882">
        <v>120</v>
      </c>
    </row>
    <row r="883" spans="11:19" x14ac:dyDescent="0.3">
      <c r="K883" t="str">
        <v>938H</v>
      </c>
      <c r="L883">
        <v>123</v>
      </c>
      <c r="R883" t="str">
        <v>47874J</v>
      </c>
      <c r="S883">
        <v>120</v>
      </c>
    </row>
    <row r="884" spans="11:19" x14ac:dyDescent="0.3">
      <c r="K884" t="str">
        <v>6526H</v>
      </c>
      <c r="L884">
        <v>80</v>
      </c>
      <c r="R884" t="str">
        <v>938R</v>
      </c>
      <c r="S884">
        <v>37</v>
      </c>
    </row>
    <row r="885" spans="11:19" x14ac:dyDescent="0.3">
      <c r="K885" t="str">
        <v>98040C</v>
      </c>
      <c r="L885">
        <v>80</v>
      </c>
      <c r="R885" t="str">
        <v>3512E</v>
      </c>
      <c r="S885">
        <v>37</v>
      </c>
    </row>
    <row r="886" spans="11:19" x14ac:dyDescent="0.3">
      <c r="K886" t="str">
        <v>9364G</v>
      </c>
      <c r="L886">
        <v>135</v>
      </c>
      <c r="R886" t="str">
        <v>51581E</v>
      </c>
      <c r="S886">
        <v>84</v>
      </c>
    </row>
    <row r="887" spans="11:19" x14ac:dyDescent="0.3">
      <c r="K887" t="str">
        <v>10012G</v>
      </c>
      <c r="L887">
        <v>135</v>
      </c>
      <c r="R887" t="str">
        <v>84141A</v>
      </c>
      <c r="S887">
        <v>84</v>
      </c>
    </row>
    <row r="888" spans="11:19" x14ac:dyDescent="0.3">
      <c r="K888" t="str">
        <v>537K</v>
      </c>
      <c r="L888">
        <v>42</v>
      </c>
      <c r="R888" t="str">
        <v>1023E</v>
      </c>
      <c r="S888">
        <v>93</v>
      </c>
    </row>
    <row r="889" spans="11:19" x14ac:dyDescent="0.3">
      <c r="K889" t="str">
        <v>938R</v>
      </c>
      <c r="L889">
        <v>42</v>
      </c>
      <c r="R889" t="str">
        <v>6526H</v>
      </c>
      <c r="S889">
        <v>93</v>
      </c>
    </row>
    <row r="890" spans="11:19" x14ac:dyDescent="0.3">
      <c r="K890" t="str">
        <v>5327K</v>
      </c>
      <c r="L890">
        <v>72</v>
      </c>
      <c r="R890" t="str">
        <v>16689E</v>
      </c>
      <c r="S890">
        <v>74</v>
      </c>
    </row>
    <row r="891" spans="11:19" x14ac:dyDescent="0.3">
      <c r="K891" t="str">
        <v>10X</v>
      </c>
      <c r="L891">
        <v>72</v>
      </c>
      <c r="R891" t="str">
        <v>51777H</v>
      </c>
      <c r="S891">
        <v>74</v>
      </c>
    </row>
    <row r="892" spans="11:19" x14ac:dyDescent="0.3">
      <c r="K892" t="str">
        <v>229V</v>
      </c>
      <c r="L892">
        <v>132</v>
      </c>
      <c r="R892" t="str">
        <v>8675V</v>
      </c>
      <c r="S892">
        <v>104</v>
      </c>
    </row>
    <row r="893" spans="11:19" x14ac:dyDescent="0.3">
      <c r="K893" t="str">
        <v>7899B</v>
      </c>
      <c r="L893">
        <v>132</v>
      </c>
      <c r="R893" t="str">
        <v>1168A</v>
      </c>
      <c r="S893">
        <v>104</v>
      </c>
    </row>
    <row r="894" spans="11:19" x14ac:dyDescent="0.3">
      <c r="K894" t="str">
        <v>1698Y</v>
      </c>
      <c r="L894">
        <v>135</v>
      </c>
      <c r="R894" t="str">
        <v>938U</v>
      </c>
      <c r="S894">
        <v>80</v>
      </c>
    </row>
    <row r="895" spans="11:19" x14ac:dyDescent="0.3">
      <c r="K895" t="str">
        <v>1687C</v>
      </c>
      <c r="L895">
        <v>135</v>
      </c>
      <c r="R895" t="str">
        <v>1698Y</v>
      </c>
      <c r="S895">
        <v>80</v>
      </c>
    </row>
    <row r="896" spans="11:19" x14ac:dyDescent="0.3">
      <c r="K896" t="str">
        <v>2681A</v>
      </c>
      <c r="L896">
        <v>22</v>
      </c>
      <c r="R896" t="str">
        <v>5327K</v>
      </c>
      <c r="S896">
        <v>109</v>
      </c>
    </row>
    <row r="897" spans="11:19" x14ac:dyDescent="0.3">
      <c r="K897" t="str">
        <v>6526D</v>
      </c>
      <c r="L897">
        <v>22</v>
      </c>
      <c r="R897" t="str">
        <v>16689A</v>
      </c>
      <c r="S897">
        <v>109</v>
      </c>
    </row>
    <row r="898" spans="11:19" x14ac:dyDescent="0.3">
      <c r="K898" t="str">
        <v>938N</v>
      </c>
      <c r="L898">
        <v>49</v>
      </c>
      <c r="R898" t="str">
        <v>98225M</v>
      </c>
      <c r="S898">
        <v>111</v>
      </c>
    </row>
    <row r="899" spans="11:19" x14ac:dyDescent="0.3">
      <c r="K899" t="str">
        <v>9805A</v>
      </c>
      <c r="L899">
        <v>49</v>
      </c>
      <c r="R899" t="str">
        <v>502A</v>
      </c>
      <c r="S899">
        <v>111</v>
      </c>
    </row>
    <row r="900" spans="11:19" x14ac:dyDescent="0.3">
      <c r="K900" t="str">
        <v>1023E</v>
      </c>
      <c r="L900">
        <v>114</v>
      </c>
      <c r="R900" t="str">
        <v>938K</v>
      </c>
      <c r="S900">
        <v>39</v>
      </c>
    </row>
    <row r="901" spans="11:19" x14ac:dyDescent="0.3">
      <c r="K901" t="str">
        <v>10F</v>
      </c>
      <c r="L901">
        <v>114</v>
      </c>
      <c r="R901" t="str">
        <v>99621A</v>
      </c>
      <c r="S901">
        <v>39</v>
      </c>
    </row>
    <row r="902" spans="11:19" x14ac:dyDescent="0.3">
      <c r="K902" t="str">
        <v>938A</v>
      </c>
      <c r="L902">
        <v>82</v>
      </c>
      <c r="R902" t="str">
        <v>44244N</v>
      </c>
      <c r="S902">
        <v>74</v>
      </c>
    </row>
    <row r="903" spans="11:19" x14ac:dyDescent="0.3">
      <c r="K903" t="str">
        <v>84141X</v>
      </c>
      <c r="L903">
        <v>82</v>
      </c>
      <c r="R903" t="str">
        <v>90385G</v>
      </c>
      <c r="S903">
        <v>74</v>
      </c>
    </row>
    <row r="904" spans="11:19" x14ac:dyDescent="0.3">
      <c r="K904" t="str">
        <v>16689E</v>
      </c>
      <c r="L904">
        <v>62</v>
      </c>
      <c r="R904" t="str">
        <v>47000X</v>
      </c>
      <c r="S904">
        <v>123</v>
      </c>
    </row>
    <row r="905" spans="11:19" x14ac:dyDescent="0.3">
      <c r="K905" t="str">
        <v>3512B</v>
      </c>
      <c r="L905">
        <v>62</v>
      </c>
      <c r="R905" t="str">
        <v>5155A</v>
      </c>
      <c r="S905">
        <v>123</v>
      </c>
    </row>
    <row r="906" spans="11:19" x14ac:dyDescent="0.3">
      <c r="K906" t="str">
        <v>1258V</v>
      </c>
      <c r="L906">
        <v>97</v>
      </c>
      <c r="R906" t="str">
        <v>10M</v>
      </c>
      <c r="S906">
        <v>106</v>
      </c>
    </row>
    <row r="907" spans="11:19" x14ac:dyDescent="0.3">
      <c r="K907" t="str">
        <v>5155A</v>
      </c>
      <c r="L907">
        <v>97</v>
      </c>
      <c r="R907" t="str">
        <v>98040C</v>
      </c>
      <c r="S907">
        <v>106</v>
      </c>
    </row>
    <row r="908" spans="11:19" x14ac:dyDescent="0.3">
      <c r="K908" t="str">
        <v>10C</v>
      </c>
      <c r="L908">
        <v>65</v>
      </c>
      <c r="R908" t="str">
        <v>7784W</v>
      </c>
      <c r="S908">
        <v>41</v>
      </c>
    </row>
    <row r="909" spans="11:19" x14ac:dyDescent="0.3">
      <c r="K909" t="str">
        <v>502A</v>
      </c>
      <c r="L909">
        <v>65</v>
      </c>
      <c r="R909" t="str">
        <v>9805A</v>
      </c>
      <c r="S909">
        <v>41</v>
      </c>
    </row>
    <row r="910" spans="11:19" x14ac:dyDescent="0.3">
      <c r="K910" t="str">
        <v>10J</v>
      </c>
      <c r="L910">
        <v>82</v>
      </c>
      <c r="R910" t="str">
        <v>9364C</v>
      </c>
      <c r="S910">
        <v>87</v>
      </c>
    </row>
    <row r="911" spans="11:19" x14ac:dyDescent="0.3">
      <c r="K911" t="str">
        <v>3512E</v>
      </c>
      <c r="L911">
        <v>82</v>
      </c>
      <c r="R911" t="str">
        <v>609A</v>
      </c>
      <c r="S911">
        <v>87</v>
      </c>
    </row>
    <row r="912" spans="11:19" x14ac:dyDescent="0.3">
      <c r="K912" t="str">
        <v>10A</v>
      </c>
      <c r="L912">
        <v>115</v>
      </c>
      <c r="R912" t="str">
        <v>84141X</v>
      </c>
      <c r="S912">
        <v>104</v>
      </c>
    </row>
    <row r="913" spans="11:19" x14ac:dyDescent="0.3">
      <c r="K913" t="str">
        <v>10M</v>
      </c>
      <c r="L913">
        <v>115</v>
      </c>
      <c r="R913" t="str">
        <v>8675F</v>
      </c>
      <c r="S913">
        <v>104</v>
      </c>
    </row>
    <row r="914" spans="11:19" x14ac:dyDescent="0.3">
      <c r="K914" t="str">
        <v>51777H</v>
      </c>
      <c r="L914">
        <v>67</v>
      </c>
      <c r="R914" t="str">
        <v>6526D</v>
      </c>
      <c r="S914">
        <v>58</v>
      </c>
    </row>
    <row r="915" spans="11:19" x14ac:dyDescent="0.3">
      <c r="K915" t="str">
        <v>16689Z</v>
      </c>
      <c r="L915">
        <v>67</v>
      </c>
      <c r="R915" t="str">
        <v>16689Z</v>
      </c>
      <c r="S915">
        <v>58</v>
      </c>
    </row>
    <row r="916" spans="11:19" x14ac:dyDescent="0.3">
      <c r="K916" t="str">
        <v>9364C</v>
      </c>
      <c r="L916">
        <v>88</v>
      </c>
      <c r="R916" t="str">
        <v>537K</v>
      </c>
      <c r="S916">
        <v>120</v>
      </c>
    </row>
    <row r="917" spans="11:19" x14ac:dyDescent="0.3">
      <c r="K917" t="str">
        <v>84141A</v>
      </c>
      <c r="L917">
        <v>88</v>
      </c>
      <c r="R917" t="str">
        <v>7700H</v>
      </c>
      <c r="S917">
        <v>120</v>
      </c>
    </row>
    <row r="918" spans="11:19" x14ac:dyDescent="0.3">
      <c r="K918" t="str">
        <v>44244N</v>
      </c>
      <c r="L918">
        <v>97</v>
      </c>
      <c r="R918" t="str">
        <v>98225H</v>
      </c>
      <c r="S918">
        <v>83</v>
      </c>
    </row>
    <row r="919" spans="11:19" x14ac:dyDescent="0.3">
      <c r="K919" t="str">
        <v>98225M</v>
      </c>
      <c r="L919">
        <v>97</v>
      </c>
      <c r="R919" t="str">
        <v>917A</v>
      </c>
      <c r="S919">
        <v>83</v>
      </c>
    </row>
    <row r="920" spans="11:19" x14ac:dyDescent="0.3">
      <c r="K920" t="str">
        <v>47874J</v>
      </c>
      <c r="L920">
        <v>119</v>
      </c>
      <c r="R920" t="str">
        <v>10012G</v>
      </c>
      <c r="S920">
        <v>138</v>
      </c>
    </row>
    <row r="921" spans="11:19" x14ac:dyDescent="0.3">
      <c r="K921" t="str">
        <v>938C</v>
      </c>
      <c r="L921">
        <v>119</v>
      </c>
      <c r="R921" t="str">
        <v>10X</v>
      </c>
      <c r="S921">
        <v>138</v>
      </c>
    </row>
    <row r="922" spans="11:19" x14ac:dyDescent="0.3">
      <c r="K922" t="str">
        <v>99621C</v>
      </c>
      <c r="L922">
        <v>90</v>
      </c>
      <c r="R922" t="str">
        <v>10F</v>
      </c>
      <c r="S922">
        <v>103</v>
      </c>
    </row>
    <row r="923" spans="11:19" x14ac:dyDescent="0.3">
      <c r="K923" t="str">
        <v>1168A</v>
      </c>
      <c r="L923">
        <v>90</v>
      </c>
      <c r="R923" t="str">
        <v>884B</v>
      </c>
      <c r="S923">
        <v>103</v>
      </c>
    </row>
    <row r="924" spans="11:19" x14ac:dyDescent="0.3">
      <c r="K924" t="str">
        <v>51581E</v>
      </c>
      <c r="L924">
        <v>46</v>
      </c>
      <c r="R924" t="str">
        <v>99621C</v>
      </c>
      <c r="S924">
        <v>80</v>
      </c>
    </row>
    <row r="925" spans="11:19" x14ac:dyDescent="0.3">
      <c r="K925" t="str">
        <v>609A</v>
      </c>
      <c r="L925">
        <v>46</v>
      </c>
      <c r="R925" t="str">
        <v>10T</v>
      </c>
      <c r="S925">
        <v>80</v>
      </c>
    </row>
    <row r="926" spans="11:19" x14ac:dyDescent="0.3">
      <c r="K926" t="str">
        <v>7784W</v>
      </c>
      <c r="L926">
        <v>107</v>
      </c>
      <c r="R926" t="str">
        <v>938F</v>
      </c>
      <c r="S926">
        <v>83</v>
      </c>
    </row>
    <row r="927" spans="11:19" x14ac:dyDescent="0.3">
      <c r="K927" t="str">
        <v>884B</v>
      </c>
      <c r="L927">
        <v>107</v>
      </c>
      <c r="R927" t="str">
        <v>938X</v>
      </c>
      <c r="S927">
        <v>83</v>
      </c>
    </row>
    <row r="928" spans="11:19" x14ac:dyDescent="0.3">
      <c r="K928" t="str">
        <v>1000A</v>
      </c>
      <c r="L928">
        <v>72</v>
      </c>
      <c r="R928" t="str">
        <v>1687C</v>
      </c>
      <c r="S928">
        <v>52</v>
      </c>
    </row>
    <row r="929" spans="11:19" x14ac:dyDescent="0.3">
      <c r="K929" t="str">
        <v>917A</v>
      </c>
      <c r="L929">
        <v>72</v>
      </c>
      <c r="R929" t="str">
        <v>9364G</v>
      </c>
      <c r="S929">
        <v>52</v>
      </c>
    </row>
    <row r="930" spans="11:19" x14ac:dyDescent="0.3">
      <c r="K930" t="str">
        <v>938F</v>
      </c>
      <c r="L930">
        <v>114</v>
      </c>
      <c r="R930" t="str">
        <v>1000A</v>
      </c>
      <c r="S930">
        <v>85</v>
      </c>
    </row>
    <row r="931" spans="11:19" x14ac:dyDescent="0.3">
      <c r="K931" t="str">
        <v>47000X</v>
      </c>
      <c r="L931">
        <v>114</v>
      </c>
      <c r="R931" t="str">
        <v>10A</v>
      </c>
      <c r="S931">
        <v>85</v>
      </c>
    </row>
    <row r="932" spans="11:19" x14ac:dyDescent="0.3">
      <c r="K932" t="str">
        <v>938U</v>
      </c>
      <c r="L932">
        <v>106</v>
      </c>
      <c r="R932" t="str">
        <v>66475C</v>
      </c>
      <c r="S932">
        <v>40</v>
      </c>
    </row>
    <row r="933" spans="11:19" x14ac:dyDescent="0.3">
      <c r="K933" t="str">
        <v>938K</v>
      </c>
      <c r="L933">
        <v>106</v>
      </c>
      <c r="R933" t="str">
        <v>938A</v>
      </c>
      <c r="S933">
        <v>40</v>
      </c>
    </row>
    <row r="934" spans="11:19" x14ac:dyDescent="0.3">
      <c r="K934" t="str">
        <v>66475C</v>
      </c>
      <c r="L934">
        <v>81</v>
      </c>
      <c r="R934" t="str">
        <v>10C</v>
      </c>
      <c r="S934">
        <v>95</v>
      </c>
    </row>
    <row r="935" spans="11:19" x14ac:dyDescent="0.3">
      <c r="K935" t="str">
        <v>98225H</v>
      </c>
      <c r="L935">
        <v>81</v>
      </c>
      <c r="R935" t="str">
        <v>5327K</v>
      </c>
      <c r="S935">
        <v>95</v>
      </c>
    </row>
    <row r="936" spans="11:19" x14ac:dyDescent="0.3">
      <c r="K936" t="str">
        <v>938X</v>
      </c>
      <c r="L936">
        <v>74</v>
      </c>
      <c r="R936" t="str">
        <v>99621A</v>
      </c>
      <c r="S936">
        <v>60</v>
      </c>
    </row>
    <row r="937" spans="11:19" x14ac:dyDescent="0.3">
      <c r="K937" t="str">
        <v>90385G</v>
      </c>
      <c r="L937">
        <v>74</v>
      </c>
      <c r="R937" t="str">
        <v>2681A</v>
      </c>
      <c r="S937">
        <v>60</v>
      </c>
    </row>
    <row r="938" spans="11:19" x14ac:dyDescent="0.3">
      <c r="K938" t="str">
        <v>10T</v>
      </c>
      <c r="L938">
        <v>150</v>
      </c>
      <c r="R938" t="str">
        <v>229V</v>
      </c>
      <c r="S938">
        <v>103</v>
      </c>
    </row>
    <row r="939" spans="11:19" x14ac:dyDescent="0.3">
      <c r="K939" t="str">
        <v>7700H</v>
      </c>
      <c r="L939">
        <v>150</v>
      </c>
      <c r="R939" t="str">
        <v>938K</v>
      </c>
      <c r="S939">
        <v>103</v>
      </c>
    </row>
    <row r="940" spans="11:19" x14ac:dyDescent="0.3">
      <c r="K940" t="str">
        <v>7899B</v>
      </c>
      <c r="L940">
        <v>71</v>
      </c>
      <c r="R940" t="str">
        <v>10J</v>
      </c>
      <c r="S940">
        <v>37</v>
      </c>
    </row>
    <row r="941" spans="11:19" x14ac:dyDescent="0.3">
      <c r="K941" t="str">
        <v>938H</v>
      </c>
      <c r="L941">
        <v>71</v>
      </c>
      <c r="R941" t="str">
        <v>938H</v>
      </c>
      <c r="S941">
        <v>37</v>
      </c>
    </row>
    <row r="942" spans="11:19" x14ac:dyDescent="0.3">
      <c r="K942" t="str">
        <v>1258V</v>
      </c>
      <c r="L942">
        <v>54</v>
      </c>
      <c r="R942" t="str">
        <v>7899B</v>
      </c>
      <c r="S942">
        <v>118</v>
      </c>
    </row>
    <row r="943" spans="11:19" x14ac:dyDescent="0.3">
      <c r="K943" t="str">
        <v>938N</v>
      </c>
      <c r="L943">
        <v>54</v>
      </c>
      <c r="R943" t="str">
        <v>47000X</v>
      </c>
      <c r="S943">
        <v>118</v>
      </c>
    </row>
    <row r="944" spans="11:19" x14ac:dyDescent="0.3">
      <c r="K944" t="str">
        <v>652A</v>
      </c>
      <c r="L944">
        <v>95</v>
      </c>
      <c r="R944" t="str">
        <v>47874J</v>
      </c>
      <c r="S944">
        <v>64</v>
      </c>
    </row>
    <row r="945" spans="11:19" x14ac:dyDescent="0.3">
      <c r="K945" t="str">
        <v>10J</v>
      </c>
      <c r="L945">
        <v>95</v>
      </c>
      <c r="R945" t="str">
        <v>8675F</v>
      </c>
      <c r="S945">
        <v>64</v>
      </c>
    </row>
    <row r="946" spans="11:19" x14ac:dyDescent="0.3">
      <c r="K946" t="str">
        <v>938C</v>
      </c>
      <c r="L946">
        <v>39</v>
      </c>
      <c r="R946" t="str">
        <v>90385G</v>
      </c>
      <c r="S946">
        <v>92</v>
      </c>
    </row>
    <row r="947" spans="11:19" x14ac:dyDescent="0.3">
      <c r="K947" t="str">
        <v>3512B</v>
      </c>
      <c r="L947">
        <v>39</v>
      </c>
      <c r="R947" t="str">
        <v>1698Y</v>
      </c>
      <c r="S947">
        <v>92</v>
      </c>
    </row>
    <row r="948" spans="11:19" x14ac:dyDescent="0.3">
      <c r="K948" t="str">
        <v>2681A</v>
      </c>
      <c r="L948">
        <v>223</v>
      </c>
      <c r="R948" t="str">
        <v>7700H</v>
      </c>
      <c r="S948">
        <v>54</v>
      </c>
    </row>
    <row r="949" spans="11:19" x14ac:dyDescent="0.3">
      <c r="K949" t="str">
        <v>229V</v>
      </c>
      <c r="L949">
        <v>223</v>
      </c>
      <c r="R949" t="str">
        <v>502A</v>
      </c>
      <c r="S949">
        <v>54</v>
      </c>
    </row>
    <row r="950" spans="11:19" x14ac:dyDescent="0.3">
      <c r="K950" t="str">
        <v>10C</v>
      </c>
      <c r="L950">
        <v>120</v>
      </c>
      <c r="R950" t="str">
        <v>938U</v>
      </c>
      <c r="S950">
        <v>85</v>
      </c>
    </row>
    <row r="951" spans="11:19" x14ac:dyDescent="0.3">
      <c r="K951" t="str">
        <v>47874J</v>
      </c>
      <c r="L951">
        <v>120</v>
      </c>
      <c r="R951" t="str">
        <v>609A</v>
      </c>
      <c r="S951">
        <v>85</v>
      </c>
    </row>
    <row r="952" spans="11:19" x14ac:dyDescent="0.3">
      <c r="K952" t="str">
        <v>938R</v>
      </c>
      <c r="L952">
        <v>37</v>
      </c>
      <c r="R952" t="str">
        <v>84141A</v>
      </c>
      <c r="S952">
        <v>40</v>
      </c>
    </row>
    <row r="953" spans="11:19" x14ac:dyDescent="0.3">
      <c r="K953" t="str">
        <v>3512E</v>
      </c>
      <c r="L953">
        <v>37</v>
      </c>
      <c r="R953" t="str">
        <v>3512E</v>
      </c>
      <c r="S953">
        <v>40</v>
      </c>
    </row>
    <row r="954" spans="11:19" x14ac:dyDescent="0.3">
      <c r="K954" t="str">
        <v>51581E</v>
      </c>
      <c r="L954">
        <v>84</v>
      </c>
      <c r="R954" t="str">
        <v>1258V</v>
      </c>
      <c r="S954">
        <v>130</v>
      </c>
    </row>
    <row r="955" spans="11:19" x14ac:dyDescent="0.3">
      <c r="K955" t="str">
        <v>84141A</v>
      </c>
      <c r="L955">
        <v>84</v>
      </c>
      <c r="R955" t="str">
        <v>9364C</v>
      </c>
      <c r="S955">
        <v>130</v>
      </c>
    </row>
    <row r="956" spans="11:19" x14ac:dyDescent="0.3">
      <c r="K956" t="str">
        <v>1023E</v>
      </c>
      <c r="L956">
        <v>93</v>
      </c>
      <c r="R956" t="str">
        <v>3512B</v>
      </c>
      <c r="S956">
        <v>25</v>
      </c>
    </row>
    <row r="957" spans="11:19" x14ac:dyDescent="0.3">
      <c r="K957" t="str">
        <v>6526H</v>
      </c>
      <c r="L957">
        <v>93</v>
      </c>
      <c r="R957" t="str">
        <v>98225M</v>
      </c>
      <c r="S957">
        <v>25</v>
      </c>
    </row>
    <row r="958" spans="11:19" x14ac:dyDescent="0.3">
      <c r="K958" t="str">
        <v>16689E</v>
      </c>
      <c r="L958">
        <v>74</v>
      </c>
      <c r="R958" t="str">
        <v>99621C</v>
      </c>
      <c r="S958">
        <v>87</v>
      </c>
    </row>
    <row r="959" spans="11:19" x14ac:dyDescent="0.3">
      <c r="K959" t="str">
        <v>51777H</v>
      </c>
      <c r="L959">
        <v>74</v>
      </c>
      <c r="R959" t="str">
        <v>10012G</v>
      </c>
      <c r="S959">
        <v>87</v>
      </c>
    </row>
    <row r="960" spans="11:19" x14ac:dyDescent="0.3">
      <c r="K960" t="str">
        <v>8675V</v>
      </c>
      <c r="L960">
        <v>104</v>
      </c>
      <c r="R960" t="str">
        <v>652A</v>
      </c>
      <c r="S960">
        <v>53</v>
      </c>
    </row>
    <row r="961" spans="11:19" x14ac:dyDescent="0.3">
      <c r="K961" t="str">
        <v>1168A</v>
      </c>
      <c r="L961">
        <v>104</v>
      </c>
      <c r="R961" t="str">
        <v>7784W</v>
      </c>
      <c r="S961">
        <v>53</v>
      </c>
    </row>
    <row r="962" spans="11:19" x14ac:dyDescent="0.3">
      <c r="K962" t="str">
        <v>938U</v>
      </c>
      <c r="L962">
        <v>80</v>
      </c>
      <c r="R962" t="str">
        <v>6526H</v>
      </c>
      <c r="S962">
        <v>100</v>
      </c>
    </row>
    <row r="963" spans="11:19" x14ac:dyDescent="0.3">
      <c r="K963" t="str">
        <v>1698Y</v>
      </c>
      <c r="L963">
        <v>80</v>
      </c>
      <c r="R963" t="str">
        <v>9805A</v>
      </c>
      <c r="S963">
        <v>100</v>
      </c>
    </row>
    <row r="964" spans="11:19" x14ac:dyDescent="0.3">
      <c r="K964" t="str">
        <v>5327K</v>
      </c>
      <c r="L964">
        <v>109</v>
      </c>
      <c r="R964" t="str">
        <v>938F</v>
      </c>
      <c r="S964">
        <v>87</v>
      </c>
    </row>
    <row r="965" spans="11:19" x14ac:dyDescent="0.3">
      <c r="K965" t="str">
        <v>16689A</v>
      </c>
      <c r="L965">
        <v>109</v>
      </c>
      <c r="R965" t="str">
        <v>44244N</v>
      </c>
      <c r="S965">
        <v>87</v>
      </c>
    </row>
    <row r="966" spans="11:19" x14ac:dyDescent="0.3">
      <c r="K966" t="str">
        <v>98225M</v>
      </c>
      <c r="L966">
        <v>111</v>
      </c>
      <c r="R966" t="str">
        <v>16689E</v>
      </c>
      <c r="S966">
        <v>97</v>
      </c>
    </row>
    <row r="967" spans="11:19" x14ac:dyDescent="0.3">
      <c r="K967" t="str">
        <v>502A</v>
      </c>
      <c r="L967">
        <v>111</v>
      </c>
      <c r="R967" t="str">
        <v>16689A</v>
      </c>
      <c r="S967">
        <v>97</v>
      </c>
    </row>
    <row r="968" spans="11:19" x14ac:dyDescent="0.3">
      <c r="K968" t="str">
        <v>938K</v>
      </c>
      <c r="L968">
        <v>39</v>
      </c>
      <c r="R968" t="str">
        <v>917A</v>
      </c>
      <c r="S968">
        <v>79</v>
      </c>
    </row>
    <row r="969" spans="11:19" x14ac:dyDescent="0.3">
      <c r="K969" t="str">
        <v>99621A</v>
      </c>
      <c r="L969">
        <v>39</v>
      </c>
      <c r="R969" t="str">
        <v>51581E</v>
      </c>
      <c r="S969">
        <v>79</v>
      </c>
    </row>
    <row r="970" spans="11:19" x14ac:dyDescent="0.3">
      <c r="K970" t="str">
        <v>44244N</v>
      </c>
      <c r="L970">
        <v>74</v>
      </c>
      <c r="R970" t="str">
        <v>51777H</v>
      </c>
      <c r="S970">
        <v>84</v>
      </c>
    </row>
    <row r="971" spans="11:19" x14ac:dyDescent="0.3">
      <c r="K971" t="str">
        <v>90385G</v>
      </c>
      <c r="L971">
        <v>74</v>
      </c>
      <c r="R971" t="str">
        <v>938C</v>
      </c>
      <c r="S971">
        <v>84</v>
      </c>
    </row>
    <row r="972" spans="11:19" x14ac:dyDescent="0.3">
      <c r="K972" t="str">
        <v>47000X</v>
      </c>
      <c r="L972">
        <v>123</v>
      </c>
      <c r="R972" t="str">
        <v>10T</v>
      </c>
      <c r="S972">
        <v>86</v>
      </c>
    </row>
    <row r="973" spans="11:19" x14ac:dyDescent="0.3">
      <c r="K973" t="str">
        <v>5155A</v>
      </c>
      <c r="L973">
        <v>123</v>
      </c>
      <c r="R973" t="str">
        <v>537K</v>
      </c>
      <c r="S973">
        <v>86</v>
      </c>
    </row>
    <row r="974" spans="11:19" x14ac:dyDescent="0.3">
      <c r="K974" t="str">
        <v>10M</v>
      </c>
      <c r="L974">
        <v>106</v>
      </c>
      <c r="R974" t="str">
        <v>938R</v>
      </c>
      <c r="S974">
        <v>102</v>
      </c>
    </row>
    <row r="975" spans="11:19" x14ac:dyDescent="0.3">
      <c r="K975" t="str">
        <v>98040C</v>
      </c>
      <c r="L975">
        <v>106</v>
      </c>
      <c r="R975" t="str">
        <v>1023E</v>
      </c>
      <c r="S975">
        <v>102</v>
      </c>
    </row>
    <row r="976" spans="11:19" x14ac:dyDescent="0.3">
      <c r="K976" t="str">
        <v>7784W</v>
      </c>
      <c r="L976">
        <v>41</v>
      </c>
      <c r="R976" t="str">
        <v>938X</v>
      </c>
      <c r="S976">
        <v>105</v>
      </c>
    </row>
    <row r="977" spans="11:19" x14ac:dyDescent="0.3">
      <c r="K977" t="str">
        <v>9805A</v>
      </c>
      <c r="L977">
        <v>41</v>
      </c>
      <c r="R977" t="str">
        <v>10M</v>
      </c>
      <c r="S977">
        <v>105</v>
      </c>
    </row>
    <row r="978" spans="11:19" x14ac:dyDescent="0.3">
      <c r="K978" t="str">
        <v>9364C</v>
      </c>
      <c r="L978">
        <v>87</v>
      </c>
      <c r="R978" t="str">
        <v>1168A</v>
      </c>
      <c r="S978">
        <v>148</v>
      </c>
    </row>
    <row r="979" spans="11:19" x14ac:dyDescent="0.3">
      <c r="K979" t="str">
        <v>609A</v>
      </c>
      <c r="L979">
        <v>87</v>
      </c>
      <c r="R979" t="str">
        <v>66475C</v>
      </c>
      <c r="S979">
        <v>148</v>
      </c>
    </row>
    <row r="980" spans="11:19" x14ac:dyDescent="0.3">
      <c r="K980" t="str">
        <v>84141X</v>
      </c>
      <c r="L980">
        <v>104</v>
      </c>
      <c r="R980" t="str">
        <v>6526D</v>
      </c>
      <c r="S980">
        <v>86</v>
      </c>
    </row>
    <row r="981" spans="11:19" x14ac:dyDescent="0.3">
      <c r="K981" t="str">
        <v>8675F</v>
      </c>
      <c r="L981">
        <v>104</v>
      </c>
      <c r="R981" t="str">
        <v>938N</v>
      </c>
      <c r="S981">
        <v>86</v>
      </c>
    </row>
    <row r="982" spans="11:19" x14ac:dyDescent="0.3">
      <c r="K982" t="str">
        <v>6526D</v>
      </c>
      <c r="L982">
        <v>58</v>
      </c>
      <c r="R982" t="str">
        <v>5155A</v>
      </c>
      <c r="S982">
        <v>89</v>
      </c>
    </row>
    <row r="983" spans="11:19" x14ac:dyDescent="0.3">
      <c r="K983" t="str">
        <v>16689Z</v>
      </c>
      <c r="L983">
        <v>58</v>
      </c>
      <c r="R983" t="str">
        <v>1687C</v>
      </c>
      <c r="S983">
        <v>89</v>
      </c>
    </row>
    <row r="984" spans="11:19" x14ac:dyDescent="0.3">
      <c r="K984" t="str">
        <v>537K</v>
      </c>
      <c r="L984">
        <v>120</v>
      </c>
      <c r="R984" t="str">
        <v>98225H</v>
      </c>
      <c r="S984">
        <v>77</v>
      </c>
    </row>
    <row r="985" spans="11:19" x14ac:dyDescent="0.3">
      <c r="K985" t="str">
        <v>7700H</v>
      </c>
      <c r="L985">
        <v>120</v>
      </c>
      <c r="R985" t="str">
        <v>884B</v>
      </c>
      <c r="S985">
        <v>77</v>
      </c>
    </row>
    <row r="986" spans="11:19" x14ac:dyDescent="0.3">
      <c r="K986" t="str">
        <v>98225H</v>
      </c>
      <c r="L986">
        <v>83</v>
      </c>
      <c r="R986" t="str">
        <v>84141X</v>
      </c>
      <c r="S986">
        <v>42</v>
      </c>
    </row>
    <row r="987" spans="11:19" x14ac:dyDescent="0.3">
      <c r="K987" t="str">
        <v>917A</v>
      </c>
      <c r="L987">
        <v>83</v>
      </c>
      <c r="R987" t="str">
        <v>98040C</v>
      </c>
      <c r="S987">
        <v>42</v>
      </c>
    </row>
    <row r="988" spans="11:19" x14ac:dyDescent="0.3">
      <c r="K988" t="str">
        <v>10012G</v>
      </c>
      <c r="L988">
        <v>138</v>
      </c>
      <c r="R988" t="str">
        <v>9364G</v>
      </c>
      <c r="S988">
        <v>75</v>
      </c>
    </row>
    <row r="989" spans="11:19" x14ac:dyDescent="0.3">
      <c r="K989" t="str">
        <v>10X</v>
      </c>
      <c r="L989">
        <v>138</v>
      </c>
      <c r="R989" t="str">
        <v>1000A</v>
      </c>
      <c r="S989">
        <v>75</v>
      </c>
    </row>
    <row r="990" spans="11:19" x14ac:dyDescent="0.3">
      <c r="K990" t="str">
        <v>10F</v>
      </c>
      <c r="L990">
        <v>103</v>
      </c>
      <c r="R990" t="str">
        <v>8675V</v>
      </c>
      <c r="S990">
        <v>85</v>
      </c>
    </row>
    <row r="991" spans="11:19" x14ac:dyDescent="0.3">
      <c r="K991" t="str">
        <v>884B</v>
      </c>
      <c r="L991">
        <v>103</v>
      </c>
      <c r="R991" t="str">
        <v>938A</v>
      </c>
      <c r="S991">
        <v>85</v>
      </c>
    </row>
    <row r="992" spans="11:19" x14ac:dyDescent="0.3">
      <c r="K992" t="str">
        <v>99621C</v>
      </c>
      <c r="L992">
        <v>80</v>
      </c>
      <c r="R992" t="str">
        <v>16689Z</v>
      </c>
      <c r="S992">
        <v>92</v>
      </c>
    </row>
    <row r="993" spans="11:19" x14ac:dyDescent="0.3">
      <c r="K993" t="str">
        <v>10T</v>
      </c>
      <c r="L993">
        <v>80</v>
      </c>
      <c r="R993" t="str">
        <v>10F</v>
      </c>
      <c r="S993">
        <v>92</v>
      </c>
    </row>
    <row r="994" spans="11:19" x14ac:dyDescent="0.3">
      <c r="K994" t="str">
        <v>938F</v>
      </c>
      <c r="L994">
        <v>83</v>
      </c>
      <c r="R994" t="str">
        <v>10X</v>
      </c>
      <c r="S994">
        <v>98</v>
      </c>
    </row>
    <row r="995" spans="11:19" x14ac:dyDescent="0.3">
      <c r="K995" t="str">
        <v>938X</v>
      </c>
      <c r="L995">
        <v>83</v>
      </c>
      <c r="R995" t="str">
        <v>10A</v>
      </c>
      <c r="S995">
        <v>98</v>
      </c>
    </row>
    <row r="996" spans="11:19" x14ac:dyDescent="0.3">
      <c r="K996" t="str">
        <v>1687C</v>
      </c>
      <c r="L996">
        <v>52</v>
      </c>
      <c r="R996" t="str">
        <v>6526H</v>
      </c>
      <c r="S996">
        <v>92</v>
      </c>
    </row>
    <row r="997" spans="11:19" x14ac:dyDescent="0.3">
      <c r="K997" t="str">
        <v>9364G</v>
      </c>
      <c r="L997">
        <v>52</v>
      </c>
      <c r="R997" t="str">
        <v>9364C</v>
      </c>
      <c r="S997">
        <v>92</v>
      </c>
    </row>
    <row r="998" spans="11:19" x14ac:dyDescent="0.3">
      <c r="K998" t="str">
        <v>1000A</v>
      </c>
      <c r="L998">
        <v>85</v>
      </c>
      <c r="R998" t="str">
        <v>16689E</v>
      </c>
      <c r="S998">
        <v>65</v>
      </c>
    </row>
    <row r="999" spans="11:19" x14ac:dyDescent="0.3">
      <c r="K999" t="str">
        <v>10A</v>
      </c>
      <c r="L999">
        <v>85</v>
      </c>
      <c r="R999" t="str">
        <v>7784W</v>
      </c>
      <c r="S999">
        <v>65</v>
      </c>
    </row>
    <row r="1000" spans="11:19" x14ac:dyDescent="0.3">
      <c r="K1000" t="str">
        <v>66475C</v>
      </c>
      <c r="L1000">
        <v>40</v>
      </c>
      <c r="R1000" t="str">
        <v>609A</v>
      </c>
      <c r="S1000">
        <v>106</v>
      </c>
    </row>
    <row r="1001" spans="11:19" x14ac:dyDescent="0.3">
      <c r="K1001" t="str">
        <v>938A</v>
      </c>
      <c r="L1001">
        <v>40</v>
      </c>
      <c r="R1001" t="str">
        <v>47000X</v>
      </c>
      <c r="S1001">
        <v>106</v>
      </c>
    </row>
    <row r="1002" spans="11:19" x14ac:dyDescent="0.3">
      <c r="K1002" t="str">
        <v>10C</v>
      </c>
      <c r="L1002">
        <v>95</v>
      </c>
      <c r="R1002" t="str">
        <v>229V</v>
      </c>
      <c r="S1002">
        <v>143</v>
      </c>
    </row>
    <row r="1003" spans="11:19" x14ac:dyDescent="0.3">
      <c r="K1003" t="str">
        <v>5327K</v>
      </c>
      <c r="L1003">
        <v>95</v>
      </c>
      <c r="R1003" t="str">
        <v>99621A</v>
      </c>
      <c r="S1003">
        <v>143</v>
      </c>
    </row>
    <row r="1004" spans="11:19" x14ac:dyDescent="0.3">
      <c r="K1004" t="str">
        <v>99621A</v>
      </c>
      <c r="L1004">
        <v>60</v>
      </c>
      <c r="R1004" t="str">
        <v>10M</v>
      </c>
      <c r="S1004">
        <v>60</v>
      </c>
    </row>
    <row r="1005" spans="11:19" x14ac:dyDescent="0.3">
      <c r="K1005" t="str">
        <v>2681A</v>
      </c>
      <c r="L1005">
        <v>60</v>
      </c>
      <c r="R1005" t="str">
        <v>90385G</v>
      </c>
      <c r="S1005">
        <v>60</v>
      </c>
    </row>
    <row r="1006" spans="11:19" x14ac:dyDescent="0.3">
      <c r="K1006" t="str">
        <v>229V</v>
      </c>
      <c r="L1006">
        <v>103</v>
      </c>
      <c r="R1006" t="str">
        <v>3512B</v>
      </c>
      <c r="S1006">
        <v>69</v>
      </c>
    </row>
    <row r="1007" spans="11:19" x14ac:dyDescent="0.3">
      <c r="K1007" t="str">
        <v>938K</v>
      </c>
      <c r="L1007">
        <v>103</v>
      </c>
      <c r="R1007" t="str">
        <v>938H</v>
      </c>
      <c r="S1007">
        <v>69</v>
      </c>
    </row>
    <row r="1008" spans="11:19" x14ac:dyDescent="0.3">
      <c r="K1008" t="str">
        <v>10J</v>
      </c>
      <c r="L1008">
        <v>37</v>
      </c>
      <c r="R1008" t="str">
        <v>66475C</v>
      </c>
      <c r="S1008">
        <v>131</v>
      </c>
    </row>
    <row r="1009" spans="11:19" x14ac:dyDescent="0.3">
      <c r="K1009" t="str">
        <v>938H</v>
      </c>
      <c r="L1009">
        <v>37</v>
      </c>
      <c r="R1009" t="str">
        <v>16689A</v>
      </c>
      <c r="S1009">
        <v>131</v>
      </c>
    </row>
    <row r="1010" spans="11:19" x14ac:dyDescent="0.3">
      <c r="K1010" t="str">
        <v>7899B</v>
      </c>
      <c r="L1010">
        <v>118</v>
      </c>
      <c r="R1010" t="str">
        <v>47874J</v>
      </c>
      <c r="S1010">
        <v>90</v>
      </c>
    </row>
    <row r="1011" spans="11:19" x14ac:dyDescent="0.3">
      <c r="K1011" t="str">
        <v>47000X</v>
      </c>
      <c r="L1011">
        <v>118</v>
      </c>
      <c r="R1011" t="str">
        <v>884B</v>
      </c>
      <c r="S1011">
        <v>90</v>
      </c>
    </row>
    <row r="1012" spans="11:19" x14ac:dyDescent="0.3">
      <c r="K1012" t="str">
        <v>47874J</v>
      </c>
      <c r="L1012">
        <v>64</v>
      </c>
      <c r="R1012" t="str">
        <v>9805A</v>
      </c>
      <c r="S1012">
        <v>112</v>
      </c>
    </row>
    <row r="1013" spans="11:19" x14ac:dyDescent="0.3">
      <c r="K1013" t="str">
        <v>8675F</v>
      </c>
      <c r="L1013">
        <v>64</v>
      </c>
      <c r="R1013" t="str">
        <v>10012G</v>
      </c>
      <c r="S1013">
        <v>112</v>
      </c>
    </row>
    <row r="1014" spans="11:19" x14ac:dyDescent="0.3">
      <c r="K1014" t="str">
        <v>90385G</v>
      </c>
      <c r="L1014">
        <v>92</v>
      </c>
      <c r="R1014" t="str">
        <v>98040C</v>
      </c>
      <c r="S1014">
        <v>80</v>
      </c>
    </row>
    <row r="1015" spans="11:19" x14ac:dyDescent="0.3">
      <c r="K1015" t="str">
        <v>1698Y</v>
      </c>
      <c r="L1015">
        <v>92</v>
      </c>
      <c r="R1015" t="str">
        <v>5327K</v>
      </c>
      <c r="S1015">
        <v>80</v>
      </c>
    </row>
    <row r="1016" spans="11:19" x14ac:dyDescent="0.3">
      <c r="K1016" t="str">
        <v>7700H</v>
      </c>
      <c r="L1016">
        <v>54</v>
      </c>
      <c r="R1016" t="str">
        <v>5155A</v>
      </c>
      <c r="S1016">
        <v>80</v>
      </c>
    </row>
    <row r="1017" spans="11:19" x14ac:dyDescent="0.3">
      <c r="K1017" t="str">
        <v>502A</v>
      </c>
      <c r="L1017">
        <v>54</v>
      </c>
      <c r="R1017" t="str">
        <v>51777H</v>
      </c>
      <c r="S1017">
        <v>80</v>
      </c>
    </row>
    <row r="1018" spans="11:19" x14ac:dyDescent="0.3">
      <c r="K1018" t="str">
        <v>938U</v>
      </c>
      <c r="L1018">
        <v>85</v>
      </c>
      <c r="R1018" t="str">
        <v>502A</v>
      </c>
      <c r="S1018">
        <v>103</v>
      </c>
    </row>
    <row r="1019" spans="11:19" x14ac:dyDescent="0.3">
      <c r="K1019" t="str">
        <v>609A</v>
      </c>
      <c r="L1019">
        <v>85</v>
      </c>
      <c r="R1019" t="str">
        <v>98225H</v>
      </c>
      <c r="S1019">
        <v>103</v>
      </c>
    </row>
    <row r="1020" spans="11:19" x14ac:dyDescent="0.3">
      <c r="K1020" t="str">
        <v>84141A</v>
      </c>
      <c r="L1020">
        <v>40</v>
      </c>
      <c r="R1020" t="str">
        <v>938A</v>
      </c>
      <c r="S1020">
        <v>45</v>
      </c>
    </row>
    <row r="1021" spans="11:19" x14ac:dyDescent="0.3">
      <c r="K1021" t="str">
        <v>3512E</v>
      </c>
      <c r="L1021">
        <v>40</v>
      </c>
      <c r="R1021" t="str">
        <v>99621C</v>
      </c>
      <c r="S1021">
        <v>45</v>
      </c>
    </row>
    <row r="1022" spans="11:19" x14ac:dyDescent="0.3">
      <c r="K1022" t="str">
        <v>1258V</v>
      </c>
      <c r="L1022">
        <v>130</v>
      </c>
      <c r="R1022" t="str">
        <v>10T</v>
      </c>
      <c r="S1022">
        <v>83</v>
      </c>
    </row>
    <row r="1023" spans="11:19" x14ac:dyDescent="0.3">
      <c r="K1023" t="str">
        <v>9364C</v>
      </c>
      <c r="L1023">
        <v>130</v>
      </c>
      <c r="R1023" t="str">
        <v>3512E</v>
      </c>
      <c r="S1023">
        <v>83</v>
      </c>
    </row>
    <row r="1024" spans="11:19" x14ac:dyDescent="0.3">
      <c r="K1024" t="str">
        <v>3512B</v>
      </c>
      <c r="L1024">
        <v>25</v>
      </c>
      <c r="R1024" t="str">
        <v>2681A</v>
      </c>
      <c r="S1024">
        <v>70</v>
      </c>
    </row>
    <row r="1025" spans="11:19" x14ac:dyDescent="0.3">
      <c r="K1025" t="str">
        <v>98225M</v>
      </c>
      <c r="L1025">
        <v>25</v>
      </c>
      <c r="R1025" t="str">
        <v>9364G</v>
      </c>
      <c r="S1025">
        <v>70</v>
      </c>
    </row>
    <row r="1026" spans="11:19" x14ac:dyDescent="0.3">
      <c r="K1026" t="str">
        <v>99621C</v>
      </c>
      <c r="L1026">
        <v>87</v>
      </c>
      <c r="R1026" t="str">
        <v>652A</v>
      </c>
      <c r="S1026">
        <v>93</v>
      </c>
    </row>
    <row r="1027" spans="11:19" x14ac:dyDescent="0.3">
      <c r="K1027" t="str">
        <v>10012G</v>
      </c>
      <c r="L1027">
        <v>87</v>
      </c>
      <c r="R1027" t="str">
        <v>44244N</v>
      </c>
      <c r="S1027">
        <v>93</v>
      </c>
    </row>
    <row r="1028" spans="11:19" x14ac:dyDescent="0.3">
      <c r="K1028" t="str">
        <v>652A</v>
      </c>
      <c r="L1028">
        <v>53</v>
      </c>
      <c r="R1028" t="str">
        <v>6526D</v>
      </c>
      <c r="S1028">
        <v>55</v>
      </c>
    </row>
    <row r="1029" spans="11:19" x14ac:dyDescent="0.3">
      <c r="K1029" t="str">
        <v>7784W</v>
      </c>
      <c r="L1029">
        <v>53</v>
      </c>
      <c r="R1029" t="str">
        <v>10X</v>
      </c>
      <c r="S1029">
        <v>55</v>
      </c>
    </row>
    <row r="1030" spans="11:19" x14ac:dyDescent="0.3">
      <c r="K1030" t="str">
        <v>6526H</v>
      </c>
      <c r="L1030">
        <v>100</v>
      </c>
      <c r="R1030" t="str">
        <v>1000A</v>
      </c>
      <c r="S1030">
        <v>37</v>
      </c>
    </row>
    <row r="1031" spans="11:19" x14ac:dyDescent="0.3">
      <c r="K1031" t="str">
        <v>9805A</v>
      </c>
      <c r="L1031">
        <v>100</v>
      </c>
      <c r="R1031" t="str">
        <v>537K</v>
      </c>
      <c r="S1031">
        <v>37</v>
      </c>
    </row>
    <row r="1032" spans="11:19" x14ac:dyDescent="0.3">
      <c r="K1032" t="str">
        <v>938F</v>
      </c>
      <c r="L1032">
        <v>87</v>
      </c>
      <c r="R1032" t="str">
        <v>1258V</v>
      </c>
      <c r="S1032">
        <v>92</v>
      </c>
    </row>
    <row r="1033" spans="11:19" x14ac:dyDescent="0.3">
      <c r="K1033" t="str">
        <v>44244N</v>
      </c>
      <c r="L1033">
        <v>87</v>
      </c>
      <c r="R1033" t="str">
        <v>51581E</v>
      </c>
      <c r="S1033">
        <v>92</v>
      </c>
    </row>
    <row r="1034" spans="11:19" x14ac:dyDescent="0.3">
      <c r="K1034" t="str">
        <v>16689E</v>
      </c>
      <c r="L1034">
        <v>97</v>
      </c>
      <c r="R1034" t="str">
        <v>10C</v>
      </c>
      <c r="S1034">
        <v>95</v>
      </c>
    </row>
    <row r="1035" spans="11:19" x14ac:dyDescent="0.3">
      <c r="K1035" t="str">
        <v>16689A</v>
      </c>
      <c r="L1035">
        <v>97</v>
      </c>
      <c r="R1035" t="str">
        <v>1023E</v>
      </c>
      <c r="S1035">
        <v>95</v>
      </c>
    </row>
    <row r="1036" spans="11:19" x14ac:dyDescent="0.3">
      <c r="K1036" t="str">
        <v>917A</v>
      </c>
      <c r="L1036">
        <v>79</v>
      </c>
      <c r="R1036" t="str">
        <v>98225M</v>
      </c>
      <c r="S1036">
        <v>112</v>
      </c>
    </row>
    <row r="1037" spans="11:19" x14ac:dyDescent="0.3">
      <c r="K1037" t="str">
        <v>51581E</v>
      </c>
      <c r="L1037">
        <v>79</v>
      </c>
      <c r="R1037" t="str">
        <v>1687C</v>
      </c>
      <c r="S1037">
        <v>112</v>
      </c>
    </row>
    <row r="1038" spans="11:19" x14ac:dyDescent="0.3">
      <c r="K1038" t="str">
        <v>51777H</v>
      </c>
      <c r="L1038">
        <v>84</v>
      </c>
      <c r="R1038" t="str">
        <v>938X</v>
      </c>
      <c r="S1038">
        <v>168</v>
      </c>
    </row>
    <row r="1039" spans="11:19" x14ac:dyDescent="0.3">
      <c r="K1039" t="str">
        <v>938C</v>
      </c>
      <c r="L1039">
        <v>84</v>
      </c>
      <c r="R1039" t="str">
        <v>8675V</v>
      </c>
      <c r="S1039">
        <v>168</v>
      </c>
    </row>
    <row r="1040" spans="11:19" x14ac:dyDescent="0.3">
      <c r="K1040" t="str">
        <v>10T</v>
      </c>
      <c r="L1040">
        <v>86</v>
      </c>
      <c r="R1040" t="str">
        <v>938U</v>
      </c>
      <c r="S1040">
        <v>48</v>
      </c>
    </row>
    <row r="1041" spans="11:19" x14ac:dyDescent="0.3">
      <c r="K1041" t="str">
        <v>537K</v>
      </c>
      <c r="L1041">
        <v>86</v>
      </c>
      <c r="R1041" t="str">
        <v>938N</v>
      </c>
      <c r="S1041">
        <v>48</v>
      </c>
    </row>
    <row r="1042" spans="11:19" x14ac:dyDescent="0.3">
      <c r="K1042" t="str">
        <v>938R</v>
      </c>
      <c r="L1042">
        <v>102</v>
      </c>
      <c r="R1042" t="str">
        <v>8675F</v>
      </c>
      <c r="S1042">
        <v>52</v>
      </c>
    </row>
    <row r="1043" spans="11:19" x14ac:dyDescent="0.3">
      <c r="K1043" t="str">
        <v>1023E</v>
      </c>
      <c r="L1043">
        <v>102</v>
      </c>
      <c r="R1043" t="str">
        <v>16689Z</v>
      </c>
      <c r="S1043">
        <v>52</v>
      </c>
    </row>
    <row r="1044" spans="11:19" x14ac:dyDescent="0.3">
      <c r="K1044" t="str">
        <v>938X</v>
      </c>
      <c r="L1044">
        <v>105</v>
      </c>
      <c r="R1044" t="str">
        <v>938C</v>
      </c>
      <c r="S1044">
        <v>62</v>
      </c>
    </row>
    <row r="1045" spans="11:19" x14ac:dyDescent="0.3">
      <c r="K1045" t="str">
        <v>10M</v>
      </c>
      <c r="L1045">
        <v>105</v>
      </c>
      <c r="R1045" t="str">
        <v>1698Y</v>
      </c>
      <c r="S1045">
        <v>62</v>
      </c>
    </row>
    <row r="1046" spans="11:19" x14ac:dyDescent="0.3">
      <c r="K1046" t="str">
        <v>1168A</v>
      </c>
      <c r="L1046">
        <v>148</v>
      </c>
      <c r="R1046" t="str">
        <v>917A</v>
      </c>
      <c r="S1046">
        <v>79</v>
      </c>
    </row>
    <row r="1047" spans="11:19" x14ac:dyDescent="0.3">
      <c r="K1047" t="str">
        <v>66475C</v>
      </c>
      <c r="L1047">
        <v>148</v>
      </c>
      <c r="R1047" t="str">
        <v>10J</v>
      </c>
      <c r="S1047">
        <v>79</v>
      </c>
    </row>
    <row r="1048" spans="11:19" x14ac:dyDescent="0.3">
      <c r="K1048" t="str">
        <v>6526D</v>
      </c>
      <c r="L1048">
        <v>86</v>
      </c>
      <c r="R1048" t="str">
        <v>938F</v>
      </c>
      <c r="S1048">
        <v>111</v>
      </c>
    </row>
    <row r="1049" spans="11:19" x14ac:dyDescent="0.3">
      <c r="K1049" t="str">
        <v>938N</v>
      </c>
      <c r="L1049">
        <v>86</v>
      </c>
      <c r="R1049" t="str">
        <v>1168A</v>
      </c>
      <c r="S1049">
        <v>111</v>
      </c>
    </row>
    <row r="1050" spans="11:19" x14ac:dyDescent="0.3">
      <c r="K1050" t="str">
        <v>5155A</v>
      </c>
      <c r="L1050">
        <v>89</v>
      </c>
      <c r="R1050" t="str">
        <v>938R</v>
      </c>
      <c r="S1050">
        <v>62</v>
      </c>
    </row>
    <row r="1051" spans="11:19" x14ac:dyDescent="0.3">
      <c r="K1051" t="str">
        <v>1687C</v>
      </c>
      <c r="L1051">
        <v>89</v>
      </c>
      <c r="R1051" t="str">
        <v>7700H</v>
      </c>
      <c r="S1051">
        <v>62</v>
      </c>
    </row>
    <row r="1052" spans="11:19" x14ac:dyDescent="0.3">
      <c r="K1052" t="str">
        <v>98225H</v>
      </c>
      <c r="L1052">
        <v>77</v>
      </c>
      <c r="R1052" t="str">
        <v>938K</v>
      </c>
      <c r="S1052">
        <v>22</v>
      </c>
    </row>
    <row r="1053" spans="11:19" x14ac:dyDescent="0.3">
      <c r="K1053" t="str">
        <v>884B</v>
      </c>
      <c r="L1053">
        <v>77</v>
      </c>
      <c r="R1053" t="str">
        <v>84141A</v>
      </c>
      <c r="S1053">
        <v>22</v>
      </c>
    </row>
    <row r="1054" spans="11:19" x14ac:dyDescent="0.3">
      <c r="K1054" t="str">
        <v>84141X</v>
      </c>
      <c r="L1054">
        <v>42</v>
      </c>
      <c r="R1054" t="str">
        <v>10F</v>
      </c>
      <c r="S1054">
        <v>94</v>
      </c>
    </row>
    <row r="1055" spans="11:19" x14ac:dyDescent="0.3">
      <c r="K1055" t="str">
        <v>98040C</v>
      </c>
      <c r="L1055">
        <v>42</v>
      </c>
      <c r="R1055" t="str">
        <v>7899B</v>
      </c>
      <c r="S1055">
        <v>94</v>
      </c>
    </row>
    <row r="1056" spans="11:19" x14ac:dyDescent="0.3">
      <c r="K1056" t="str">
        <v>9364G</v>
      </c>
      <c r="L1056">
        <v>75</v>
      </c>
      <c r="R1056" t="str">
        <v>84141X</v>
      </c>
      <c r="S1056">
        <v>70</v>
      </c>
    </row>
    <row r="1057" spans="11:19" x14ac:dyDescent="0.3">
      <c r="K1057" t="str">
        <v>1000A</v>
      </c>
      <c r="L1057">
        <v>75</v>
      </c>
      <c r="R1057" t="str">
        <v>10A</v>
      </c>
      <c r="S1057">
        <v>70</v>
      </c>
    </row>
    <row r="1058" spans="11:19" x14ac:dyDescent="0.3">
      <c r="K1058" t="str">
        <v>8675V</v>
      </c>
      <c r="L1058">
        <v>85</v>
      </c>
      <c r="R1058" t="str">
        <v>609A</v>
      </c>
      <c r="S1058">
        <v>80</v>
      </c>
    </row>
    <row r="1059" spans="11:19" x14ac:dyDescent="0.3">
      <c r="K1059" t="str">
        <v>938A</v>
      </c>
      <c r="L1059">
        <v>85</v>
      </c>
      <c r="R1059" t="str">
        <v>6526D</v>
      </c>
      <c r="S1059">
        <v>80</v>
      </c>
    </row>
    <row r="1060" spans="11:19" x14ac:dyDescent="0.3">
      <c r="K1060" t="str">
        <v>16689Z</v>
      </c>
      <c r="L1060">
        <v>92</v>
      </c>
      <c r="R1060" t="str">
        <v>229V</v>
      </c>
      <c r="S1060">
        <v>123</v>
      </c>
    </row>
    <row r="1061" spans="11:19" x14ac:dyDescent="0.3">
      <c r="K1061" t="str">
        <v>10F</v>
      </c>
      <c r="L1061">
        <v>92</v>
      </c>
      <c r="R1061" t="str">
        <v>98040C</v>
      </c>
      <c r="S1061">
        <v>123</v>
      </c>
    </row>
    <row r="1062" spans="11:19" x14ac:dyDescent="0.3">
      <c r="K1062" t="str">
        <v>10X</v>
      </c>
      <c r="L1062">
        <v>98</v>
      </c>
      <c r="R1062" t="str">
        <v>502A</v>
      </c>
      <c r="S1062">
        <v>70</v>
      </c>
    </row>
    <row r="1063" spans="11:19" x14ac:dyDescent="0.3">
      <c r="K1063" t="str">
        <v>10A</v>
      </c>
      <c r="L1063">
        <v>98</v>
      </c>
      <c r="R1063" t="str">
        <v>10T</v>
      </c>
      <c r="S1063">
        <v>70</v>
      </c>
    </row>
    <row r="1064" spans="11:19" x14ac:dyDescent="0.3">
      <c r="K1064" t="str">
        <v>6526H</v>
      </c>
      <c r="L1064">
        <v>92</v>
      </c>
      <c r="R1064" t="str">
        <v>47874J</v>
      </c>
      <c r="S1064">
        <v>47</v>
      </c>
    </row>
    <row r="1065" spans="11:19" x14ac:dyDescent="0.3">
      <c r="K1065" t="str">
        <v>9364C</v>
      </c>
      <c r="L1065">
        <v>92</v>
      </c>
      <c r="R1065" t="str">
        <v>7784W</v>
      </c>
      <c r="S1065">
        <v>47</v>
      </c>
    </row>
    <row r="1066" spans="11:19" x14ac:dyDescent="0.3">
      <c r="K1066" t="str">
        <v>16689E</v>
      </c>
      <c r="L1066">
        <v>65</v>
      </c>
      <c r="R1066" t="str">
        <v>3512E</v>
      </c>
      <c r="S1066">
        <v>62</v>
      </c>
    </row>
    <row r="1067" spans="11:19" x14ac:dyDescent="0.3">
      <c r="K1067" t="str">
        <v>7784W</v>
      </c>
      <c r="L1067">
        <v>65</v>
      </c>
      <c r="R1067" t="str">
        <v>1687C</v>
      </c>
      <c r="S1067">
        <v>62</v>
      </c>
    </row>
    <row r="1068" spans="11:19" x14ac:dyDescent="0.3">
      <c r="K1068" t="str">
        <v>609A</v>
      </c>
      <c r="L1068">
        <v>106</v>
      </c>
      <c r="R1068" t="str">
        <v>16689E</v>
      </c>
      <c r="S1068">
        <v>105</v>
      </c>
    </row>
    <row r="1069" spans="11:19" x14ac:dyDescent="0.3">
      <c r="K1069" t="str">
        <v>47000X</v>
      </c>
      <c r="L1069">
        <v>106</v>
      </c>
      <c r="R1069" t="str">
        <v>66475C</v>
      </c>
      <c r="S1069">
        <v>105</v>
      </c>
    </row>
    <row r="1070" spans="11:19" x14ac:dyDescent="0.3">
      <c r="K1070" t="str">
        <v>229V</v>
      </c>
      <c r="L1070">
        <v>143</v>
      </c>
      <c r="R1070" t="str">
        <v>938A</v>
      </c>
      <c r="S1070">
        <v>109</v>
      </c>
    </row>
    <row r="1071" spans="11:19" x14ac:dyDescent="0.3">
      <c r="K1071" t="str">
        <v>99621A</v>
      </c>
      <c r="L1071">
        <v>143</v>
      </c>
      <c r="R1071" t="str">
        <v>10012G</v>
      </c>
      <c r="S1071">
        <v>109</v>
      </c>
    </row>
    <row r="1072" spans="11:19" x14ac:dyDescent="0.3">
      <c r="K1072" t="str">
        <v>10M</v>
      </c>
      <c r="L1072">
        <v>60</v>
      </c>
      <c r="R1072" t="str">
        <v>8675F</v>
      </c>
      <c r="S1072">
        <v>87</v>
      </c>
    </row>
    <row r="1073" spans="11:19" x14ac:dyDescent="0.3">
      <c r="K1073" t="str">
        <v>90385G</v>
      </c>
      <c r="L1073">
        <v>60</v>
      </c>
      <c r="R1073" t="str">
        <v>938N</v>
      </c>
      <c r="S1073">
        <v>87</v>
      </c>
    </row>
    <row r="1074" spans="11:19" x14ac:dyDescent="0.3">
      <c r="K1074" t="str">
        <v>3512B</v>
      </c>
      <c r="L1074">
        <v>69</v>
      </c>
      <c r="R1074" t="str">
        <v>537K</v>
      </c>
      <c r="S1074">
        <v>60</v>
      </c>
    </row>
    <row r="1075" spans="11:19" x14ac:dyDescent="0.3">
      <c r="K1075" t="str">
        <v>938H</v>
      </c>
      <c r="L1075">
        <v>69</v>
      </c>
      <c r="R1075" t="str">
        <v>938X</v>
      </c>
      <c r="S1075">
        <v>60</v>
      </c>
    </row>
    <row r="1076" spans="11:19" x14ac:dyDescent="0.3">
      <c r="K1076" t="str">
        <v>66475C</v>
      </c>
      <c r="L1076">
        <v>131</v>
      </c>
      <c r="R1076" t="str">
        <v>5327K</v>
      </c>
      <c r="S1076">
        <v>80</v>
      </c>
    </row>
    <row r="1077" spans="11:19" x14ac:dyDescent="0.3">
      <c r="K1077" t="str">
        <v>16689A</v>
      </c>
      <c r="L1077">
        <v>131</v>
      </c>
      <c r="R1077" t="str">
        <v>3512B</v>
      </c>
      <c r="S1077">
        <v>80</v>
      </c>
    </row>
    <row r="1078" spans="11:19" x14ac:dyDescent="0.3">
      <c r="K1078" t="str">
        <v>47874J</v>
      </c>
      <c r="L1078">
        <v>90</v>
      </c>
      <c r="R1078" t="str">
        <v>1000A</v>
      </c>
      <c r="S1078">
        <v>98</v>
      </c>
    </row>
    <row r="1079" spans="11:19" x14ac:dyDescent="0.3">
      <c r="K1079" t="str">
        <v>884B</v>
      </c>
      <c r="L1079">
        <v>90</v>
      </c>
      <c r="R1079" t="str">
        <v>9364C</v>
      </c>
      <c r="S1079">
        <v>98</v>
      </c>
    </row>
    <row r="1080" spans="11:19" x14ac:dyDescent="0.3">
      <c r="K1080" t="str">
        <v>9805A</v>
      </c>
      <c r="L1080">
        <v>112</v>
      </c>
      <c r="R1080" t="str">
        <v>10C</v>
      </c>
      <c r="S1080">
        <v>90</v>
      </c>
    </row>
    <row r="1081" spans="11:19" x14ac:dyDescent="0.3">
      <c r="K1081" t="str">
        <v>10012G</v>
      </c>
      <c r="L1081">
        <v>112</v>
      </c>
      <c r="R1081" t="str">
        <v>938F</v>
      </c>
      <c r="S1081">
        <v>90</v>
      </c>
    </row>
    <row r="1082" spans="11:19" x14ac:dyDescent="0.3">
      <c r="K1082" t="str">
        <v>98040C</v>
      </c>
      <c r="L1082">
        <v>80</v>
      </c>
      <c r="R1082" t="str">
        <v>84141X</v>
      </c>
      <c r="S1082">
        <v>83</v>
      </c>
    </row>
    <row r="1083" spans="11:19" x14ac:dyDescent="0.3">
      <c r="K1083" t="str">
        <v>5327K</v>
      </c>
      <c r="L1083">
        <v>80</v>
      </c>
      <c r="R1083" t="str">
        <v>90385G</v>
      </c>
      <c r="S1083">
        <v>83</v>
      </c>
    </row>
    <row r="1084" spans="11:19" x14ac:dyDescent="0.3">
      <c r="K1084" t="str">
        <v>5155A</v>
      </c>
      <c r="L1084">
        <v>80</v>
      </c>
      <c r="R1084" t="str">
        <v>884B</v>
      </c>
      <c r="S1084">
        <v>87</v>
      </c>
    </row>
    <row r="1085" spans="11:19" x14ac:dyDescent="0.3">
      <c r="K1085" t="str">
        <v>51777H</v>
      </c>
      <c r="L1085">
        <v>80</v>
      </c>
      <c r="R1085" t="str">
        <v>1258V</v>
      </c>
      <c r="S1085">
        <v>87</v>
      </c>
    </row>
    <row r="1086" spans="11:19" x14ac:dyDescent="0.3">
      <c r="K1086" t="str">
        <v>502A</v>
      </c>
      <c r="L1086">
        <v>103</v>
      </c>
      <c r="R1086" t="str">
        <v>938H</v>
      </c>
      <c r="S1086">
        <v>31</v>
      </c>
    </row>
    <row r="1087" spans="11:19" x14ac:dyDescent="0.3">
      <c r="K1087" t="str">
        <v>98225H</v>
      </c>
      <c r="L1087">
        <v>103</v>
      </c>
      <c r="R1087" t="str">
        <v>98225M</v>
      </c>
      <c r="S1087">
        <v>31</v>
      </c>
    </row>
    <row r="1088" spans="11:19" x14ac:dyDescent="0.3">
      <c r="K1088" t="str">
        <v>938A</v>
      </c>
      <c r="L1088">
        <v>45</v>
      </c>
      <c r="R1088" t="str">
        <v>9805A</v>
      </c>
      <c r="S1088">
        <v>90</v>
      </c>
    </row>
    <row r="1089" spans="11:19" x14ac:dyDescent="0.3">
      <c r="K1089" t="str">
        <v>99621C</v>
      </c>
      <c r="L1089">
        <v>45</v>
      </c>
      <c r="R1089" t="str">
        <v>8675V</v>
      </c>
      <c r="S1089">
        <v>90</v>
      </c>
    </row>
    <row r="1090" spans="11:19" x14ac:dyDescent="0.3">
      <c r="K1090" t="str">
        <v>10T</v>
      </c>
      <c r="L1090">
        <v>83</v>
      </c>
      <c r="R1090" t="str">
        <v>2681A</v>
      </c>
      <c r="S1090">
        <v>43</v>
      </c>
    </row>
    <row r="1091" spans="11:19" x14ac:dyDescent="0.3">
      <c r="K1091" t="str">
        <v>3512E</v>
      </c>
      <c r="L1091">
        <v>83</v>
      </c>
      <c r="R1091" t="str">
        <v>938U</v>
      </c>
      <c r="S1091">
        <v>43</v>
      </c>
    </row>
    <row r="1092" spans="11:19" x14ac:dyDescent="0.3">
      <c r="K1092" t="str">
        <v>2681A</v>
      </c>
      <c r="L1092">
        <v>70</v>
      </c>
      <c r="R1092" t="str">
        <v>10X</v>
      </c>
      <c r="S1092">
        <v>105</v>
      </c>
    </row>
    <row r="1093" spans="11:19" x14ac:dyDescent="0.3">
      <c r="K1093" t="str">
        <v>9364G</v>
      </c>
      <c r="L1093">
        <v>70</v>
      </c>
      <c r="R1093" t="str">
        <v>1023E</v>
      </c>
      <c r="S1093">
        <v>105</v>
      </c>
    </row>
    <row r="1094" spans="11:19" x14ac:dyDescent="0.3">
      <c r="K1094" t="str">
        <v>652A</v>
      </c>
      <c r="L1094">
        <v>93</v>
      </c>
      <c r="R1094" t="str">
        <v>10F</v>
      </c>
      <c r="S1094">
        <v>63</v>
      </c>
    </row>
    <row r="1095" spans="11:19" x14ac:dyDescent="0.3">
      <c r="K1095" t="str">
        <v>44244N</v>
      </c>
      <c r="L1095">
        <v>93</v>
      </c>
      <c r="R1095" t="str">
        <v>7700H</v>
      </c>
      <c r="S1095">
        <v>63</v>
      </c>
    </row>
    <row r="1096" spans="11:19" x14ac:dyDescent="0.3">
      <c r="K1096" t="str">
        <v>6526D</v>
      </c>
      <c r="L1096">
        <v>55</v>
      </c>
      <c r="R1096" t="str">
        <v>99621A</v>
      </c>
      <c r="S1096">
        <v>20</v>
      </c>
    </row>
    <row r="1097" spans="11:19" x14ac:dyDescent="0.3">
      <c r="K1097" t="str">
        <v>10X</v>
      </c>
      <c r="L1097">
        <v>55</v>
      </c>
      <c r="R1097" t="str">
        <v>98225H</v>
      </c>
      <c r="S1097">
        <v>20</v>
      </c>
    </row>
    <row r="1098" spans="11:19" x14ac:dyDescent="0.3">
      <c r="K1098" t="str">
        <v>1000A</v>
      </c>
      <c r="L1098">
        <v>37</v>
      </c>
      <c r="R1098" t="str">
        <v>84141A</v>
      </c>
      <c r="S1098">
        <v>130</v>
      </c>
    </row>
    <row r="1099" spans="11:19" x14ac:dyDescent="0.3">
      <c r="K1099" t="str">
        <v>537K</v>
      </c>
      <c r="L1099">
        <v>37</v>
      </c>
      <c r="R1099" t="str">
        <v>5155A</v>
      </c>
      <c r="S1099">
        <v>130</v>
      </c>
    </row>
    <row r="1100" spans="11:19" x14ac:dyDescent="0.3">
      <c r="K1100" t="str">
        <v>1258V</v>
      </c>
      <c r="L1100">
        <v>92</v>
      </c>
      <c r="R1100" t="str">
        <v>1168A</v>
      </c>
      <c r="S1100">
        <v>83</v>
      </c>
    </row>
    <row r="1101" spans="11:19" x14ac:dyDescent="0.3">
      <c r="K1101" t="str">
        <v>51581E</v>
      </c>
      <c r="L1101">
        <v>92</v>
      </c>
      <c r="R1101" t="str">
        <v>10A</v>
      </c>
      <c r="S1101">
        <v>83</v>
      </c>
    </row>
    <row r="1102" spans="11:19" x14ac:dyDescent="0.3">
      <c r="K1102" t="str">
        <v>10C</v>
      </c>
      <c r="L1102">
        <v>95</v>
      </c>
      <c r="R1102" t="str">
        <v>6526H</v>
      </c>
      <c r="S1102">
        <v>92</v>
      </c>
    </row>
    <row r="1103" spans="11:19" x14ac:dyDescent="0.3">
      <c r="K1103" t="str">
        <v>1023E</v>
      </c>
      <c r="L1103">
        <v>95</v>
      </c>
      <c r="R1103" t="str">
        <v>9364G</v>
      </c>
      <c r="S1103">
        <v>92</v>
      </c>
    </row>
    <row r="1104" spans="11:19" x14ac:dyDescent="0.3">
      <c r="K1104" t="str">
        <v>98225M</v>
      </c>
      <c r="L1104">
        <v>112</v>
      </c>
      <c r="R1104" t="str">
        <v>47000X</v>
      </c>
      <c r="S1104">
        <v>59</v>
      </c>
    </row>
    <row r="1105" spans="11:19" x14ac:dyDescent="0.3">
      <c r="K1105" t="str">
        <v>1687C</v>
      </c>
      <c r="L1105">
        <v>112</v>
      </c>
      <c r="R1105" t="str">
        <v>938C</v>
      </c>
      <c r="S1105">
        <v>59</v>
      </c>
    </row>
    <row r="1106" spans="11:19" x14ac:dyDescent="0.3">
      <c r="K1106" t="str">
        <v>938X</v>
      </c>
      <c r="L1106">
        <v>168</v>
      </c>
      <c r="R1106" t="str">
        <v>917A</v>
      </c>
      <c r="S1106">
        <v>129</v>
      </c>
    </row>
    <row r="1107" spans="11:19" x14ac:dyDescent="0.3">
      <c r="K1107" t="str">
        <v>8675V</v>
      </c>
      <c r="L1107">
        <v>168</v>
      </c>
      <c r="R1107" t="str">
        <v>652A</v>
      </c>
      <c r="S1107">
        <v>129</v>
      </c>
    </row>
    <row r="1108" spans="11:19" x14ac:dyDescent="0.3">
      <c r="K1108" t="str">
        <v>938U</v>
      </c>
      <c r="L1108">
        <v>48</v>
      </c>
      <c r="R1108" t="str">
        <v>938K</v>
      </c>
      <c r="S1108">
        <v>59</v>
      </c>
    </row>
    <row r="1109" spans="11:19" x14ac:dyDescent="0.3">
      <c r="K1109" t="str">
        <v>938N</v>
      </c>
      <c r="L1109">
        <v>48</v>
      </c>
      <c r="R1109" t="str">
        <v>16689Z</v>
      </c>
      <c r="S1109">
        <v>59</v>
      </c>
    </row>
    <row r="1110" spans="11:19" x14ac:dyDescent="0.3">
      <c r="K1110" t="str">
        <v>8675F</v>
      </c>
      <c r="L1110">
        <v>52</v>
      </c>
      <c r="R1110" t="str">
        <v>44244N</v>
      </c>
      <c r="S1110">
        <v>71</v>
      </c>
    </row>
    <row r="1111" spans="11:19" x14ac:dyDescent="0.3">
      <c r="K1111" t="str">
        <v>16689Z</v>
      </c>
      <c r="L1111">
        <v>52</v>
      </c>
      <c r="R1111" t="str">
        <v>51777H</v>
      </c>
      <c r="S1111">
        <v>71</v>
      </c>
    </row>
    <row r="1112" spans="11:19" x14ac:dyDescent="0.3">
      <c r="K1112" t="str">
        <v>938C</v>
      </c>
      <c r="L1112">
        <v>62</v>
      </c>
      <c r="R1112" t="str">
        <v>99621C</v>
      </c>
      <c r="S1112">
        <v>63</v>
      </c>
    </row>
    <row r="1113" spans="11:19" x14ac:dyDescent="0.3">
      <c r="K1113" t="str">
        <v>1698Y</v>
      </c>
      <c r="L1113">
        <v>62</v>
      </c>
      <c r="R1113" t="str">
        <v>938R</v>
      </c>
      <c r="S1113">
        <v>63</v>
      </c>
    </row>
    <row r="1114" spans="11:19" x14ac:dyDescent="0.3">
      <c r="K1114" t="str">
        <v>917A</v>
      </c>
      <c r="L1114">
        <v>79</v>
      </c>
      <c r="R1114" t="str">
        <v>51581E</v>
      </c>
      <c r="S1114">
        <v>84</v>
      </c>
    </row>
    <row r="1115" spans="11:19" x14ac:dyDescent="0.3">
      <c r="K1115" t="str">
        <v>10J</v>
      </c>
      <c r="L1115">
        <v>79</v>
      </c>
      <c r="R1115" t="str">
        <v>10J</v>
      </c>
      <c r="S1115">
        <v>84</v>
      </c>
    </row>
    <row r="1116" spans="11:19" x14ac:dyDescent="0.3">
      <c r="K1116" t="str">
        <v>938F</v>
      </c>
      <c r="L1116">
        <v>111</v>
      </c>
      <c r="R1116" t="str">
        <v>7899B</v>
      </c>
      <c r="S1116">
        <v>127</v>
      </c>
    </row>
    <row r="1117" spans="11:19" x14ac:dyDescent="0.3">
      <c r="K1117" t="str">
        <v>1168A</v>
      </c>
      <c r="L1117">
        <v>111</v>
      </c>
      <c r="R1117" t="str">
        <v>1698Y</v>
      </c>
      <c r="S1117">
        <v>127</v>
      </c>
    </row>
    <row r="1118" spans="11:19" x14ac:dyDescent="0.3">
      <c r="K1118" t="str">
        <v>938R</v>
      </c>
      <c r="L1118">
        <v>62</v>
      </c>
      <c r="R1118" t="str">
        <v>10M</v>
      </c>
      <c r="S1118">
        <v>80</v>
      </c>
    </row>
    <row r="1119" spans="11:19" x14ac:dyDescent="0.3">
      <c r="K1119" t="str">
        <v>7700H</v>
      </c>
      <c r="L1119">
        <v>62</v>
      </c>
      <c r="R1119" t="str">
        <v>16689A</v>
      </c>
      <c r="S1119">
        <v>80</v>
      </c>
    </row>
    <row r="1120" spans="11:19" x14ac:dyDescent="0.3">
      <c r="K1120" t="str">
        <v>938K</v>
      </c>
      <c r="L1120">
        <v>22</v>
      </c>
      <c r="R1120" t="str">
        <v>938A</v>
      </c>
      <c r="S1120">
        <v>96</v>
      </c>
    </row>
    <row r="1121" spans="11:19" x14ac:dyDescent="0.3">
      <c r="K1121" t="str">
        <v>84141A</v>
      </c>
      <c r="L1121">
        <v>22</v>
      </c>
      <c r="R1121" t="str">
        <v>10X</v>
      </c>
      <c r="S1121">
        <v>96</v>
      </c>
    </row>
    <row r="1122" spans="11:19" x14ac:dyDescent="0.3">
      <c r="K1122" t="str">
        <v>10F</v>
      </c>
      <c r="L1122">
        <v>94</v>
      </c>
    </row>
    <row r="1123" spans="11:19" x14ac:dyDescent="0.3">
      <c r="K1123" t="str">
        <v>7899B</v>
      </c>
      <c r="L1123">
        <v>94</v>
      </c>
    </row>
    <row r="1124" spans="11:19" x14ac:dyDescent="0.3">
      <c r="K1124" t="str">
        <v>84141X</v>
      </c>
      <c r="L1124">
        <v>70</v>
      </c>
    </row>
    <row r="1125" spans="11:19" x14ac:dyDescent="0.3">
      <c r="K1125" t="str">
        <v>10A</v>
      </c>
      <c r="L1125">
        <v>70</v>
      </c>
    </row>
    <row r="1126" spans="11:19" x14ac:dyDescent="0.3">
      <c r="K1126" t="str">
        <v>609A</v>
      </c>
      <c r="L1126">
        <v>80</v>
      </c>
    </row>
    <row r="1127" spans="11:19" x14ac:dyDescent="0.3">
      <c r="K1127" t="str">
        <v>6526D</v>
      </c>
      <c r="L1127">
        <v>80</v>
      </c>
    </row>
    <row r="1128" spans="11:19" x14ac:dyDescent="0.3">
      <c r="K1128" t="str">
        <v>229V</v>
      </c>
      <c r="L1128">
        <v>123</v>
      </c>
    </row>
    <row r="1129" spans="11:19" x14ac:dyDescent="0.3">
      <c r="K1129" t="str">
        <v>98040C</v>
      </c>
      <c r="L1129">
        <v>123</v>
      </c>
    </row>
    <row r="1130" spans="11:19" x14ac:dyDescent="0.3">
      <c r="K1130" t="str">
        <v>502A</v>
      </c>
      <c r="L1130">
        <v>70</v>
      </c>
    </row>
    <row r="1131" spans="11:19" x14ac:dyDescent="0.3">
      <c r="K1131" t="str">
        <v>10T</v>
      </c>
      <c r="L1131">
        <v>70</v>
      </c>
    </row>
    <row r="1132" spans="11:19" x14ac:dyDescent="0.3">
      <c r="K1132" t="str">
        <v>47874J</v>
      </c>
      <c r="L1132">
        <v>47</v>
      </c>
    </row>
    <row r="1133" spans="11:19" x14ac:dyDescent="0.3">
      <c r="K1133" t="str">
        <v>7784W</v>
      </c>
      <c r="L1133">
        <v>47</v>
      </c>
    </row>
    <row r="1134" spans="11:19" x14ac:dyDescent="0.3">
      <c r="K1134" t="str">
        <v>3512E</v>
      </c>
      <c r="L1134">
        <v>62</v>
      </c>
    </row>
    <row r="1135" spans="11:19" x14ac:dyDescent="0.3">
      <c r="K1135" t="str">
        <v>1687C</v>
      </c>
      <c r="L1135">
        <v>62</v>
      </c>
    </row>
    <row r="1136" spans="11:19" x14ac:dyDescent="0.3">
      <c r="K1136" t="str">
        <v>16689E</v>
      </c>
      <c r="L1136">
        <v>105</v>
      </c>
    </row>
    <row r="1137" spans="11:12" x14ac:dyDescent="0.3">
      <c r="K1137" t="str">
        <v>66475C</v>
      </c>
      <c r="L1137">
        <v>105</v>
      </c>
    </row>
    <row r="1138" spans="11:12" x14ac:dyDescent="0.3">
      <c r="K1138" t="str">
        <v>938A</v>
      </c>
      <c r="L1138">
        <v>109</v>
      </c>
    </row>
    <row r="1139" spans="11:12" x14ac:dyDescent="0.3">
      <c r="K1139" t="str">
        <v>10012G</v>
      </c>
      <c r="L1139">
        <v>109</v>
      </c>
    </row>
    <row r="1140" spans="11:12" x14ac:dyDescent="0.3">
      <c r="K1140" t="str">
        <v>8675F</v>
      </c>
      <c r="L1140">
        <v>87</v>
      </c>
    </row>
    <row r="1141" spans="11:12" x14ac:dyDescent="0.3">
      <c r="K1141" t="str">
        <v>938N</v>
      </c>
      <c r="L1141">
        <v>87</v>
      </c>
    </row>
    <row r="1142" spans="11:12" x14ac:dyDescent="0.3">
      <c r="K1142" t="str">
        <v>537K</v>
      </c>
      <c r="L1142">
        <v>60</v>
      </c>
    </row>
    <row r="1143" spans="11:12" x14ac:dyDescent="0.3">
      <c r="K1143" t="str">
        <v>938X</v>
      </c>
      <c r="L1143">
        <v>60</v>
      </c>
    </row>
    <row r="1144" spans="11:12" x14ac:dyDescent="0.3">
      <c r="K1144" t="str">
        <v>5327K</v>
      </c>
      <c r="L1144">
        <v>80</v>
      </c>
    </row>
    <row r="1145" spans="11:12" x14ac:dyDescent="0.3">
      <c r="K1145" t="str">
        <v>3512B</v>
      </c>
      <c r="L1145">
        <v>80</v>
      </c>
    </row>
    <row r="1146" spans="11:12" x14ac:dyDescent="0.3">
      <c r="K1146" t="str">
        <v>1000A</v>
      </c>
      <c r="L1146">
        <v>98</v>
      </c>
    </row>
    <row r="1147" spans="11:12" x14ac:dyDescent="0.3">
      <c r="K1147" t="str">
        <v>9364C</v>
      </c>
      <c r="L1147">
        <v>98</v>
      </c>
    </row>
    <row r="1148" spans="11:12" x14ac:dyDescent="0.3">
      <c r="K1148" t="str">
        <v>10C</v>
      </c>
      <c r="L1148">
        <v>90</v>
      </c>
    </row>
    <row r="1149" spans="11:12" x14ac:dyDescent="0.3">
      <c r="K1149" t="str">
        <v>938F</v>
      </c>
      <c r="L1149">
        <v>90</v>
      </c>
    </row>
    <row r="1150" spans="11:12" x14ac:dyDescent="0.3">
      <c r="K1150" t="str">
        <v>84141X</v>
      </c>
      <c r="L1150">
        <v>83</v>
      </c>
    </row>
    <row r="1151" spans="11:12" x14ac:dyDescent="0.3">
      <c r="K1151" t="str">
        <v>90385G</v>
      </c>
      <c r="L1151">
        <v>83</v>
      </c>
    </row>
    <row r="1152" spans="11:12" x14ac:dyDescent="0.3">
      <c r="K1152" t="str">
        <v>884B</v>
      </c>
      <c r="L1152">
        <v>87</v>
      </c>
    </row>
    <row r="1153" spans="11:12" x14ac:dyDescent="0.3">
      <c r="K1153" t="str">
        <v>1258V</v>
      </c>
      <c r="L1153">
        <v>87</v>
      </c>
    </row>
    <row r="1154" spans="11:12" x14ac:dyDescent="0.3">
      <c r="K1154" t="str">
        <v>938H</v>
      </c>
      <c r="L1154">
        <v>31</v>
      </c>
    </row>
    <row r="1155" spans="11:12" x14ac:dyDescent="0.3">
      <c r="K1155" t="str">
        <v>98225M</v>
      </c>
      <c r="L1155">
        <v>31</v>
      </c>
    </row>
    <row r="1156" spans="11:12" x14ac:dyDescent="0.3">
      <c r="K1156" t="str">
        <v>9805A</v>
      </c>
      <c r="L1156">
        <v>90</v>
      </c>
    </row>
    <row r="1157" spans="11:12" x14ac:dyDescent="0.3">
      <c r="K1157" t="str">
        <v>8675V</v>
      </c>
      <c r="L1157">
        <v>90</v>
      </c>
    </row>
    <row r="1158" spans="11:12" x14ac:dyDescent="0.3">
      <c r="K1158" t="str">
        <v>2681A</v>
      </c>
      <c r="L1158">
        <v>43</v>
      </c>
    </row>
    <row r="1159" spans="11:12" x14ac:dyDescent="0.3">
      <c r="K1159" t="str">
        <v>938U</v>
      </c>
      <c r="L1159">
        <v>43</v>
      </c>
    </row>
    <row r="1160" spans="11:12" x14ac:dyDescent="0.3">
      <c r="K1160" t="str">
        <v>10X</v>
      </c>
      <c r="L1160">
        <v>105</v>
      </c>
    </row>
    <row r="1161" spans="11:12" x14ac:dyDescent="0.3">
      <c r="K1161" t="str">
        <v>1023E</v>
      </c>
      <c r="L1161">
        <v>105</v>
      </c>
    </row>
    <row r="1162" spans="11:12" x14ac:dyDescent="0.3">
      <c r="K1162" t="str">
        <v>10F</v>
      </c>
      <c r="L1162">
        <v>63</v>
      </c>
    </row>
    <row r="1163" spans="11:12" x14ac:dyDescent="0.3">
      <c r="K1163" t="str">
        <v>7700H</v>
      </c>
      <c r="L1163">
        <v>63</v>
      </c>
    </row>
    <row r="1164" spans="11:12" x14ac:dyDescent="0.3">
      <c r="K1164" t="str">
        <v>99621A</v>
      </c>
      <c r="L1164">
        <v>20</v>
      </c>
    </row>
    <row r="1165" spans="11:12" x14ac:dyDescent="0.3">
      <c r="K1165" t="str">
        <v>98225H</v>
      </c>
      <c r="L1165">
        <v>20</v>
      </c>
    </row>
    <row r="1166" spans="11:12" x14ac:dyDescent="0.3">
      <c r="K1166" t="str">
        <v>84141A</v>
      </c>
      <c r="L1166">
        <v>130</v>
      </c>
    </row>
    <row r="1167" spans="11:12" x14ac:dyDescent="0.3">
      <c r="K1167" t="str">
        <v>5155A</v>
      </c>
      <c r="L1167">
        <v>130</v>
      </c>
    </row>
    <row r="1168" spans="11:12" x14ac:dyDescent="0.3">
      <c r="K1168" t="str">
        <v>1168A</v>
      </c>
      <c r="L1168">
        <v>83</v>
      </c>
    </row>
    <row r="1169" spans="11:12" x14ac:dyDescent="0.3">
      <c r="K1169" t="str">
        <v>10A</v>
      </c>
      <c r="L1169">
        <v>83</v>
      </c>
    </row>
    <row r="1170" spans="11:12" x14ac:dyDescent="0.3">
      <c r="K1170" t="str">
        <v>6526H</v>
      </c>
      <c r="L1170">
        <v>92</v>
      </c>
    </row>
    <row r="1171" spans="11:12" x14ac:dyDescent="0.3">
      <c r="K1171" t="str">
        <v>9364G</v>
      </c>
      <c r="L1171">
        <v>92</v>
      </c>
    </row>
    <row r="1172" spans="11:12" x14ac:dyDescent="0.3">
      <c r="K1172" t="str">
        <v>47000X</v>
      </c>
      <c r="L1172">
        <v>59</v>
      </c>
    </row>
    <row r="1173" spans="11:12" x14ac:dyDescent="0.3">
      <c r="K1173" t="str">
        <v>938C</v>
      </c>
      <c r="L1173">
        <v>59</v>
      </c>
    </row>
    <row r="1174" spans="11:12" x14ac:dyDescent="0.3">
      <c r="K1174" t="str">
        <v>917A</v>
      </c>
      <c r="L1174">
        <v>129</v>
      </c>
    </row>
    <row r="1175" spans="11:12" x14ac:dyDescent="0.3">
      <c r="K1175" t="str">
        <v>652A</v>
      </c>
      <c r="L1175">
        <v>129</v>
      </c>
    </row>
    <row r="1176" spans="11:12" x14ac:dyDescent="0.3">
      <c r="K1176" t="str">
        <v>938K</v>
      </c>
      <c r="L1176">
        <v>59</v>
      </c>
    </row>
    <row r="1177" spans="11:12" x14ac:dyDescent="0.3">
      <c r="K1177" t="str">
        <v>16689Z</v>
      </c>
      <c r="L1177">
        <v>59</v>
      </c>
    </row>
    <row r="1178" spans="11:12" x14ac:dyDescent="0.3">
      <c r="K1178" t="str">
        <v>44244N</v>
      </c>
      <c r="L1178">
        <v>71</v>
      </c>
    </row>
    <row r="1179" spans="11:12" x14ac:dyDescent="0.3">
      <c r="K1179" t="str">
        <v>51777H</v>
      </c>
      <c r="L1179">
        <v>71</v>
      </c>
    </row>
    <row r="1180" spans="11:12" x14ac:dyDescent="0.3">
      <c r="K1180" t="str">
        <v>99621C</v>
      </c>
      <c r="L1180">
        <v>63</v>
      </c>
    </row>
    <row r="1181" spans="11:12" x14ac:dyDescent="0.3">
      <c r="K1181" t="str">
        <v>938R</v>
      </c>
      <c r="L1181">
        <v>63</v>
      </c>
    </row>
    <row r="1182" spans="11:12" x14ac:dyDescent="0.3">
      <c r="K1182" t="str">
        <v>51581E</v>
      </c>
      <c r="L1182">
        <v>84</v>
      </c>
    </row>
    <row r="1183" spans="11:12" x14ac:dyDescent="0.3">
      <c r="K1183" t="str">
        <v>10J</v>
      </c>
      <c r="L1183">
        <v>84</v>
      </c>
    </row>
    <row r="1184" spans="11:12" x14ac:dyDescent="0.3">
      <c r="K1184" t="str">
        <v>7899B</v>
      </c>
      <c r="L1184">
        <v>127</v>
      </c>
    </row>
    <row r="1185" spans="11:12" x14ac:dyDescent="0.3">
      <c r="K1185" t="str">
        <v>1698Y</v>
      </c>
      <c r="L1185">
        <v>127</v>
      </c>
    </row>
    <row r="1186" spans="11:12" x14ac:dyDescent="0.3">
      <c r="K1186" t="str">
        <v>10M</v>
      </c>
      <c r="L1186">
        <v>80</v>
      </c>
    </row>
    <row r="1187" spans="11:12" x14ac:dyDescent="0.3">
      <c r="K1187" t="str">
        <v>16689A</v>
      </c>
      <c r="L1187">
        <v>80</v>
      </c>
    </row>
    <row r="1188" spans="11:12" x14ac:dyDescent="0.3">
      <c r="K1188" t="str">
        <v>938A</v>
      </c>
      <c r="L1188">
        <v>96</v>
      </c>
    </row>
    <row r="1189" spans="11:12" x14ac:dyDescent="0.3">
      <c r="K1189" t="str">
        <v>10X</v>
      </c>
      <c r="L1189">
        <v>96</v>
      </c>
    </row>
    <row r="1190" spans="11:12" x14ac:dyDescent="0.3">
      <c r="K1190" t="str">
        <v>229V</v>
      </c>
      <c r="L1190">
        <v>163</v>
      </c>
    </row>
    <row r="1191" spans="11:12" x14ac:dyDescent="0.3">
      <c r="K1191" t="str">
        <v>10C</v>
      </c>
      <c r="L1191">
        <v>163</v>
      </c>
    </row>
    <row r="1192" spans="11:12" x14ac:dyDescent="0.3">
      <c r="K1192" t="str">
        <v>1687C</v>
      </c>
      <c r="L1192">
        <v>65</v>
      </c>
    </row>
    <row r="1193" spans="11:12" x14ac:dyDescent="0.3">
      <c r="K1193" t="str">
        <v>10T</v>
      </c>
      <c r="L1193">
        <v>65</v>
      </c>
    </row>
    <row r="1194" spans="11:12" x14ac:dyDescent="0.3">
      <c r="K1194" t="str">
        <v>652A</v>
      </c>
      <c r="L1194">
        <v>103</v>
      </c>
    </row>
    <row r="1195" spans="11:12" x14ac:dyDescent="0.3">
      <c r="K1195" t="str">
        <v>1000A</v>
      </c>
      <c r="L1195">
        <v>103</v>
      </c>
    </row>
    <row r="1196" spans="11:12" x14ac:dyDescent="0.3">
      <c r="K1196" t="str">
        <v>16689A</v>
      </c>
      <c r="L1196">
        <v>80</v>
      </c>
    </row>
    <row r="1197" spans="11:12" x14ac:dyDescent="0.3">
      <c r="K1197" t="str">
        <v>1258V</v>
      </c>
      <c r="L1197">
        <v>80</v>
      </c>
    </row>
    <row r="1198" spans="11:12" x14ac:dyDescent="0.3">
      <c r="K1198" t="str">
        <v>1168A</v>
      </c>
      <c r="L1198">
        <v>103</v>
      </c>
    </row>
    <row r="1199" spans="11:12" x14ac:dyDescent="0.3">
      <c r="K1199" t="str">
        <v>66475C</v>
      </c>
      <c r="L1199">
        <v>103</v>
      </c>
    </row>
    <row r="1200" spans="11:12" x14ac:dyDescent="0.3">
      <c r="K1200" t="str">
        <v>6526H</v>
      </c>
      <c r="L1200">
        <v>87</v>
      </c>
    </row>
    <row r="1201" spans="11:12" x14ac:dyDescent="0.3">
      <c r="K1201" t="str">
        <v>51581E</v>
      </c>
      <c r="L1201">
        <v>87</v>
      </c>
    </row>
    <row r="1202" spans="11:12" x14ac:dyDescent="0.3">
      <c r="K1202" t="str">
        <v>938X</v>
      </c>
      <c r="L1202">
        <v>65</v>
      </c>
    </row>
    <row r="1203" spans="11:12" x14ac:dyDescent="0.3">
      <c r="K1203" t="str">
        <v>1698Y</v>
      </c>
      <c r="L1203">
        <v>65</v>
      </c>
    </row>
    <row r="1204" spans="11:12" x14ac:dyDescent="0.3">
      <c r="K1204" t="str">
        <v>10012G</v>
      </c>
      <c r="L1204">
        <v>100</v>
      </c>
    </row>
    <row r="1205" spans="11:12" x14ac:dyDescent="0.3">
      <c r="K1205" t="str">
        <v>9364C</v>
      </c>
      <c r="L1205">
        <v>100</v>
      </c>
    </row>
    <row r="1206" spans="11:12" x14ac:dyDescent="0.3">
      <c r="K1206" t="str">
        <v>229V</v>
      </c>
      <c r="L1206">
        <v>105</v>
      </c>
    </row>
    <row r="1207" spans="11:12" x14ac:dyDescent="0.3">
      <c r="K1207" t="str">
        <v>10C</v>
      </c>
      <c r="L1207">
        <v>105</v>
      </c>
    </row>
    <row r="1208" spans="11:12" x14ac:dyDescent="0.3">
      <c r="K1208" t="str">
        <v>652A</v>
      </c>
      <c r="L1208">
        <v>90</v>
      </c>
    </row>
    <row r="1209" spans="11:12" x14ac:dyDescent="0.3">
      <c r="K1209" t="str">
        <v>1000A</v>
      </c>
      <c r="L1209">
        <v>90</v>
      </c>
    </row>
    <row r="1210" spans="11:12" x14ac:dyDescent="0.3">
      <c r="K1210" t="str">
        <v>1168A</v>
      </c>
      <c r="L1210">
        <v>85</v>
      </c>
    </row>
    <row r="1211" spans="11:12" x14ac:dyDescent="0.3">
      <c r="K1211" t="str">
        <v>66475C</v>
      </c>
      <c r="L1211">
        <v>85</v>
      </c>
    </row>
    <row r="1212" spans="11:12" x14ac:dyDescent="0.3">
      <c r="K1212" t="str">
        <v>10012G</v>
      </c>
      <c r="L1212">
        <v>128</v>
      </c>
    </row>
    <row r="1213" spans="11:12" x14ac:dyDescent="0.3">
      <c r="K1213" t="str">
        <v>9364C</v>
      </c>
      <c r="L1213">
        <v>128</v>
      </c>
    </row>
    <row r="1214" spans="11:12" x14ac:dyDescent="0.3">
      <c r="K1214" t="str">
        <v>229V</v>
      </c>
      <c r="L1214">
        <v>158</v>
      </c>
    </row>
    <row r="1215" spans="11:12" x14ac:dyDescent="0.3">
      <c r="K1215" t="str">
        <v>10C</v>
      </c>
      <c r="L1215">
        <v>158</v>
      </c>
    </row>
    <row r="1216" spans="11:12" x14ac:dyDescent="0.3">
      <c r="K1216" t="str">
        <v>10012G</v>
      </c>
      <c r="L1216">
        <v>90</v>
      </c>
    </row>
    <row r="1217" spans="11:12" x14ac:dyDescent="0.3">
      <c r="K1217" t="str">
        <v>9364C</v>
      </c>
      <c r="L1217">
        <v>90</v>
      </c>
    </row>
    <row r="1218" spans="11:12" x14ac:dyDescent="0.3">
      <c r="K1218" t="str">
        <v>229V</v>
      </c>
      <c r="L1218">
        <v>105</v>
      </c>
    </row>
    <row r="1219" spans="11:12" x14ac:dyDescent="0.3">
      <c r="K1219" t="str">
        <v>10C</v>
      </c>
      <c r="L1219">
        <v>105</v>
      </c>
    </row>
    <row r="1220" spans="11:12" x14ac:dyDescent="0.3">
      <c r="K1220" t="str">
        <v>10012G</v>
      </c>
      <c r="L1220">
        <v>97</v>
      </c>
    </row>
    <row r="1221" spans="11:12" x14ac:dyDescent="0.3">
      <c r="K1221" t="str">
        <v>9364C</v>
      </c>
      <c r="L1221">
        <v>97</v>
      </c>
    </row>
    <row r="1222" spans="11:12" x14ac:dyDescent="0.3">
      <c r="K1222" t="str">
        <v>229V</v>
      </c>
      <c r="L1222">
        <v>160</v>
      </c>
    </row>
    <row r="1223" spans="11:12" x14ac:dyDescent="0.3">
      <c r="K1223" t="str">
        <v>10C</v>
      </c>
      <c r="L1223">
        <v>160</v>
      </c>
    </row>
    <row r="1224" spans="11:12" x14ac:dyDescent="0.3">
      <c r="K1224" t="str">
        <v>99621C</v>
      </c>
      <c r="L1224">
        <v>54</v>
      </c>
    </row>
    <row r="1225" spans="11:12" x14ac:dyDescent="0.3">
      <c r="K1225" t="str">
        <v>10M</v>
      </c>
      <c r="L1225">
        <v>54</v>
      </c>
    </row>
    <row r="1226" spans="11:12" x14ac:dyDescent="0.3">
      <c r="K1226" t="str">
        <v>5155A</v>
      </c>
      <c r="L1226">
        <v>0</v>
      </c>
    </row>
    <row r="1227" spans="11:12" x14ac:dyDescent="0.3">
      <c r="K1227" t="str">
        <v>8675F</v>
      </c>
      <c r="L1227">
        <v>0</v>
      </c>
    </row>
    <row r="1228" spans="11:12" x14ac:dyDescent="0.3">
      <c r="K1228" t="str">
        <v>1687C</v>
      </c>
      <c r="L1228">
        <v>115</v>
      </c>
    </row>
    <row r="1229" spans="11:12" x14ac:dyDescent="0.3">
      <c r="K1229" t="str">
        <v>10T</v>
      </c>
      <c r="L1229">
        <v>115</v>
      </c>
    </row>
    <row r="1230" spans="11:12" x14ac:dyDescent="0.3">
      <c r="K1230" t="str">
        <v>652A</v>
      </c>
      <c r="L1230">
        <v>140</v>
      </c>
    </row>
    <row r="1231" spans="11:12" x14ac:dyDescent="0.3">
      <c r="K1231" t="str">
        <v>1000A</v>
      </c>
      <c r="L1231">
        <v>140</v>
      </c>
    </row>
    <row r="1232" spans="11:12" x14ac:dyDescent="0.3">
      <c r="K1232" t="str">
        <v>7899B</v>
      </c>
      <c r="L1232">
        <v>55</v>
      </c>
    </row>
    <row r="1233" spans="11:12" x14ac:dyDescent="0.3">
      <c r="K1233" t="str">
        <v>10F</v>
      </c>
      <c r="L1233">
        <v>55</v>
      </c>
    </row>
    <row r="1234" spans="11:12" x14ac:dyDescent="0.3">
      <c r="K1234" t="str">
        <v>16689A</v>
      </c>
      <c r="L1234">
        <v>121</v>
      </c>
    </row>
    <row r="1235" spans="11:12" x14ac:dyDescent="0.3">
      <c r="K1235" t="str">
        <v>1258V</v>
      </c>
      <c r="L1235">
        <v>121</v>
      </c>
    </row>
    <row r="1236" spans="11:12" x14ac:dyDescent="0.3">
      <c r="K1236" t="str">
        <v>9364G</v>
      </c>
      <c r="L1236">
        <v>72</v>
      </c>
    </row>
    <row r="1237" spans="11:12" x14ac:dyDescent="0.3">
      <c r="K1237" t="str">
        <v>938F</v>
      </c>
      <c r="L1237">
        <v>72</v>
      </c>
    </row>
    <row r="1238" spans="11:12" x14ac:dyDescent="0.3">
      <c r="K1238" t="str">
        <v>1168A</v>
      </c>
      <c r="L1238">
        <v>84</v>
      </c>
    </row>
    <row r="1239" spans="11:12" x14ac:dyDescent="0.3">
      <c r="K1239" t="str">
        <v>66475C</v>
      </c>
      <c r="L1239">
        <v>84</v>
      </c>
    </row>
    <row r="1240" spans="11:12" x14ac:dyDescent="0.3">
      <c r="K1240" t="str">
        <v>537K</v>
      </c>
      <c r="L1240">
        <v>60</v>
      </c>
    </row>
    <row r="1241" spans="11:12" x14ac:dyDescent="0.3">
      <c r="K1241" t="str">
        <v>51777H</v>
      </c>
      <c r="L1241">
        <v>60</v>
      </c>
    </row>
    <row r="1242" spans="11:12" x14ac:dyDescent="0.3">
      <c r="K1242" t="str">
        <v>884B</v>
      </c>
      <c r="L1242">
        <v>0</v>
      </c>
    </row>
    <row r="1243" spans="11:12" x14ac:dyDescent="0.3">
      <c r="K1243" t="str">
        <v>1023E</v>
      </c>
      <c r="L1243">
        <v>0</v>
      </c>
    </row>
    <row r="1244" spans="11:12" x14ac:dyDescent="0.3">
      <c r="K1244" t="str">
        <v>6526H</v>
      </c>
      <c r="L1244">
        <v>72</v>
      </c>
    </row>
    <row r="1245" spans="11:12" x14ac:dyDescent="0.3">
      <c r="K1245" t="str">
        <v>51581E</v>
      </c>
      <c r="L1245">
        <v>72</v>
      </c>
    </row>
    <row r="1246" spans="11:12" x14ac:dyDescent="0.3">
      <c r="K1246" t="str">
        <v>938X</v>
      </c>
      <c r="L1246">
        <v>158</v>
      </c>
    </row>
    <row r="1247" spans="11:12" x14ac:dyDescent="0.3">
      <c r="K1247" t="str">
        <v>1698Y</v>
      </c>
      <c r="L1247">
        <v>158</v>
      </c>
    </row>
    <row r="1248" spans="11:12" x14ac:dyDescent="0.3">
      <c r="K1248" t="str">
        <v>938U</v>
      </c>
      <c r="L1248">
        <v>0</v>
      </c>
    </row>
    <row r="1249" spans="11:12" x14ac:dyDescent="0.3">
      <c r="K1249" t="str">
        <v>938A</v>
      </c>
      <c r="L1249">
        <v>0</v>
      </c>
    </row>
    <row r="1250" spans="11:12" x14ac:dyDescent="0.3">
      <c r="K1250" t="str">
        <v>10012G</v>
      </c>
      <c r="L1250">
        <v>168</v>
      </c>
    </row>
    <row r="1251" spans="11:12" x14ac:dyDescent="0.3">
      <c r="K1251" t="str">
        <v>9364C</v>
      </c>
      <c r="L1251">
        <v>168</v>
      </c>
    </row>
    <row r="1252" spans="11:12" x14ac:dyDescent="0.3">
      <c r="K1252" t="str">
        <v>98040C</v>
      </c>
      <c r="L1252">
        <v>100</v>
      </c>
    </row>
    <row r="1253" spans="11:12" x14ac:dyDescent="0.3">
      <c r="K1253" t="str">
        <v>10X</v>
      </c>
      <c r="L1253">
        <v>100</v>
      </c>
    </row>
    <row r="1254" spans="11:12" x14ac:dyDescent="0.3">
      <c r="K1254" t="str">
        <v>229V</v>
      </c>
      <c r="L1254">
        <v>138</v>
      </c>
    </row>
    <row r="1255" spans="11:12" x14ac:dyDescent="0.3">
      <c r="K1255" t="str">
        <v>10C</v>
      </c>
      <c r="L1255">
        <v>138</v>
      </c>
    </row>
    <row r="1256" spans="11:12" x14ac:dyDescent="0.3">
      <c r="K1256" t="str">
        <v>1010W</v>
      </c>
      <c r="L1256">
        <v>77</v>
      </c>
    </row>
    <row r="1257" spans="11:12" x14ac:dyDescent="0.3">
      <c r="K1257" t="str">
        <v>11101B</v>
      </c>
      <c r="L1257">
        <v>77</v>
      </c>
    </row>
    <row r="1258" spans="11:12" x14ac:dyDescent="0.3">
      <c r="K1258" t="str">
        <v>229V</v>
      </c>
      <c r="L1258">
        <v>129</v>
      </c>
    </row>
    <row r="1259" spans="11:12" x14ac:dyDescent="0.3">
      <c r="K1259" t="str">
        <v>10C</v>
      </c>
      <c r="L1259">
        <v>129</v>
      </c>
    </row>
    <row r="1260" spans="11:12" x14ac:dyDescent="0.3">
      <c r="K1260" t="str">
        <v>1010W</v>
      </c>
      <c r="L1260">
        <v>89</v>
      </c>
    </row>
    <row r="1261" spans="11:12" x14ac:dyDescent="0.3">
      <c r="K1261" t="str">
        <v>11101B</v>
      </c>
      <c r="L1261">
        <v>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327BAB-EB6D-428D-9621-DAD603321FB2}">
  <dimension ref="A3:K128"/>
  <sheetViews>
    <sheetView workbookViewId="0">
      <selection activeCell="A4" sqref="A4:D127"/>
    </sheetView>
  </sheetViews>
  <sheetFormatPr defaultRowHeight="14.4" x14ac:dyDescent="0.3"/>
  <cols>
    <col min="1" max="1" width="12.5546875" bestFit="1" customWidth="1"/>
    <col min="2" max="2" width="11.88671875" bestFit="1" customWidth="1"/>
    <col min="3" max="3" width="15.109375" bestFit="1" customWidth="1"/>
    <col min="4" max="4" width="14.21875" bestFit="1" customWidth="1"/>
    <col min="5" max="5" width="11.44140625" bestFit="1" customWidth="1"/>
    <col min="6" max="6" width="11.77734375" bestFit="1" customWidth="1"/>
    <col min="7" max="7" width="14.5546875" customWidth="1"/>
  </cols>
  <sheetData>
    <row r="3" spans="1:11" x14ac:dyDescent="0.3">
      <c r="A3" s="8" t="s">
        <v>587</v>
      </c>
      <c r="B3" t="s">
        <v>589</v>
      </c>
      <c r="C3" t="s">
        <v>590</v>
      </c>
      <c r="D3" t="s">
        <v>591</v>
      </c>
      <c r="E3" t="s">
        <v>592</v>
      </c>
      <c r="F3" t="s">
        <v>593</v>
      </c>
      <c r="H3" t="s">
        <v>609</v>
      </c>
      <c r="I3" t="s">
        <v>620</v>
      </c>
      <c r="J3" t="s">
        <v>602</v>
      </c>
      <c r="K3" t="s">
        <v>621</v>
      </c>
    </row>
    <row r="4" spans="1:11" x14ac:dyDescent="0.3">
      <c r="A4" s="9" t="s">
        <v>446</v>
      </c>
      <c r="B4">
        <v>1197</v>
      </c>
      <c r="C4">
        <v>133</v>
      </c>
      <c r="D4">
        <v>39.852854351978351</v>
      </c>
      <c r="E4">
        <v>79</v>
      </c>
      <c r="F4">
        <v>223</v>
      </c>
      <c r="H4">
        <f>GETPIVOTDATA("Average of score",$A$3,"team","6526H")/GETPIVOTDATA("StdDev of score",$A$3,"team","6526H")</f>
        <v>8.258790691262023</v>
      </c>
      <c r="I4">
        <f t="shared" ref="I4:I35" si="0">1/H4</f>
        <v>0.12108310252468577</v>
      </c>
      <c r="J4">
        <v>68.111111111111114</v>
      </c>
      <c r="K4">
        <f t="shared" ref="K4:K35" si="1">J4/I4</f>
        <v>562.51541041595783</v>
      </c>
    </row>
    <row r="5" spans="1:11" x14ac:dyDescent="0.3">
      <c r="A5" s="9" t="s">
        <v>56</v>
      </c>
      <c r="B5">
        <v>1126</v>
      </c>
      <c r="C5">
        <v>125.11111111111111</v>
      </c>
      <c r="D5">
        <v>25.65367636638284</v>
      </c>
      <c r="E5">
        <v>78</v>
      </c>
      <c r="F5">
        <v>161</v>
      </c>
      <c r="H5">
        <f>GETPIVOTDATA("Average of score",$A$3,"team","609A")/GETPIVOTDATA("StdDev of score",$A$3,"team","609A")</f>
        <v>4.9211883490053481</v>
      </c>
      <c r="I5">
        <f t="shared" si="0"/>
        <v>0.20320295202725094</v>
      </c>
      <c r="J5">
        <v>87.888888888888886</v>
      </c>
      <c r="K5">
        <f t="shared" si="1"/>
        <v>432.51777600702559</v>
      </c>
    </row>
    <row r="6" spans="1:11" x14ac:dyDescent="0.3">
      <c r="A6" s="9" t="s">
        <v>33</v>
      </c>
      <c r="B6">
        <v>1108</v>
      </c>
      <c r="C6">
        <v>123.11111111111111</v>
      </c>
      <c r="D6">
        <v>23.803594499804216</v>
      </c>
      <c r="E6">
        <v>84</v>
      </c>
      <c r="F6">
        <v>157</v>
      </c>
      <c r="H6">
        <f>GETPIVOTDATA("Average of score",$A$3,"team","609B")/GETPIVOTDATA("StdDev of score",$A$3,"team","609B")</f>
        <v>3.4815193228203545</v>
      </c>
      <c r="I6">
        <f t="shared" si="0"/>
        <v>0.28723092054818955</v>
      </c>
      <c r="J6">
        <v>122.7</v>
      </c>
      <c r="K6">
        <f t="shared" si="1"/>
        <v>427.18242091005754</v>
      </c>
    </row>
    <row r="7" spans="1:11" x14ac:dyDescent="0.3">
      <c r="A7" s="9" t="s">
        <v>43</v>
      </c>
      <c r="B7">
        <v>1227</v>
      </c>
      <c r="C7">
        <v>122.7</v>
      </c>
      <c r="D7">
        <v>23.898163574262831</v>
      </c>
      <c r="E7">
        <v>93</v>
      </c>
      <c r="F7">
        <v>157</v>
      </c>
      <c r="H7">
        <f>GETPIVOTDATA("Average of score",$A$3,"team","51777H")/GETPIVOTDATA("StdDev of score",$A$3,"team","51777H")</f>
        <v>4.6666391278590789</v>
      </c>
      <c r="I7">
        <f t="shared" si="0"/>
        <v>0.21428697883025968</v>
      </c>
      <c r="J7">
        <v>90.333333333333329</v>
      </c>
      <c r="K7">
        <f t="shared" si="1"/>
        <v>421.5530678832701</v>
      </c>
    </row>
    <row r="8" spans="1:11" x14ac:dyDescent="0.3">
      <c r="A8" s="9" t="s">
        <v>436</v>
      </c>
      <c r="B8">
        <v>1079</v>
      </c>
      <c r="C8">
        <v>119.88888888888889</v>
      </c>
      <c r="D8">
        <v>31.742890717625439</v>
      </c>
      <c r="E8">
        <v>83</v>
      </c>
      <c r="F8">
        <v>186</v>
      </c>
      <c r="H8">
        <f>GETPIVOTDATA("Average of score",$A$3,"team","886N")/GETPIVOTDATA("StdDev of score",$A$3,"team","886N")</f>
        <v>5.1719546437460817</v>
      </c>
      <c r="I8">
        <f t="shared" si="0"/>
        <v>0.19335049683956496</v>
      </c>
      <c r="J8">
        <v>80.444444444444443</v>
      </c>
      <c r="K8">
        <f t="shared" si="1"/>
        <v>416.05501800801807</v>
      </c>
    </row>
    <row r="9" spans="1:11" x14ac:dyDescent="0.3">
      <c r="A9" s="9" t="s">
        <v>427</v>
      </c>
      <c r="B9">
        <v>1078</v>
      </c>
      <c r="C9">
        <v>119.77777777777777</v>
      </c>
      <c r="D9">
        <v>33.476774701939931</v>
      </c>
      <c r="E9">
        <v>87</v>
      </c>
      <c r="F9">
        <v>174</v>
      </c>
      <c r="H9">
        <f>GETPIVOTDATA("Average of score",$A$3,"team","938N")/GETPIVOTDATA("StdDev of score",$A$3,"team","938N")</f>
        <v>3.12756418153438</v>
      </c>
      <c r="I9">
        <f t="shared" si="0"/>
        <v>0.31973764308472191</v>
      </c>
      <c r="J9">
        <v>133</v>
      </c>
      <c r="K9">
        <f t="shared" si="1"/>
        <v>415.96603614407252</v>
      </c>
    </row>
    <row r="10" spans="1:11" x14ac:dyDescent="0.3">
      <c r="A10" s="9" t="s">
        <v>421</v>
      </c>
      <c r="B10">
        <v>1059</v>
      </c>
      <c r="C10">
        <v>117.66666666666667</v>
      </c>
      <c r="D10">
        <v>31.780497164141408</v>
      </c>
      <c r="E10">
        <v>59</v>
      </c>
      <c r="F10">
        <v>168</v>
      </c>
      <c r="H10">
        <f>GETPIVOTDATA("Average of score",$A$3,"team","10A")/GETPIVOTDATA("StdDev of score",$A$3,"team","10A")</f>
        <v>4.3558400670890647</v>
      </c>
      <c r="I10">
        <f t="shared" si="0"/>
        <v>0.22957684042524623</v>
      </c>
      <c r="J10">
        <v>92.444444444444443</v>
      </c>
      <c r="K10">
        <f t="shared" si="1"/>
        <v>402.67321509090016</v>
      </c>
    </row>
    <row r="11" spans="1:11" x14ac:dyDescent="0.3">
      <c r="A11" s="9" t="s">
        <v>437</v>
      </c>
      <c r="B11">
        <v>1019</v>
      </c>
      <c r="C11">
        <v>113.22222222222223</v>
      </c>
      <c r="D11">
        <v>32.209384415794808</v>
      </c>
      <c r="E11">
        <v>80</v>
      </c>
      <c r="F11">
        <v>186</v>
      </c>
      <c r="H11">
        <f>GETPIVOTDATA("Average of score",$A$3,"team","10C")/GETPIVOTDATA("StdDev of score",$A$3,"team","10C")</f>
        <v>5.1587872106290336</v>
      </c>
      <c r="I11">
        <f t="shared" si="0"/>
        <v>0.19384401006880561</v>
      </c>
      <c r="J11">
        <v>77.111111111111114</v>
      </c>
      <c r="K11">
        <f t="shared" si="1"/>
        <v>397.79981379739439</v>
      </c>
    </row>
    <row r="12" spans="1:11" x14ac:dyDescent="0.3">
      <c r="A12" s="9" t="s">
        <v>32</v>
      </c>
      <c r="B12">
        <v>998</v>
      </c>
      <c r="C12">
        <v>110.88888888888889</v>
      </c>
      <c r="D12">
        <v>26.577454940439864</v>
      </c>
      <c r="E12">
        <v>72</v>
      </c>
      <c r="F12">
        <v>150</v>
      </c>
      <c r="H12">
        <f>GETPIVOTDATA("Average of score",$A$3,"team","884B")/GETPIVOTDATA("StdDev of score",$A$3,"team","884B")</f>
        <v>4.8604297874706193</v>
      </c>
      <c r="I12">
        <f t="shared" si="0"/>
        <v>0.20574312226005895</v>
      </c>
      <c r="J12">
        <v>77.555555555555557</v>
      </c>
      <c r="K12">
        <f t="shared" si="1"/>
        <v>376.9533324060547</v>
      </c>
    </row>
    <row r="13" spans="1:11" x14ac:dyDescent="0.3">
      <c r="A13" s="9" t="s">
        <v>453</v>
      </c>
      <c r="B13">
        <v>996</v>
      </c>
      <c r="C13">
        <v>110.66666666666667</v>
      </c>
      <c r="D13">
        <v>38.226299847094801</v>
      </c>
      <c r="E13">
        <v>75</v>
      </c>
      <c r="F13">
        <v>200</v>
      </c>
      <c r="H13">
        <f>GETPIVOTDATA("Average of score",$A$3,"team","5327K")/GETPIVOTDATA("StdDev of score",$A$3,"team","5327K")</f>
        <v>4.3738656756789833</v>
      </c>
      <c r="I13">
        <f t="shared" si="0"/>
        <v>0.22863070659909179</v>
      </c>
      <c r="J13">
        <v>85.111111111111114</v>
      </c>
      <c r="K13">
        <f t="shared" si="1"/>
        <v>372.26456750778902</v>
      </c>
    </row>
    <row r="14" spans="1:11" x14ac:dyDescent="0.3">
      <c r="A14" s="9" t="s">
        <v>428</v>
      </c>
      <c r="B14">
        <v>970</v>
      </c>
      <c r="C14">
        <v>107.77777777777777</v>
      </c>
      <c r="D14">
        <v>25.430187660425261</v>
      </c>
      <c r="E14">
        <v>53</v>
      </c>
      <c r="F14">
        <v>130</v>
      </c>
      <c r="H14">
        <f>GETPIVOTDATA("Average of score",$A$3,"team","98548C")/GETPIVOTDATA("StdDev of score",$A$3,"team","98548C")</f>
        <v>3.5997087762762283</v>
      </c>
      <c r="I14">
        <f t="shared" si="0"/>
        <v>0.27780025056206481</v>
      </c>
      <c r="J14">
        <v>100.44444444444444</v>
      </c>
      <c r="K14">
        <f t="shared" si="1"/>
        <v>361.57074819485672</v>
      </c>
    </row>
    <row r="15" spans="1:11" x14ac:dyDescent="0.3">
      <c r="A15" s="9" t="s">
        <v>28</v>
      </c>
      <c r="B15">
        <v>966</v>
      </c>
      <c r="C15">
        <v>107.33333333333333</v>
      </c>
      <c r="D15">
        <v>34.110115801621077</v>
      </c>
      <c r="E15">
        <v>35</v>
      </c>
      <c r="F15">
        <v>155</v>
      </c>
      <c r="H15">
        <f>GETPIVOTDATA("Average of score",$A$3,"team","3512B")/GETPIVOTDATA("StdDev of score",$A$3,"team","3512B")</f>
        <v>3.3511624394583186</v>
      </c>
      <c r="I15">
        <f t="shared" si="0"/>
        <v>0.29840391746621503</v>
      </c>
      <c r="J15">
        <v>107.77777777777777</v>
      </c>
      <c r="K15">
        <f t="shared" si="1"/>
        <v>361.18084069717435</v>
      </c>
    </row>
    <row r="16" spans="1:11" x14ac:dyDescent="0.3">
      <c r="A16" s="9" t="s">
        <v>457</v>
      </c>
      <c r="B16">
        <v>964</v>
      </c>
      <c r="C16">
        <v>107.11111111111111</v>
      </c>
      <c r="D16">
        <v>26.155517794742877</v>
      </c>
      <c r="E16">
        <v>78</v>
      </c>
      <c r="F16">
        <v>168</v>
      </c>
      <c r="H16">
        <f>GETPIVOTDATA("Average of score",$A$3,"team","10009A")/GETPIVOTDATA("StdDev of score",$A$3,"team","10009A")</f>
        <v>5.1930795030176391</v>
      </c>
      <c r="I16">
        <f t="shared" si="0"/>
        <v>0.19256396891649963</v>
      </c>
      <c r="J16">
        <v>67</v>
      </c>
      <c r="K16">
        <f t="shared" si="1"/>
        <v>347.93632670218182</v>
      </c>
    </row>
    <row r="17" spans="1:11" x14ac:dyDescent="0.3">
      <c r="A17" s="9" t="s">
        <v>27</v>
      </c>
      <c r="B17">
        <v>964</v>
      </c>
      <c r="C17">
        <v>107.11111111111111</v>
      </c>
      <c r="D17">
        <v>26.040566643433689</v>
      </c>
      <c r="E17">
        <v>67</v>
      </c>
      <c r="F17">
        <v>143</v>
      </c>
      <c r="H17">
        <f>GETPIVOTDATA("Average of score",$A$3,"team","11101B")/GETPIVOTDATA("StdDev of score",$A$3,"team","11101B")</f>
        <v>5.1342857211062851</v>
      </c>
      <c r="I17">
        <f t="shared" si="0"/>
        <v>0.19476905928494564</v>
      </c>
      <c r="J17">
        <v>66.222222222222229</v>
      </c>
      <c r="K17">
        <f t="shared" si="1"/>
        <v>340.00380997548291</v>
      </c>
    </row>
    <row r="18" spans="1:11" x14ac:dyDescent="0.3">
      <c r="A18" s="9" t="s">
        <v>416</v>
      </c>
      <c r="B18">
        <v>937</v>
      </c>
      <c r="C18">
        <v>104.11111111111111</v>
      </c>
      <c r="D18">
        <v>38.921216721874345</v>
      </c>
      <c r="E18">
        <v>52</v>
      </c>
      <c r="F18">
        <v>174</v>
      </c>
      <c r="H18">
        <f>GETPIVOTDATA("Average of score",$A$3,"team","1000A")/GETPIVOTDATA("StdDev of score",$A$3,"team","1000A")</f>
        <v>3.4696012162932952</v>
      </c>
      <c r="I18">
        <f t="shared" si="0"/>
        <v>0.28821756094158202</v>
      </c>
      <c r="J18">
        <v>97.666666666666671</v>
      </c>
      <c r="K18">
        <f t="shared" si="1"/>
        <v>338.86438545797853</v>
      </c>
    </row>
    <row r="19" spans="1:11" x14ac:dyDescent="0.3">
      <c r="A19" s="9" t="s">
        <v>18</v>
      </c>
      <c r="B19">
        <v>933</v>
      </c>
      <c r="C19">
        <v>103.66666666666667</v>
      </c>
      <c r="D19">
        <v>19.96246477767713</v>
      </c>
      <c r="E19">
        <v>64</v>
      </c>
      <c r="F19">
        <v>135</v>
      </c>
      <c r="H19">
        <f>GETPIVOTDATA("Average of score",$A$3,"team","1258V")/GETPIVOTDATA("StdDev of score",$A$3,"team","1258V")</f>
        <v>4.0038060842724157</v>
      </c>
      <c r="I19">
        <f t="shared" si="0"/>
        <v>0.24976234586588955</v>
      </c>
      <c r="J19">
        <v>80.222222222222229</v>
      </c>
      <c r="K19">
        <f t="shared" si="1"/>
        <v>321.19422142718713</v>
      </c>
    </row>
    <row r="20" spans="1:11" x14ac:dyDescent="0.3">
      <c r="A20" s="9" t="s">
        <v>426</v>
      </c>
      <c r="B20">
        <v>918</v>
      </c>
      <c r="C20">
        <v>102</v>
      </c>
      <c r="D20">
        <v>40.168395536789866</v>
      </c>
      <c r="E20">
        <v>47</v>
      </c>
      <c r="F20">
        <v>168</v>
      </c>
      <c r="H20">
        <f>GETPIVOTDATA("Average of score",$A$3,"team","44244N")/GETPIVOTDATA("StdDev of score",$A$3,"team","44244N")</f>
        <v>3.8111730031937072</v>
      </c>
      <c r="I20">
        <f t="shared" si="0"/>
        <v>0.26238640942355929</v>
      </c>
      <c r="J20">
        <v>83.333333333333329</v>
      </c>
      <c r="K20">
        <f t="shared" si="1"/>
        <v>317.59775026614221</v>
      </c>
    </row>
    <row r="21" spans="1:11" x14ac:dyDescent="0.3">
      <c r="A21" s="9" t="s">
        <v>94</v>
      </c>
      <c r="B21">
        <v>908</v>
      </c>
      <c r="C21">
        <v>100.88888888888889</v>
      </c>
      <c r="D21">
        <v>33.758126593623516</v>
      </c>
      <c r="E21">
        <v>34</v>
      </c>
      <c r="F21">
        <v>140</v>
      </c>
      <c r="H21">
        <f>GETPIVOTDATA("Average of score",$A$3,"team","938B")/GETPIVOTDATA("StdDev of score",$A$3,"team","938B")</f>
        <v>2.9329482726105609</v>
      </c>
      <c r="I21">
        <f t="shared" si="0"/>
        <v>0.34095384815972879</v>
      </c>
      <c r="J21">
        <v>107.11111111111111</v>
      </c>
      <c r="K21">
        <f t="shared" si="1"/>
        <v>314.15134831073118</v>
      </c>
    </row>
    <row r="22" spans="1:11" x14ac:dyDescent="0.3">
      <c r="A22" s="9" t="s">
        <v>74</v>
      </c>
      <c r="B22">
        <v>904</v>
      </c>
      <c r="C22">
        <v>100.44444444444444</v>
      </c>
      <c r="D22">
        <v>27.749374367321821</v>
      </c>
      <c r="E22">
        <v>59</v>
      </c>
      <c r="F22">
        <v>147</v>
      </c>
      <c r="H22">
        <f>GETPIVOTDATA("Average of score",$A$3,"team","1023E")/GETPIVOTDATA("StdDev of score",$A$3,"team","1023E")</f>
        <v>4.095163091462096</v>
      </c>
      <c r="I22">
        <f t="shared" si="0"/>
        <v>0.24419051883058704</v>
      </c>
      <c r="J22">
        <v>76.444444444444443</v>
      </c>
      <c r="K22">
        <f t="shared" si="1"/>
        <v>313.05246743621353</v>
      </c>
    </row>
    <row r="23" spans="1:11" x14ac:dyDescent="0.3">
      <c r="A23" s="9" t="s">
        <v>34</v>
      </c>
      <c r="B23">
        <v>900</v>
      </c>
      <c r="C23">
        <v>100</v>
      </c>
      <c r="D23">
        <v>32.615180514600866</v>
      </c>
      <c r="E23">
        <v>52</v>
      </c>
      <c r="F23">
        <v>155</v>
      </c>
      <c r="H23">
        <f>GETPIVOTDATA("Average of score",$A$3,"team","8675R")/GETPIVOTDATA("StdDev of score",$A$3,"team","8675R")</f>
        <v>3.8513529856023396</v>
      </c>
      <c r="I23">
        <f t="shared" si="0"/>
        <v>0.25964901262967544</v>
      </c>
      <c r="J23">
        <v>80.666666666666671</v>
      </c>
      <c r="K23">
        <f t="shared" si="1"/>
        <v>310.67580750525536</v>
      </c>
    </row>
    <row r="24" spans="1:11" x14ac:dyDescent="0.3">
      <c r="A24" s="9" t="s">
        <v>88</v>
      </c>
      <c r="B24">
        <v>900</v>
      </c>
      <c r="C24">
        <v>100</v>
      </c>
      <c r="D24">
        <v>33.963215395483388</v>
      </c>
      <c r="E24">
        <v>47</v>
      </c>
      <c r="F24">
        <v>170</v>
      </c>
      <c r="H24">
        <f>GETPIVOTDATA("Average of score",$A$3,"team","884A")/GETPIVOTDATA("StdDev of score",$A$3,"team","884A")</f>
        <v>3.4752466584696182</v>
      </c>
      <c r="I24">
        <f t="shared" si="0"/>
        <v>0.28774935947722524</v>
      </c>
      <c r="J24">
        <v>87.333333333333329</v>
      </c>
      <c r="K24">
        <f t="shared" si="1"/>
        <v>303.50487483967999</v>
      </c>
    </row>
    <row r="25" spans="1:11" x14ac:dyDescent="0.3">
      <c r="A25" s="9" t="s">
        <v>444</v>
      </c>
      <c r="B25">
        <v>898</v>
      </c>
      <c r="C25">
        <v>99.777777777777771</v>
      </c>
      <c r="D25">
        <v>33.293309304490073</v>
      </c>
      <c r="E25">
        <v>57</v>
      </c>
      <c r="F25">
        <v>168</v>
      </c>
      <c r="H25">
        <f>GETPIVOTDATA("Average of score",$A$3,"team","10M")/GETPIVOTDATA("StdDev of score",$A$3,"team","10M")</f>
        <v>4.0548642827860499</v>
      </c>
      <c r="I25">
        <f t="shared" si="0"/>
        <v>0.246617378600132</v>
      </c>
      <c r="J25">
        <v>73.666666666666671</v>
      </c>
      <c r="K25">
        <f t="shared" si="1"/>
        <v>298.70833549857235</v>
      </c>
    </row>
    <row r="26" spans="1:11" x14ac:dyDescent="0.3">
      <c r="A26" s="9" t="s">
        <v>401</v>
      </c>
      <c r="B26">
        <v>897</v>
      </c>
      <c r="C26">
        <v>99.666666666666671</v>
      </c>
      <c r="D26">
        <v>29.563490998188964</v>
      </c>
      <c r="E26">
        <v>57</v>
      </c>
      <c r="F26">
        <v>132</v>
      </c>
      <c r="H26">
        <f>GETPIVOTDATA("Average of score",$A$3,"team","9364H")/GETPIVOTDATA("StdDev of score",$A$3,"team","9364H")</f>
        <v>3.7009632640360626</v>
      </c>
      <c r="I26">
        <f t="shared" si="0"/>
        <v>0.27019992598074488</v>
      </c>
      <c r="J26">
        <v>80.111111111111114</v>
      </c>
      <c r="K26">
        <f t="shared" si="1"/>
        <v>296.48827926333342</v>
      </c>
    </row>
    <row r="27" spans="1:11" x14ac:dyDescent="0.3">
      <c r="A27" s="9" t="s">
        <v>73</v>
      </c>
      <c r="B27">
        <v>879</v>
      </c>
      <c r="C27">
        <v>97.666666666666671</v>
      </c>
      <c r="D27">
        <v>35.563323804166565</v>
      </c>
      <c r="E27">
        <v>32</v>
      </c>
      <c r="F27">
        <v>161</v>
      </c>
      <c r="H27">
        <f>GETPIVOTDATA("Average of score",$A$3,"team","938M")/GETPIVOTDATA("StdDev of score",$A$3,"team","938M")</f>
        <v>2.4254177041893388</v>
      </c>
      <c r="I27">
        <f t="shared" si="0"/>
        <v>0.41230011567604835</v>
      </c>
      <c r="J27">
        <v>119.77777777777777</v>
      </c>
      <c r="K27">
        <f t="shared" si="1"/>
        <v>290.51114279067855</v>
      </c>
    </row>
    <row r="28" spans="1:11" x14ac:dyDescent="0.3">
      <c r="A28" s="9" t="s">
        <v>408</v>
      </c>
      <c r="B28">
        <v>870</v>
      </c>
      <c r="C28">
        <v>96.666666666666671</v>
      </c>
      <c r="D28">
        <v>11.704699910719626</v>
      </c>
      <c r="E28">
        <v>80</v>
      </c>
      <c r="F28">
        <v>115</v>
      </c>
      <c r="H28">
        <f>GETPIVOTDATA("Average of score",$A$3,"team","61002G")/GETPIVOTDATA("StdDev of score",$A$3,"team","61002G")</f>
        <v>4.0041987924042708</v>
      </c>
      <c r="I28">
        <f t="shared" si="0"/>
        <v>0.24973785065240545</v>
      </c>
      <c r="J28">
        <v>71.666666666666671</v>
      </c>
      <c r="K28">
        <f t="shared" si="1"/>
        <v>286.96758012230606</v>
      </c>
    </row>
    <row r="29" spans="1:11" x14ac:dyDescent="0.3">
      <c r="A29" s="9" t="s">
        <v>70</v>
      </c>
      <c r="B29">
        <v>868</v>
      </c>
      <c r="C29">
        <v>96.444444444444443</v>
      </c>
      <c r="D29">
        <v>26.349151367316885</v>
      </c>
      <c r="E29">
        <v>62</v>
      </c>
      <c r="F29">
        <v>147</v>
      </c>
      <c r="H29">
        <f>GETPIVOTDATA("Average of score",$A$3,"team","84141X")/GETPIVOTDATA("StdDev of score",$A$3,"team","84141X")</f>
        <v>3.1072687595652613</v>
      </c>
      <c r="I29">
        <f t="shared" si="0"/>
        <v>0.32182603996569331</v>
      </c>
      <c r="J29">
        <v>91</v>
      </c>
      <c r="K29">
        <f t="shared" si="1"/>
        <v>282.76145712043876</v>
      </c>
    </row>
    <row r="30" spans="1:11" x14ac:dyDescent="0.3">
      <c r="A30" s="9" t="s">
        <v>433</v>
      </c>
      <c r="B30">
        <v>962</v>
      </c>
      <c r="C30">
        <v>96.2</v>
      </c>
      <c r="D30">
        <v>26.041846666044602</v>
      </c>
      <c r="E30">
        <v>55</v>
      </c>
      <c r="F30">
        <v>138</v>
      </c>
      <c r="H30">
        <f>GETPIVOTDATA("Average of score",$A$3,"team","917A")/GETPIVOTDATA("StdDev of score",$A$3,"team","917A")</f>
        <v>4.1160455809704732</v>
      </c>
      <c r="I30">
        <f t="shared" si="0"/>
        <v>0.2429516341177694</v>
      </c>
      <c r="J30">
        <v>68.444444444444443</v>
      </c>
      <c r="K30">
        <f t="shared" si="1"/>
        <v>281.72045309753457</v>
      </c>
    </row>
    <row r="31" spans="1:11" x14ac:dyDescent="0.3">
      <c r="A31" s="9" t="s">
        <v>389</v>
      </c>
      <c r="B31">
        <v>862</v>
      </c>
      <c r="C31">
        <v>95.777777777777771</v>
      </c>
      <c r="D31">
        <v>18.565948519923381</v>
      </c>
      <c r="E31">
        <v>65</v>
      </c>
      <c r="F31">
        <v>120</v>
      </c>
      <c r="H31">
        <f>GETPIVOTDATA("Average of score",$A$3,"team","3512E")/GETPIVOTDATA("StdDev of score",$A$3,"team","3512E")</f>
        <v>3.2298635411480188</v>
      </c>
      <c r="I31">
        <f t="shared" si="0"/>
        <v>0.30961060343885649</v>
      </c>
      <c r="J31">
        <v>86.222222222222229</v>
      </c>
      <c r="K31">
        <f t="shared" si="1"/>
        <v>278.48601199231808</v>
      </c>
    </row>
    <row r="32" spans="1:11" x14ac:dyDescent="0.3">
      <c r="A32" s="9" t="s">
        <v>49</v>
      </c>
      <c r="B32">
        <v>857</v>
      </c>
      <c r="C32">
        <v>95.222222222222229</v>
      </c>
      <c r="D32">
        <v>32.294650399786732</v>
      </c>
      <c r="E32">
        <v>49</v>
      </c>
      <c r="F32">
        <v>144</v>
      </c>
      <c r="H32">
        <f>GETPIVOTDATA("Average of score",$A$3,"team","938E")/GETPIVOTDATA("StdDev of score",$A$3,"team","938E")</f>
        <v>2.2424492173784101</v>
      </c>
      <c r="I32">
        <f t="shared" si="0"/>
        <v>0.44594097928740362</v>
      </c>
      <c r="J32">
        <v>123.11111111111111</v>
      </c>
      <c r="K32">
        <f t="shared" si="1"/>
        <v>276.07041476169758</v>
      </c>
    </row>
    <row r="33" spans="1:11" x14ac:dyDescent="0.3">
      <c r="A33" s="9" t="s">
        <v>394</v>
      </c>
      <c r="B33">
        <v>851</v>
      </c>
      <c r="C33">
        <v>94.555555555555557</v>
      </c>
      <c r="D33">
        <v>23.319043243190261</v>
      </c>
      <c r="E33">
        <v>60</v>
      </c>
      <c r="F33">
        <v>129</v>
      </c>
      <c r="H33">
        <f>GETPIVOTDATA("Average of score",$A$3,"team","16689E")/GETPIVOTDATA("StdDev of score",$A$3,"team","16689E")</f>
        <v>3.0992934845913842</v>
      </c>
      <c r="I33">
        <f t="shared" si="0"/>
        <v>0.32265418069364982</v>
      </c>
      <c r="J33">
        <v>88.333333333333329</v>
      </c>
      <c r="K33">
        <f t="shared" si="1"/>
        <v>273.7709244722389</v>
      </c>
    </row>
    <row r="34" spans="1:11" x14ac:dyDescent="0.3">
      <c r="A34" s="9" t="s">
        <v>104</v>
      </c>
      <c r="B34">
        <v>847</v>
      </c>
      <c r="C34">
        <v>94.111111111111114</v>
      </c>
      <c r="D34">
        <v>24.435857077481675</v>
      </c>
      <c r="E34">
        <v>65</v>
      </c>
      <c r="F34">
        <v>140</v>
      </c>
      <c r="H34">
        <f>GETPIVOTDATA("Average of score",$A$3,"team","10X")/GETPIVOTDATA("StdDev of score",$A$3,"team","10X")</f>
        <v>3.6940544667837667</v>
      </c>
      <c r="I34">
        <f t="shared" si="0"/>
        <v>0.27070526679880041</v>
      </c>
      <c r="J34">
        <v>73.666666666666671</v>
      </c>
      <c r="K34">
        <f t="shared" si="1"/>
        <v>272.12867905307081</v>
      </c>
    </row>
    <row r="35" spans="1:11" x14ac:dyDescent="0.3">
      <c r="A35" s="9" t="s">
        <v>11</v>
      </c>
      <c r="B35">
        <v>836</v>
      </c>
      <c r="C35">
        <v>92.888888888888886</v>
      </c>
      <c r="D35">
        <v>40.513715098854007</v>
      </c>
      <c r="E35">
        <v>44</v>
      </c>
      <c r="F35">
        <v>143</v>
      </c>
      <c r="H35">
        <f>GETPIVOTDATA("Average of score",$A$3,"team","3512D")/GETPIVOTDATA("StdDev of score",$A$3,"team","3512D")</f>
        <v>2.3064157034785193</v>
      </c>
      <c r="I35">
        <f t="shared" si="0"/>
        <v>0.4335731839198837</v>
      </c>
      <c r="J35">
        <v>117.66666666666667</v>
      </c>
      <c r="K35">
        <f t="shared" si="1"/>
        <v>271.38824777597245</v>
      </c>
    </row>
    <row r="36" spans="1:11" x14ac:dyDescent="0.3">
      <c r="A36" s="9" t="s">
        <v>422</v>
      </c>
      <c r="B36">
        <v>835</v>
      </c>
      <c r="C36">
        <v>92.777777777777771</v>
      </c>
      <c r="D36">
        <v>31.459409473867197</v>
      </c>
      <c r="E36">
        <v>42</v>
      </c>
      <c r="F36">
        <v>134</v>
      </c>
      <c r="H36">
        <f>GETPIVOTDATA("Average of score",$A$3,"team","3583A")/GETPIVOTDATA("StdDev of score",$A$3,"team","3583A")</f>
        <v>2.9443619762014213</v>
      </c>
      <c r="I36">
        <f t="shared" ref="I36:I67" si="2">1/H36</f>
        <v>0.33963215395483387</v>
      </c>
      <c r="J36">
        <v>91.777777777777771</v>
      </c>
      <c r="K36">
        <f t="shared" ref="K36:K67" si="3">J36/I36</f>
        <v>270.22699914915262</v>
      </c>
    </row>
    <row r="37" spans="1:11" x14ac:dyDescent="0.3">
      <c r="A37" s="9" t="s">
        <v>40</v>
      </c>
      <c r="B37">
        <v>832</v>
      </c>
      <c r="C37">
        <v>92.444444444444443</v>
      </c>
      <c r="D37">
        <v>31.460733903991773</v>
      </c>
      <c r="E37">
        <v>55</v>
      </c>
      <c r="F37">
        <v>144</v>
      </c>
      <c r="H37">
        <f>GETPIVOTDATA("Average of score",$A$3,"team","99621B")/GETPIVOTDATA("StdDev of score",$A$3,"team","99621B")</f>
        <v>2.9485447603065262</v>
      </c>
      <c r="I37">
        <f t="shared" si="2"/>
        <v>0.33915035425680345</v>
      </c>
      <c r="J37">
        <v>90.555555555555557</v>
      </c>
      <c r="K37">
        <f t="shared" si="3"/>
        <v>267.00710884997989</v>
      </c>
    </row>
    <row r="38" spans="1:11" x14ac:dyDescent="0.3">
      <c r="A38" s="9" t="s">
        <v>58</v>
      </c>
      <c r="B38">
        <v>830</v>
      </c>
      <c r="C38">
        <v>92.222222222222229</v>
      </c>
      <c r="D38">
        <v>23.031379560166283</v>
      </c>
      <c r="E38">
        <v>48</v>
      </c>
      <c r="F38">
        <v>116</v>
      </c>
      <c r="H38">
        <f>GETPIVOTDATA("Average of score",$A$3,"team","98225F")/GETPIVOTDATA("StdDev of score",$A$3,"team","98225F")</f>
        <v>3.6172042684576975</v>
      </c>
      <c r="I38">
        <f t="shared" si="2"/>
        <v>0.27645660177946757</v>
      </c>
      <c r="J38">
        <v>73.444444444444443</v>
      </c>
      <c r="K38">
        <f t="shared" si="3"/>
        <v>265.66355793894866</v>
      </c>
    </row>
    <row r="39" spans="1:11" x14ac:dyDescent="0.3">
      <c r="A39" s="9" t="s">
        <v>429</v>
      </c>
      <c r="B39">
        <v>827</v>
      </c>
      <c r="C39">
        <v>91.888888888888886</v>
      </c>
      <c r="D39">
        <v>26.102894688350396</v>
      </c>
      <c r="E39">
        <v>70</v>
      </c>
      <c r="F39">
        <v>150</v>
      </c>
      <c r="H39">
        <f>GETPIVOTDATA("Average of score",$A$3,"team","10T")/GETPIVOTDATA("StdDev of score",$A$3,"team","10T")</f>
        <v>3.5202566606491534</v>
      </c>
      <c r="I39">
        <f t="shared" si="2"/>
        <v>0.28407019612473222</v>
      </c>
      <c r="J39">
        <v>75.444444444444443</v>
      </c>
      <c r="K39">
        <f t="shared" si="3"/>
        <v>265.58380806453061</v>
      </c>
    </row>
    <row r="40" spans="1:11" x14ac:dyDescent="0.3">
      <c r="A40" s="9" t="s">
        <v>454</v>
      </c>
      <c r="B40">
        <v>826</v>
      </c>
      <c r="C40">
        <v>91.777777777777771</v>
      </c>
      <c r="D40">
        <v>54.27655520060614</v>
      </c>
      <c r="E40">
        <v>37</v>
      </c>
      <c r="F40">
        <v>200</v>
      </c>
      <c r="H40">
        <f>GETPIVOTDATA("Average of score",$A$3,"team","10N")/GETPIVOTDATA("StdDev of score",$A$3,"team","10N")</f>
        <v>3.6878428905235623</v>
      </c>
      <c r="I40">
        <f t="shared" si="2"/>
        <v>0.27116122613835925</v>
      </c>
      <c r="J40">
        <v>72</v>
      </c>
      <c r="K40">
        <f t="shared" si="3"/>
        <v>265.52468811769648</v>
      </c>
    </row>
    <row r="41" spans="1:11" x14ac:dyDescent="0.3">
      <c r="A41" s="9" t="s">
        <v>460</v>
      </c>
      <c r="B41">
        <v>824</v>
      </c>
      <c r="C41">
        <v>91.555555555555557</v>
      </c>
      <c r="D41">
        <v>35.196275055434164</v>
      </c>
      <c r="E41">
        <v>40</v>
      </c>
      <c r="F41">
        <v>148</v>
      </c>
      <c r="H41">
        <f>GETPIVOTDATA("Average of score",$A$3,"team","502X")/GETPIVOTDATA("StdDev of score",$A$3,"team","502X")</f>
        <v>4.8769271633542379</v>
      </c>
      <c r="I41">
        <f t="shared" si="2"/>
        <v>0.20504714680057332</v>
      </c>
      <c r="J41">
        <v>54.333333333333336</v>
      </c>
      <c r="K41">
        <f t="shared" si="3"/>
        <v>264.97970920891362</v>
      </c>
    </row>
    <row r="42" spans="1:11" x14ac:dyDescent="0.3">
      <c r="A42" s="9" t="s">
        <v>399</v>
      </c>
      <c r="B42">
        <v>819</v>
      </c>
      <c r="C42">
        <v>91</v>
      </c>
      <c r="D42">
        <v>37.735924528226413</v>
      </c>
      <c r="E42">
        <v>37</v>
      </c>
      <c r="F42">
        <v>136</v>
      </c>
      <c r="H42">
        <f>GETPIVOTDATA("Average of score",$A$3,"team","502A")/GETPIVOTDATA("StdDev of score",$A$3,"team","502A")</f>
        <v>2.4559803008057921</v>
      </c>
      <c r="I42">
        <f t="shared" si="2"/>
        <v>0.40716938962088017</v>
      </c>
      <c r="J42">
        <v>107.33333333333333</v>
      </c>
      <c r="K42">
        <f t="shared" si="3"/>
        <v>263.6085522864883</v>
      </c>
    </row>
    <row r="43" spans="1:11" x14ac:dyDescent="0.3">
      <c r="A43" s="9" t="s">
        <v>403</v>
      </c>
      <c r="B43">
        <v>816</v>
      </c>
      <c r="C43">
        <v>90.666666666666671</v>
      </c>
      <c r="D43">
        <v>28.543825952384168</v>
      </c>
      <c r="E43">
        <v>52</v>
      </c>
      <c r="F43">
        <v>135</v>
      </c>
      <c r="H43">
        <f>GETPIVOTDATA("Average of score",$A$3,"team","9364C")/GETPIVOTDATA("StdDev of score",$A$3,"team","9364C")</f>
        <v>3.5779366096112248</v>
      </c>
      <c r="I43">
        <f t="shared" si="2"/>
        <v>0.27949069788261538</v>
      </c>
      <c r="J43">
        <v>73.666666666666671</v>
      </c>
      <c r="K43">
        <f t="shared" si="3"/>
        <v>263.5746635746936</v>
      </c>
    </row>
    <row r="44" spans="1:11" x14ac:dyDescent="0.3">
      <c r="A44" s="9" t="s">
        <v>86</v>
      </c>
      <c r="B44">
        <v>815</v>
      </c>
      <c r="C44">
        <v>90.555555555555557</v>
      </c>
      <c r="D44">
        <v>48.487398133719005</v>
      </c>
      <c r="E44">
        <v>0</v>
      </c>
      <c r="F44">
        <v>140</v>
      </c>
      <c r="H44">
        <f>GETPIVOTDATA("Average of score",$A$3,"team","7784W")/GETPIVOTDATA("StdDev of score",$A$3,"team","7784W")</f>
        <v>2.637875899610322</v>
      </c>
      <c r="I44">
        <f t="shared" si="2"/>
        <v>0.37909289066544949</v>
      </c>
      <c r="J44">
        <v>99.666666666666671</v>
      </c>
      <c r="K44">
        <f t="shared" si="3"/>
        <v>262.90829799449546</v>
      </c>
    </row>
    <row r="45" spans="1:11" x14ac:dyDescent="0.3">
      <c r="A45" s="9" t="s">
        <v>92</v>
      </c>
      <c r="B45">
        <v>813</v>
      </c>
      <c r="C45">
        <v>90.333333333333329</v>
      </c>
      <c r="D45">
        <v>24.494897427831781</v>
      </c>
      <c r="E45">
        <v>60</v>
      </c>
      <c r="F45">
        <v>133</v>
      </c>
      <c r="H45">
        <f>GETPIVOTDATA("Average of score",$A$3,"team","9364D")/GETPIVOTDATA("StdDev of score",$A$3,"team","9364D")</f>
        <v>3.6602486015573454</v>
      </c>
      <c r="I45">
        <f t="shared" si="2"/>
        <v>0.27320548652747922</v>
      </c>
      <c r="J45">
        <v>70.777777777777771</v>
      </c>
      <c r="K45">
        <f t="shared" si="3"/>
        <v>259.06426213244765</v>
      </c>
    </row>
    <row r="46" spans="1:11" x14ac:dyDescent="0.3">
      <c r="A46" s="9" t="s">
        <v>39</v>
      </c>
      <c r="B46">
        <v>813</v>
      </c>
      <c r="C46">
        <v>90.333333333333329</v>
      </c>
      <c r="D46">
        <v>30.29026246172192</v>
      </c>
      <c r="E46">
        <v>38</v>
      </c>
      <c r="F46">
        <v>144</v>
      </c>
      <c r="H46">
        <f>GETPIVOTDATA("Average of score",$A$3,"team","938R")/GETPIVOTDATA("StdDev of score",$A$3,"team","938R")</f>
        <v>2.4878220016754535</v>
      </c>
      <c r="I46">
        <f t="shared" si="2"/>
        <v>0.40195801762607536</v>
      </c>
      <c r="J46">
        <v>103.66666666666667</v>
      </c>
      <c r="K46">
        <f t="shared" si="3"/>
        <v>257.90421417368867</v>
      </c>
    </row>
    <row r="47" spans="1:11" x14ac:dyDescent="0.3">
      <c r="A47" s="9" t="s">
        <v>75</v>
      </c>
      <c r="B47">
        <v>810</v>
      </c>
      <c r="C47">
        <v>90</v>
      </c>
      <c r="D47">
        <v>32.32259271778797</v>
      </c>
      <c r="E47">
        <v>48</v>
      </c>
      <c r="F47">
        <v>144</v>
      </c>
      <c r="H47">
        <f>GETPIVOTDATA("Average of score",$A$3,"team","90385G")/GETPIVOTDATA("StdDev of score",$A$3,"team","90385G")</f>
        <v>2.679253218236636</v>
      </c>
      <c r="I47">
        <f t="shared" si="2"/>
        <v>0.37323833118623817</v>
      </c>
      <c r="J47">
        <v>96.2</v>
      </c>
      <c r="K47">
        <f t="shared" si="3"/>
        <v>257.74415959436442</v>
      </c>
    </row>
    <row r="48" spans="1:11" x14ac:dyDescent="0.3">
      <c r="A48" s="9" t="s">
        <v>13</v>
      </c>
      <c r="B48">
        <v>803</v>
      </c>
      <c r="C48">
        <v>89.222222222222229</v>
      </c>
      <c r="D48">
        <v>29.94068209718084</v>
      </c>
      <c r="E48">
        <v>40</v>
      </c>
      <c r="F48">
        <v>140</v>
      </c>
      <c r="H48">
        <f>GETPIVOTDATA("Average of score",$A$3,"team","98225J")/GETPIVOTDATA("StdDev of score",$A$3,"team","98225J")</f>
        <v>2.696010770208364</v>
      </c>
      <c r="I48">
        <f t="shared" si="2"/>
        <v>0.37091839952950706</v>
      </c>
      <c r="J48">
        <v>95.222222222222229</v>
      </c>
      <c r="K48">
        <f t="shared" si="3"/>
        <v>256.72013667428536</v>
      </c>
    </row>
    <row r="49" spans="1:11" x14ac:dyDescent="0.3">
      <c r="A49" s="9" t="s">
        <v>398</v>
      </c>
      <c r="B49">
        <v>795</v>
      </c>
      <c r="C49">
        <v>88.333333333333329</v>
      </c>
      <c r="D49">
        <v>33.622908856908857</v>
      </c>
      <c r="E49">
        <v>53</v>
      </c>
      <c r="F49">
        <v>168</v>
      </c>
      <c r="H49">
        <f>GETPIVOTDATA("Average of score",$A$3,"team","938J")/GETPIVOTDATA("StdDev of score",$A$3,"team","938J")</f>
        <v>2.1175276259040881</v>
      </c>
      <c r="I49">
        <f t="shared" si="2"/>
        <v>0.4722488565281624</v>
      </c>
      <c r="J49">
        <v>119.88888888888889</v>
      </c>
      <c r="K49">
        <f t="shared" si="3"/>
        <v>253.86803426116788</v>
      </c>
    </row>
    <row r="50" spans="1:11" x14ac:dyDescent="0.3">
      <c r="A50" s="9" t="s">
        <v>21</v>
      </c>
      <c r="B50">
        <v>793</v>
      </c>
      <c r="C50">
        <v>88.111111111111114</v>
      </c>
      <c r="D50">
        <v>33.735902405465772</v>
      </c>
      <c r="E50">
        <v>42</v>
      </c>
      <c r="F50">
        <v>148</v>
      </c>
      <c r="H50">
        <f>GETPIVOTDATA("Average of score",$A$3,"team","99621C")/GETPIVOTDATA("StdDev of score",$A$3,"team","99621C")</f>
        <v>2.7279745001152071</v>
      </c>
      <c r="I50">
        <f t="shared" si="2"/>
        <v>0.36657234147818035</v>
      </c>
      <c r="J50">
        <v>92.888888888888886</v>
      </c>
      <c r="K50">
        <f t="shared" si="3"/>
        <v>253.39852023292366</v>
      </c>
    </row>
    <row r="51" spans="1:11" x14ac:dyDescent="0.3">
      <c r="A51" s="9" t="s">
        <v>461</v>
      </c>
      <c r="B51">
        <v>791</v>
      </c>
      <c r="C51">
        <v>87.888888888888886</v>
      </c>
      <c r="D51">
        <v>21.951335064435405</v>
      </c>
      <c r="E51">
        <v>54</v>
      </c>
      <c r="F51">
        <v>130</v>
      </c>
      <c r="H51">
        <f>GETPIVOTDATA("Average of score",$A$3,"team","90385R")/GETPIVOTDATA("StdDev of score",$A$3,"team","90385R")</f>
        <v>2.7939021851870156</v>
      </c>
      <c r="I51">
        <f t="shared" si="2"/>
        <v>0.3579223371891464</v>
      </c>
      <c r="J51">
        <v>90.333333333333329</v>
      </c>
      <c r="K51">
        <f t="shared" si="3"/>
        <v>252.38249739522706</v>
      </c>
    </row>
    <row r="52" spans="1:11" x14ac:dyDescent="0.3">
      <c r="A52" s="9" t="s">
        <v>57</v>
      </c>
      <c r="B52">
        <v>791</v>
      </c>
      <c r="C52">
        <v>87.888888888888886</v>
      </c>
      <c r="D52">
        <v>36.088240620888008</v>
      </c>
      <c r="E52">
        <v>43</v>
      </c>
      <c r="F52">
        <v>170</v>
      </c>
      <c r="H52">
        <f>GETPIVOTDATA("Average of score",$A$3,"team","299Y")/GETPIVOTDATA("StdDev of score",$A$3,"team","299Y")</f>
        <v>2.4663985532976858</v>
      </c>
      <c r="I52">
        <f t="shared" si="2"/>
        <v>0.40544947557764133</v>
      </c>
      <c r="J52">
        <v>102</v>
      </c>
      <c r="K52">
        <f t="shared" si="3"/>
        <v>251.57265243636397</v>
      </c>
    </row>
    <row r="53" spans="1:11" x14ac:dyDescent="0.3">
      <c r="A53" s="9" t="s">
        <v>51</v>
      </c>
      <c r="B53">
        <v>786</v>
      </c>
      <c r="C53">
        <v>87.333333333333329</v>
      </c>
      <c r="D53">
        <v>36.520542164650294</v>
      </c>
      <c r="E53">
        <v>27</v>
      </c>
      <c r="F53">
        <v>139</v>
      </c>
      <c r="H53">
        <f>GETPIVOTDATA("Average of score",$A$3,"team","10F")/GETPIVOTDATA("StdDev of score",$A$3,"team","10F")</f>
        <v>2.5056367754990996</v>
      </c>
      <c r="I53">
        <f t="shared" si="2"/>
        <v>0.39910014483276784</v>
      </c>
      <c r="J53">
        <v>100</v>
      </c>
      <c r="K53">
        <f t="shared" si="3"/>
        <v>250.56367754990995</v>
      </c>
    </row>
    <row r="54" spans="1:11" x14ac:dyDescent="0.3">
      <c r="A54" s="9" t="s">
        <v>393</v>
      </c>
      <c r="B54">
        <v>786</v>
      </c>
      <c r="C54">
        <v>87.333333333333329</v>
      </c>
      <c r="D54">
        <v>26.846787517317598</v>
      </c>
      <c r="E54">
        <v>27</v>
      </c>
      <c r="F54">
        <v>114</v>
      </c>
      <c r="H54">
        <f>GETPIVOTDATA("Average of score",$A$3,"team","10E")/GETPIVOTDATA("StdDev of score",$A$3,"team","10E")</f>
        <v>2.2582010748264758</v>
      </c>
      <c r="I54">
        <f t="shared" si="2"/>
        <v>0.44283036225055461</v>
      </c>
      <c r="J54">
        <v>110.88888888888889</v>
      </c>
      <c r="K54">
        <f t="shared" si="3"/>
        <v>250.40940807520252</v>
      </c>
    </row>
    <row r="55" spans="1:11" x14ac:dyDescent="0.3">
      <c r="A55" s="9" t="s">
        <v>19</v>
      </c>
      <c r="B55">
        <v>785</v>
      </c>
      <c r="C55">
        <v>87.222222222222229</v>
      </c>
      <c r="D55">
        <v>24.113159155209118</v>
      </c>
      <c r="E55">
        <v>53</v>
      </c>
      <c r="F55">
        <v>135</v>
      </c>
      <c r="H55">
        <f>GETPIVOTDATA("Average of score",$A$3,"team","2605B")/GETPIVOTDATA("StdDev of score",$A$3,"team","2605B")</f>
        <v>2.2387568246371492</v>
      </c>
      <c r="I55">
        <f t="shared" si="2"/>
        <v>0.44667647195763521</v>
      </c>
      <c r="J55">
        <v>110.66666666666667</v>
      </c>
      <c r="K55">
        <f t="shared" si="3"/>
        <v>247.75575525984451</v>
      </c>
    </row>
    <row r="56" spans="1:11" x14ac:dyDescent="0.3">
      <c r="A56" s="9" t="s">
        <v>62</v>
      </c>
      <c r="B56">
        <v>782</v>
      </c>
      <c r="C56">
        <v>86.888888888888886</v>
      </c>
      <c r="D56">
        <v>25.002222123465572</v>
      </c>
      <c r="E56">
        <v>47</v>
      </c>
      <c r="F56">
        <v>128</v>
      </c>
      <c r="H56">
        <f>GETPIVOTDATA("Average of score",$A$3,"team","1010W")/GETPIVOTDATA("StdDev of score",$A$3,"team","1010W")</f>
        <v>4.1132404136113498</v>
      </c>
      <c r="I56">
        <f t="shared" si="2"/>
        <v>0.24311732343454689</v>
      </c>
      <c r="J56">
        <v>59.666666666666664</v>
      </c>
      <c r="K56">
        <f t="shared" si="3"/>
        <v>245.42334467881054</v>
      </c>
    </row>
    <row r="57" spans="1:11" x14ac:dyDescent="0.3">
      <c r="A57" s="9" t="s">
        <v>414</v>
      </c>
      <c r="B57">
        <v>776</v>
      </c>
      <c r="C57">
        <v>86.222222222222229</v>
      </c>
      <c r="D57">
        <v>17.73962920820064</v>
      </c>
      <c r="E57">
        <v>54</v>
      </c>
      <c r="F57">
        <v>107</v>
      </c>
      <c r="H57">
        <f>GETPIVOTDATA("Average of score",$A$3,"team","938H")/GETPIVOTDATA("StdDev of score",$A$3,"team","938H")</f>
        <v>2.4301820608172044</v>
      </c>
      <c r="I57">
        <f t="shared" si="2"/>
        <v>0.41149180389543616</v>
      </c>
      <c r="J57">
        <v>99.777777777777771</v>
      </c>
      <c r="K57">
        <f t="shared" si="3"/>
        <v>242.47816562376104</v>
      </c>
    </row>
    <row r="58" spans="1:11" x14ac:dyDescent="0.3">
      <c r="A58" s="9" t="s">
        <v>438</v>
      </c>
      <c r="B58">
        <v>775</v>
      </c>
      <c r="C58">
        <v>86.111111111111114</v>
      </c>
      <c r="D58">
        <v>29.985181525398698</v>
      </c>
      <c r="E58">
        <v>47</v>
      </c>
      <c r="F58">
        <v>128</v>
      </c>
      <c r="H58">
        <f>GETPIVOTDATA("Average of score",$A$3,"team","6526D")/GETPIVOTDATA("StdDev of score",$A$3,"team","6526D")</f>
        <v>2.6915963883928824</v>
      </c>
      <c r="I58">
        <f t="shared" si="2"/>
        <v>0.37152672826890182</v>
      </c>
      <c r="J58">
        <v>89.222222222222229</v>
      </c>
      <c r="K58">
        <f t="shared" si="3"/>
        <v>240.15021109772053</v>
      </c>
    </row>
    <row r="59" spans="1:11" x14ac:dyDescent="0.3">
      <c r="A59" s="9" t="s">
        <v>12</v>
      </c>
      <c r="B59">
        <v>853</v>
      </c>
      <c r="C59">
        <v>85.3</v>
      </c>
      <c r="D59">
        <v>28.075493465535633</v>
      </c>
      <c r="E59">
        <v>55</v>
      </c>
      <c r="F59">
        <v>125</v>
      </c>
      <c r="H59">
        <f>GETPIVOTDATA("Average of score",$A$3,"team","10B")/GETPIVOTDATA("StdDev of score",$A$3,"team","10B")</f>
        <v>2.979966252359469</v>
      </c>
      <c r="I59">
        <f t="shared" si="2"/>
        <v>0.33557427008048257</v>
      </c>
      <c r="J59">
        <v>80.111111111111114</v>
      </c>
      <c r="K59">
        <f t="shared" si="3"/>
        <v>238.72840755013081</v>
      </c>
    </row>
    <row r="60" spans="1:11" x14ac:dyDescent="0.3">
      <c r="A60" s="9" t="s">
        <v>395</v>
      </c>
      <c r="B60">
        <v>767</v>
      </c>
      <c r="C60">
        <v>85.222222222222229</v>
      </c>
      <c r="D60">
        <v>31.240109545973816</v>
      </c>
      <c r="E60">
        <v>42</v>
      </c>
      <c r="F60">
        <v>129</v>
      </c>
      <c r="H60">
        <f>GETPIVOTDATA("Average of score",$A$3,"team","5327S")/GETPIVOTDATA("StdDev of score",$A$3,"team","5327S")</f>
        <v>4.1722914830404614</v>
      </c>
      <c r="I60">
        <f t="shared" si="2"/>
        <v>0.23967644735867616</v>
      </c>
      <c r="J60">
        <v>57.111111111111114</v>
      </c>
      <c r="K60">
        <f t="shared" si="3"/>
        <v>238.28420247586635</v>
      </c>
    </row>
    <row r="61" spans="1:11" x14ac:dyDescent="0.3">
      <c r="A61" s="9" t="s">
        <v>419</v>
      </c>
      <c r="B61">
        <v>766</v>
      </c>
      <c r="C61">
        <v>85.111111111111114</v>
      </c>
      <c r="D61">
        <v>33.06979151901492</v>
      </c>
      <c r="E61">
        <v>37</v>
      </c>
      <c r="F61">
        <v>130</v>
      </c>
      <c r="H61">
        <f>GETPIVOTDATA("Average of score",$A$3,"team","938U")/GETPIVOTDATA("StdDev of score",$A$3,"team","938U")</f>
        <v>2.9253408257783935</v>
      </c>
      <c r="I61">
        <f t="shared" si="2"/>
        <v>0.34184051006566513</v>
      </c>
      <c r="J61">
        <v>81.444444444444443</v>
      </c>
      <c r="K61">
        <f t="shared" si="3"/>
        <v>238.25275836617359</v>
      </c>
    </row>
    <row r="62" spans="1:11" x14ac:dyDescent="0.3">
      <c r="A62" s="9" t="s">
        <v>443</v>
      </c>
      <c r="B62">
        <v>766</v>
      </c>
      <c r="C62">
        <v>85.111111111111114</v>
      </c>
      <c r="D62">
        <v>17.294829028097137</v>
      </c>
      <c r="E62">
        <v>46</v>
      </c>
      <c r="F62">
        <v>106</v>
      </c>
      <c r="H62">
        <f>GETPIVOTDATA("Average of score",$A$3,"team","7899B")/GETPIVOTDATA("StdDev of score",$A$3,"team","7899B")</f>
        <v>3.3712752892671629</v>
      </c>
      <c r="I62">
        <f t="shared" si="2"/>
        <v>0.29662365550022374</v>
      </c>
      <c r="J62">
        <v>70.666666666666671</v>
      </c>
      <c r="K62">
        <f t="shared" si="3"/>
        <v>238.23678710821284</v>
      </c>
    </row>
    <row r="63" spans="1:11" x14ac:dyDescent="0.3">
      <c r="A63" s="9" t="s">
        <v>50</v>
      </c>
      <c r="B63">
        <v>750</v>
      </c>
      <c r="C63">
        <v>83.333333333333329</v>
      </c>
      <c r="D63">
        <v>22.516660498395403</v>
      </c>
      <c r="E63">
        <v>52</v>
      </c>
      <c r="F63">
        <v>111</v>
      </c>
      <c r="H63">
        <f>GETPIVOTDATA("Average of score",$A$3,"team","938W")/GETPIVOTDATA("StdDev of score",$A$3,"team","938W")</f>
        <v>1.8948045049617237</v>
      </c>
      <c r="I63">
        <f t="shared" si="2"/>
        <v>0.52775893100391413</v>
      </c>
      <c r="J63">
        <v>125.11111111111111</v>
      </c>
      <c r="K63">
        <f t="shared" si="3"/>
        <v>237.06109695410009</v>
      </c>
    </row>
    <row r="64" spans="1:11" x14ac:dyDescent="0.3">
      <c r="A64" s="9" t="s">
        <v>442</v>
      </c>
      <c r="B64">
        <v>750</v>
      </c>
      <c r="C64">
        <v>83.333333333333329</v>
      </c>
      <c r="D64">
        <v>19.05255888325765</v>
      </c>
      <c r="E64">
        <v>57</v>
      </c>
      <c r="F64">
        <v>113</v>
      </c>
      <c r="H64">
        <f>GETPIVOTDATA("Average of score",$A$3,"team","16689D")/GETPIVOTDATA("StdDev of score",$A$3,"team","16689D")</f>
        <v>2.5733393966984721</v>
      </c>
      <c r="I64">
        <f t="shared" si="2"/>
        <v>0.38860012063817706</v>
      </c>
      <c r="J64">
        <v>91.888888888888886</v>
      </c>
      <c r="K64">
        <f t="shared" si="3"/>
        <v>236.46129789662626</v>
      </c>
    </row>
    <row r="65" spans="1:11" x14ac:dyDescent="0.3">
      <c r="A65" s="9" t="s">
        <v>448</v>
      </c>
      <c r="B65">
        <v>750</v>
      </c>
      <c r="C65">
        <v>83.333333333333329</v>
      </c>
      <c r="D65">
        <v>26.818836663807772</v>
      </c>
      <c r="E65">
        <v>42</v>
      </c>
      <c r="F65">
        <v>137</v>
      </c>
      <c r="H65">
        <f>GETPIVOTDATA("Average of score",$A$3,"team","39313Z")/GETPIVOTDATA("StdDev of score",$A$3,"team","39313Z")</f>
        <v>2.5767237099451075</v>
      </c>
      <c r="I65">
        <f t="shared" si="2"/>
        <v>0.3880897265548518</v>
      </c>
      <c r="J65">
        <v>91.555555555555557</v>
      </c>
      <c r="K65">
        <f t="shared" si="3"/>
        <v>235.91337077719652</v>
      </c>
    </row>
    <row r="66" spans="1:11" x14ac:dyDescent="0.3">
      <c r="A66" s="9" t="s">
        <v>64</v>
      </c>
      <c r="B66">
        <v>741</v>
      </c>
      <c r="C66">
        <v>82.333333333333329</v>
      </c>
      <c r="D66">
        <v>34.278273002005221</v>
      </c>
      <c r="E66">
        <v>26</v>
      </c>
      <c r="F66">
        <v>127</v>
      </c>
      <c r="H66">
        <f>GETPIVOTDATA("Average of score",$A$3,"team","652A")/GETPIVOTDATA("StdDev of score",$A$3,"team","652A")</f>
        <v>4.238182557555513</v>
      </c>
      <c r="I66">
        <f t="shared" si="2"/>
        <v>0.23595019478745088</v>
      </c>
      <c r="J66">
        <v>55.444444444444443</v>
      </c>
      <c r="K66">
        <f t="shared" si="3"/>
        <v>234.98367735780008</v>
      </c>
    </row>
    <row r="67" spans="1:11" x14ac:dyDescent="0.3">
      <c r="A67" s="9" t="s">
        <v>409</v>
      </c>
      <c r="B67">
        <v>737</v>
      </c>
      <c r="C67">
        <v>81.888888888888886</v>
      </c>
      <c r="D67">
        <v>26.421792352357766</v>
      </c>
      <c r="E67">
        <v>42</v>
      </c>
      <c r="F67">
        <v>116</v>
      </c>
      <c r="H67">
        <f>GETPIVOTDATA("Average of score",$A$3,"team","12516A")/GETPIVOTDATA("StdDev of score",$A$3,"team","12516A")</f>
        <v>2.4496569934792336</v>
      </c>
      <c r="I67">
        <f t="shared" si="2"/>
        <v>0.40822041725103148</v>
      </c>
      <c r="J67">
        <v>95.777777777777771</v>
      </c>
      <c r="K67">
        <f t="shared" si="3"/>
        <v>234.62270315323323</v>
      </c>
    </row>
    <row r="68" spans="1:11" x14ac:dyDescent="0.3">
      <c r="A68" s="9" t="s">
        <v>413</v>
      </c>
      <c r="B68">
        <v>736</v>
      </c>
      <c r="C68">
        <v>81.777777777777771</v>
      </c>
      <c r="D68">
        <v>31.332003517879993</v>
      </c>
      <c r="E68">
        <v>39</v>
      </c>
      <c r="F68">
        <v>123</v>
      </c>
      <c r="H68">
        <f>GETPIVOTDATA("Average of score",$A$3,"team","47874J")/GETPIVOTDATA("StdDev of score",$A$3,"team","47874J")</f>
        <v>2.8717888880603044</v>
      </c>
      <c r="I68">
        <f t="shared" ref="I68:I99" si="4">1/H68</f>
        <v>0.34821501126269455</v>
      </c>
      <c r="J68">
        <v>81.555555555555557</v>
      </c>
      <c r="K68">
        <f t="shared" ref="K68:K99" si="5">J68/I68</f>
        <v>234.21033820402928</v>
      </c>
    </row>
    <row r="69" spans="1:11" x14ac:dyDescent="0.3">
      <c r="A69" s="9" t="s">
        <v>97</v>
      </c>
      <c r="B69">
        <v>734</v>
      </c>
      <c r="C69">
        <v>81.555555555555557</v>
      </c>
      <c r="D69">
        <v>31.650873254584578</v>
      </c>
      <c r="E69">
        <v>39</v>
      </c>
      <c r="F69">
        <v>122</v>
      </c>
      <c r="H69">
        <f>GETPIVOTDATA("Average of score",$A$3,"team","10J")/GETPIVOTDATA("StdDev of score",$A$3,"team","10J")</f>
        <v>2.5202232439538199</v>
      </c>
      <c r="I69">
        <f t="shared" si="4"/>
        <v>0.39679024562568627</v>
      </c>
      <c r="J69">
        <v>92.777777777777771</v>
      </c>
      <c r="K69">
        <f t="shared" si="5"/>
        <v>233.82071207793771</v>
      </c>
    </row>
    <row r="70" spans="1:11" x14ac:dyDescent="0.3">
      <c r="A70" s="9" t="s">
        <v>458</v>
      </c>
      <c r="B70">
        <v>733</v>
      </c>
      <c r="C70">
        <v>81.444444444444443</v>
      </c>
      <c r="D70">
        <v>19.787060867591663</v>
      </c>
      <c r="E70">
        <v>60</v>
      </c>
      <c r="F70">
        <v>129</v>
      </c>
      <c r="H70">
        <f>GETPIVOTDATA("Average of score",$A$3,"team","9364G")/GETPIVOTDATA("StdDev of score",$A$3,"team","9364G")</f>
        <v>3.1764020288630439</v>
      </c>
      <c r="I70">
        <f t="shared" si="4"/>
        <v>0.31482160976894297</v>
      </c>
      <c r="J70">
        <v>73.555555555555557</v>
      </c>
      <c r="K70">
        <f t="shared" si="5"/>
        <v>233.64201590081504</v>
      </c>
    </row>
    <row r="71" spans="1:11" x14ac:dyDescent="0.3">
      <c r="A71" s="9" t="s">
        <v>79</v>
      </c>
      <c r="B71">
        <v>726</v>
      </c>
      <c r="C71">
        <v>80.666666666666671</v>
      </c>
      <c r="D71">
        <v>37.802116342871599</v>
      </c>
      <c r="E71">
        <v>30</v>
      </c>
      <c r="F71">
        <v>155</v>
      </c>
      <c r="H71">
        <f>GETPIVOTDATA("Average of score",$A$3,"team","99621H")/GETPIVOTDATA("StdDev of score",$A$3,"team","99621H")</f>
        <v>2.2360169200285225</v>
      </c>
      <c r="I71">
        <f t="shared" si="4"/>
        <v>0.44722380722738181</v>
      </c>
      <c r="J71">
        <v>104.11111111111111</v>
      </c>
      <c r="K71">
        <f t="shared" si="5"/>
        <v>232.79420600741398</v>
      </c>
    </row>
    <row r="72" spans="1:11" x14ac:dyDescent="0.3">
      <c r="A72" s="9" t="s">
        <v>46</v>
      </c>
      <c r="B72">
        <v>725</v>
      </c>
      <c r="C72">
        <v>80.555555555555557</v>
      </c>
      <c r="D72">
        <v>37.606884712480202</v>
      </c>
      <c r="E72">
        <v>30</v>
      </c>
      <c r="F72">
        <v>135</v>
      </c>
      <c r="H72">
        <f>GETPIVOTDATA("Average of score",$A$3,"team","1248X")/GETPIVOTDATA("StdDev of score",$A$3,"team","1248X")</f>
        <v>2.6580418673253705</v>
      </c>
      <c r="I72">
        <f t="shared" si="4"/>
        <v>0.37621679789650586</v>
      </c>
      <c r="J72">
        <v>86.888888888888886</v>
      </c>
      <c r="K72">
        <f t="shared" si="5"/>
        <v>230.95430447204885</v>
      </c>
    </row>
    <row r="73" spans="1:11" x14ac:dyDescent="0.3">
      <c r="A73" s="9" t="s">
        <v>406</v>
      </c>
      <c r="B73">
        <v>724</v>
      </c>
      <c r="C73">
        <v>80.444444444444443</v>
      </c>
      <c r="D73">
        <v>58.191732898907361</v>
      </c>
      <c r="E73">
        <v>22</v>
      </c>
      <c r="F73">
        <v>223</v>
      </c>
      <c r="H73">
        <f>GETPIVOTDATA("Average of score",$A$3,"team","98040C")/GETPIVOTDATA("StdDev of score",$A$3,"team","98040C")</f>
        <v>2.94912648804952</v>
      </c>
      <c r="I73">
        <f t="shared" si="4"/>
        <v>0.33908345540695189</v>
      </c>
      <c r="J73">
        <v>77.555555555555557</v>
      </c>
      <c r="K73">
        <f t="shared" si="5"/>
        <v>228.72114318428498</v>
      </c>
    </row>
    <row r="74" spans="1:11" x14ac:dyDescent="0.3">
      <c r="A74" s="9" t="s">
        <v>404</v>
      </c>
      <c r="B74">
        <v>724</v>
      </c>
      <c r="C74">
        <v>80.444444444444443</v>
      </c>
      <c r="D74">
        <v>21.107528935850766</v>
      </c>
      <c r="E74">
        <v>47</v>
      </c>
      <c r="F74">
        <v>118</v>
      </c>
      <c r="H74">
        <f>GETPIVOTDATA("Average of score",$A$3,"team","1469A")/GETPIVOTDATA("StdDev of score",$A$3,"team","1469A")</f>
        <v>3.6197012269483699</v>
      </c>
      <c r="I74">
        <f t="shared" si="4"/>
        <v>0.27626589524988537</v>
      </c>
      <c r="J74">
        <v>62.777777777777779</v>
      </c>
      <c r="K74">
        <f t="shared" si="5"/>
        <v>227.23679924731437</v>
      </c>
    </row>
    <row r="75" spans="1:11" x14ac:dyDescent="0.3">
      <c r="A75" s="9" t="s">
        <v>85</v>
      </c>
      <c r="B75">
        <v>722</v>
      </c>
      <c r="C75">
        <v>80.222222222222229</v>
      </c>
      <c r="D75">
        <v>32.526057929673009</v>
      </c>
      <c r="E75">
        <v>39</v>
      </c>
      <c r="F75">
        <v>148</v>
      </c>
      <c r="H75">
        <f>GETPIVOTDATA("Average of score",$A$3,"team","10K")/GETPIVOTDATA("StdDev of score",$A$3,"team","10K")</f>
        <v>2.9885807972515135</v>
      </c>
      <c r="I75">
        <f t="shared" si="4"/>
        <v>0.33460698165485864</v>
      </c>
      <c r="J75">
        <v>75.222222222222229</v>
      </c>
      <c r="K75">
        <f t="shared" si="5"/>
        <v>224.80768885991944</v>
      </c>
    </row>
    <row r="76" spans="1:11" x14ac:dyDescent="0.3">
      <c r="A76" s="9" t="s">
        <v>63</v>
      </c>
      <c r="B76">
        <v>721</v>
      </c>
      <c r="C76">
        <v>80.111111111111114</v>
      </c>
      <c r="D76">
        <v>32.601550747029066</v>
      </c>
      <c r="E76">
        <v>40</v>
      </c>
      <c r="F76">
        <v>138</v>
      </c>
      <c r="H76">
        <f>GETPIVOTDATA("Average of score",$A$3,"team","1168A")/GETPIVOTDATA("StdDev of score",$A$3,"team","1168A")</f>
        <v>3.7768736929280302</v>
      </c>
      <c r="I76">
        <f t="shared" si="4"/>
        <v>0.26476924602282575</v>
      </c>
      <c r="J76">
        <v>59.333333333333336</v>
      </c>
      <c r="K76">
        <f t="shared" si="5"/>
        <v>224.09450578039645</v>
      </c>
    </row>
    <row r="77" spans="1:11" x14ac:dyDescent="0.3">
      <c r="A77" s="9" t="s">
        <v>412</v>
      </c>
      <c r="B77">
        <v>721</v>
      </c>
      <c r="C77">
        <v>80.111111111111114</v>
      </c>
      <c r="D77">
        <v>29.763419009097582</v>
      </c>
      <c r="E77">
        <v>22</v>
      </c>
      <c r="F77">
        <v>112</v>
      </c>
      <c r="H77">
        <f>GETPIVOTDATA("Average of score",$A$3,"team","938C")/GETPIVOTDATA("StdDev of score",$A$3,"team","938C")</f>
        <v>2.6100398505033446</v>
      </c>
      <c r="I77">
        <f t="shared" si="4"/>
        <v>0.38313591258277169</v>
      </c>
      <c r="J77">
        <v>85.222222222222229</v>
      </c>
      <c r="K77">
        <f t="shared" si="5"/>
        <v>222.43339614845175</v>
      </c>
    </row>
    <row r="78" spans="1:11" x14ac:dyDescent="0.3">
      <c r="A78" s="9" t="s">
        <v>441</v>
      </c>
      <c r="B78">
        <v>718</v>
      </c>
      <c r="C78">
        <v>79.777777777777771</v>
      </c>
      <c r="D78">
        <v>22.993356528450654</v>
      </c>
      <c r="E78">
        <v>37</v>
      </c>
      <c r="F78">
        <v>113</v>
      </c>
      <c r="H78">
        <f>GETPIVOTDATA("Average of score",$A$3,"team","10Z")/GETPIVOTDATA("StdDev of score",$A$3,"team","10Z")</f>
        <v>3.03823689171166</v>
      </c>
      <c r="I78">
        <f t="shared" si="4"/>
        <v>0.32913825868154317</v>
      </c>
      <c r="J78">
        <v>72.444444444444443</v>
      </c>
      <c r="K78">
        <f t="shared" si="5"/>
        <v>220.10338371066692</v>
      </c>
    </row>
    <row r="79" spans="1:11" x14ac:dyDescent="0.3">
      <c r="A79" s="9" t="s">
        <v>396</v>
      </c>
      <c r="B79">
        <v>713</v>
      </c>
      <c r="C79">
        <v>79.222222222222229</v>
      </c>
      <c r="D79">
        <v>16.976290656219465</v>
      </c>
      <c r="E79">
        <v>60</v>
      </c>
      <c r="F79">
        <v>110</v>
      </c>
      <c r="H79">
        <f>GETPIVOTDATA("Average of score",$A$3,"team","51581E")/GETPIVOTDATA("StdDev of score",$A$3,"team","51581E")</f>
        <v>2.3537567114383444</v>
      </c>
      <c r="I79">
        <f t="shared" si="4"/>
        <v>0.42485274503536752</v>
      </c>
      <c r="J79">
        <v>92.222222222222229</v>
      </c>
      <c r="K79">
        <f t="shared" si="5"/>
        <v>217.068674499314</v>
      </c>
    </row>
    <row r="80" spans="1:11" x14ac:dyDescent="0.3">
      <c r="A80" s="9" t="s">
        <v>455</v>
      </c>
      <c r="B80">
        <v>712</v>
      </c>
      <c r="C80">
        <v>79.111111111111114</v>
      </c>
      <c r="D80">
        <v>18.162078931419479</v>
      </c>
      <c r="E80">
        <v>60</v>
      </c>
      <c r="F80">
        <v>115</v>
      </c>
      <c r="H80">
        <f>GETPIVOTDATA("Average of score",$A$3,"team","84141B")/GETPIVOTDATA("StdDev of score",$A$3,"team","84141B")</f>
        <v>2.6117905503792205</v>
      </c>
      <c r="I80">
        <f t="shared" si="4"/>
        <v>0.38287909413517268</v>
      </c>
      <c r="J80">
        <v>82.333333333333329</v>
      </c>
      <c r="K80">
        <f t="shared" si="5"/>
        <v>215.03742198122248</v>
      </c>
    </row>
    <row r="81" spans="1:11" x14ac:dyDescent="0.3">
      <c r="A81" s="9" t="s">
        <v>411</v>
      </c>
      <c r="B81">
        <v>703</v>
      </c>
      <c r="C81">
        <v>78.111111111111114</v>
      </c>
      <c r="D81">
        <v>30.993726963873048</v>
      </c>
      <c r="E81">
        <v>22</v>
      </c>
      <c r="F81">
        <v>115</v>
      </c>
      <c r="H81">
        <f>GETPIVOTDATA("Average of score",$A$3,"team","8931R")/GETPIVOTDATA("StdDev of score",$A$3,"team","8931R")</f>
        <v>3.0660569226416796</v>
      </c>
      <c r="I81">
        <f t="shared" si="4"/>
        <v>0.32615180514600867</v>
      </c>
      <c r="J81">
        <v>70.111111111111114</v>
      </c>
      <c r="K81">
        <f t="shared" si="5"/>
        <v>214.9646575763222</v>
      </c>
    </row>
    <row r="82" spans="1:11" x14ac:dyDescent="0.3">
      <c r="A82" s="9" t="s">
        <v>392</v>
      </c>
      <c r="B82">
        <v>701</v>
      </c>
      <c r="C82">
        <v>77.888888888888886</v>
      </c>
      <c r="D82">
        <v>30.448499324451301</v>
      </c>
      <c r="E82">
        <v>29</v>
      </c>
      <c r="F82">
        <v>110</v>
      </c>
      <c r="H82">
        <f>GETPIVOTDATA("Average of score",$A$3,"team","3484X")/GETPIVOTDATA("StdDev of score",$A$3,"team","3484X")</f>
        <v>2.2285560875783728</v>
      </c>
      <c r="I82">
        <f t="shared" si="4"/>
        <v>0.44872103761437526</v>
      </c>
      <c r="J82">
        <v>96.444444444444443</v>
      </c>
      <c r="K82">
        <f t="shared" si="5"/>
        <v>214.93185377978085</v>
      </c>
    </row>
    <row r="83" spans="1:11" x14ac:dyDescent="0.3">
      <c r="A83" s="9" t="s">
        <v>44</v>
      </c>
      <c r="B83">
        <v>698</v>
      </c>
      <c r="C83">
        <v>77.555555555555557</v>
      </c>
      <c r="D83">
        <v>34.684690827190281</v>
      </c>
      <c r="E83">
        <v>27</v>
      </c>
      <c r="F83">
        <v>131</v>
      </c>
      <c r="H83">
        <f>GETPIVOTDATA("Average of score",$A$3,"team","9805A")/GETPIVOTDATA("StdDev of score",$A$3,"team","9805A")</f>
        <v>2.135914548683354</v>
      </c>
      <c r="I83">
        <f t="shared" si="4"/>
        <v>0.46818352382890599</v>
      </c>
      <c r="J83">
        <v>100</v>
      </c>
      <c r="K83">
        <f t="shared" si="5"/>
        <v>213.59145486833538</v>
      </c>
    </row>
    <row r="84" spans="1:11" x14ac:dyDescent="0.3">
      <c r="A84" s="9" t="s">
        <v>26</v>
      </c>
      <c r="B84">
        <v>698</v>
      </c>
      <c r="C84">
        <v>77.555555555555557</v>
      </c>
      <c r="D84">
        <v>28.766782541288439</v>
      </c>
      <c r="E84">
        <v>40</v>
      </c>
      <c r="F84">
        <v>110</v>
      </c>
      <c r="H84">
        <f>GETPIVOTDATA("Average of score",$A$3,"team","938A")/GETPIVOTDATA("StdDev of score",$A$3,"team","938A")</f>
        <v>2.6908185202590382</v>
      </c>
      <c r="I84">
        <f t="shared" si="4"/>
        <v>0.37163413008757373</v>
      </c>
      <c r="J84">
        <v>79.111111111111114</v>
      </c>
      <c r="K84">
        <f t="shared" si="5"/>
        <v>212.87364293604836</v>
      </c>
    </row>
    <row r="85" spans="1:11" x14ac:dyDescent="0.3">
      <c r="A85" s="9" t="s">
        <v>45</v>
      </c>
      <c r="B85">
        <v>694</v>
      </c>
      <c r="C85">
        <v>77.111111111111114</v>
      </c>
      <c r="D85">
        <v>35.533239524579116</v>
      </c>
      <c r="E85">
        <v>30</v>
      </c>
      <c r="F85">
        <v>144</v>
      </c>
      <c r="H85">
        <f>GETPIVOTDATA("Average of score",$A$3,"team","47874R")/GETPIVOTDATA("StdDev of score",$A$3,"team","47874R")</f>
        <v>2.9822565402821577</v>
      </c>
      <c r="I85">
        <f t="shared" si="4"/>
        <v>0.33531655861684784</v>
      </c>
      <c r="J85">
        <v>71</v>
      </c>
      <c r="K85">
        <f t="shared" si="5"/>
        <v>211.74021436003321</v>
      </c>
    </row>
    <row r="86" spans="1:11" x14ac:dyDescent="0.3">
      <c r="A86" s="9" t="s">
        <v>103</v>
      </c>
      <c r="B86">
        <v>688</v>
      </c>
      <c r="C86">
        <v>76.444444444444443</v>
      </c>
      <c r="D86">
        <v>42.465018283026531</v>
      </c>
      <c r="E86">
        <v>22</v>
      </c>
      <c r="F86">
        <v>150</v>
      </c>
      <c r="H86">
        <f>GETPIVOTDATA("Average of score",$A$3,"team","93199G")/GETPIVOTDATA("StdDev of score",$A$3,"team","93199G")</f>
        <v>2.4019101933319966</v>
      </c>
      <c r="I86">
        <f t="shared" si="4"/>
        <v>0.41633529961949667</v>
      </c>
      <c r="J86">
        <v>88.111111111111114</v>
      </c>
      <c r="K86">
        <f t="shared" si="5"/>
        <v>211.63497592358593</v>
      </c>
    </row>
    <row r="87" spans="1:11" x14ac:dyDescent="0.3">
      <c r="A87" s="9" t="s">
        <v>407</v>
      </c>
      <c r="B87">
        <v>680</v>
      </c>
      <c r="C87">
        <v>75.555555555555557</v>
      </c>
      <c r="D87">
        <v>30.154233165142458</v>
      </c>
      <c r="E87">
        <v>24</v>
      </c>
      <c r="F87">
        <v>114</v>
      </c>
      <c r="H87">
        <f>GETPIVOTDATA("Average of score",$A$3,"team","938K")/GETPIVOTDATA("StdDev of score",$A$3,"team","938K")</f>
        <v>1.9663407182803594</v>
      </c>
      <c r="I87">
        <f t="shared" si="4"/>
        <v>0.50855886302071718</v>
      </c>
      <c r="J87">
        <v>107.11111111111111</v>
      </c>
      <c r="K87">
        <f t="shared" si="5"/>
        <v>210.61693915802962</v>
      </c>
    </row>
    <row r="88" spans="1:11" x14ac:dyDescent="0.3">
      <c r="A88" s="9" t="s">
        <v>418</v>
      </c>
      <c r="B88">
        <v>679</v>
      </c>
      <c r="C88">
        <v>75.444444444444443</v>
      </c>
      <c r="D88">
        <v>31.044770538333463</v>
      </c>
      <c r="E88">
        <v>31</v>
      </c>
      <c r="F88">
        <v>123</v>
      </c>
      <c r="H88">
        <f>GETPIVOTDATA("Average of score",$A$3,"team","537K")/GETPIVOTDATA("StdDev of score",$A$3,"team","537K")</f>
        <v>2.5736815142052758</v>
      </c>
      <c r="I88">
        <f t="shared" si="4"/>
        <v>0.38854846432262963</v>
      </c>
      <c r="J88">
        <v>81.777777777777771</v>
      </c>
      <c r="K88">
        <f t="shared" si="5"/>
        <v>210.46995493945366</v>
      </c>
    </row>
    <row r="89" spans="1:11" x14ac:dyDescent="0.3">
      <c r="A89" s="9" t="s">
        <v>447</v>
      </c>
      <c r="B89">
        <v>678</v>
      </c>
      <c r="C89">
        <v>75.333333333333329</v>
      </c>
      <c r="D89">
        <v>38.464269133833803</v>
      </c>
      <c r="E89">
        <v>20</v>
      </c>
      <c r="F89">
        <v>149</v>
      </c>
      <c r="H89">
        <f>GETPIVOTDATA("Average of score",$A$3,"team","938T")/GETPIVOTDATA("StdDev of score",$A$3,"team","938T")</f>
        <v>2.4572791562196326</v>
      </c>
      <c r="I89">
        <f t="shared" si="4"/>
        <v>0.40695417021256808</v>
      </c>
      <c r="J89">
        <v>85.3</v>
      </c>
      <c r="K89">
        <f t="shared" si="5"/>
        <v>209.60591202553465</v>
      </c>
    </row>
    <row r="90" spans="1:11" x14ac:dyDescent="0.3">
      <c r="A90" s="9" t="s">
        <v>91</v>
      </c>
      <c r="B90">
        <v>678</v>
      </c>
      <c r="C90">
        <v>75.333333333333329</v>
      </c>
      <c r="D90">
        <v>28.341665441536776</v>
      </c>
      <c r="E90">
        <v>38</v>
      </c>
      <c r="F90">
        <v>132</v>
      </c>
      <c r="H90">
        <f>GETPIVOTDATA("Average of score",$A$3,"team","938F")/GETPIVOTDATA("StdDev of score",$A$3,"team","938F")</f>
        <v>3.2530273231759557</v>
      </c>
      <c r="I90">
        <f t="shared" si="4"/>
        <v>0.30740596393875114</v>
      </c>
      <c r="J90">
        <v>63.333333333333336</v>
      </c>
      <c r="K90">
        <f t="shared" si="5"/>
        <v>206.02506380114389</v>
      </c>
    </row>
    <row r="91" spans="1:11" x14ac:dyDescent="0.3">
      <c r="A91" s="9" t="s">
        <v>417</v>
      </c>
      <c r="B91">
        <v>677</v>
      </c>
      <c r="C91">
        <v>75.222222222222229</v>
      </c>
      <c r="D91">
        <v>38.25499241202963</v>
      </c>
      <c r="E91">
        <v>20</v>
      </c>
      <c r="F91">
        <v>143</v>
      </c>
      <c r="H91">
        <f>GETPIVOTDATA("Average of score",$A$3,"team","84141A")/GETPIVOTDATA("StdDev of score",$A$3,"team","84141A")</f>
        <v>2.1879177742999851</v>
      </c>
      <c r="I91">
        <f t="shared" si="4"/>
        <v>0.45705556751096171</v>
      </c>
      <c r="J91">
        <v>94.111111111111114</v>
      </c>
      <c r="K91">
        <f t="shared" si="5"/>
        <v>205.90737275912085</v>
      </c>
    </row>
    <row r="92" spans="1:11" x14ac:dyDescent="0.3">
      <c r="A92" s="9" t="s">
        <v>434</v>
      </c>
      <c r="B92">
        <v>670</v>
      </c>
      <c r="C92">
        <v>74.444444444444443</v>
      </c>
      <c r="D92">
        <v>34.853662329485225</v>
      </c>
      <c r="E92">
        <v>22</v>
      </c>
      <c r="F92">
        <v>125</v>
      </c>
      <c r="H92">
        <f>GETPIVOTDATA("Average of score",$A$3,"team","16689A")/GETPIVOTDATA("StdDev of score",$A$3,"team","16689A")</f>
        <v>3.5151936081926616</v>
      </c>
      <c r="I92">
        <f t="shared" si="4"/>
        <v>0.28447935205314351</v>
      </c>
      <c r="J92">
        <v>58.444444444444443</v>
      </c>
      <c r="K92">
        <f t="shared" si="5"/>
        <v>205.44353754548223</v>
      </c>
    </row>
    <row r="93" spans="1:11" x14ac:dyDescent="0.3">
      <c r="A93" s="9" t="s">
        <v>80</v>
      </c>
      <c r="B93">
        <v>663</v>
      </c>
      <c r="C93">
        <v>73.666666666666671</v>
      </c>
      <c r="D93">
        <v>31.622776601683793</v>
      </c>
      <c r="E93">
        <v>39</v>
      </c>
      <c r="F93">
        <v>130</v>
      </c>
      <c r="H93">
        <f>GETPIVOTDATA("Average of score",$A$3,"team","938X")/GETPIVOTDATA("StdDev of score",$A$3,"team","938X")</f>
        <v>2.6271770152088592</v>
      </c>
      <c r="I93">
        <f t="shared" si="4"/>
        <v>0.38063670404047767</v>
      </c>
      <c r="J93">
        <v>78.111111111111114</v>
      </c>
      <c r="K93">
        <f t="shared" si="5"/>
        <v>205.21171574353644</v>
      </c>
    </row>
    <row r="94" spans="1:11" x14ac:dyDescent="0.3">
      <c r="A94" s="9" t="s">
        <v>14</v>
      </c>
      <c r="B94">
        <v>663</v>
      </c>
      <c r="C94">
        <v>73.666666666666671</v>
      </c>
      <c r="D94">
        <v>46.11398920067532</v>
      </c>
      <c r="E94">
        <v>0</v>
      </c>
      <c r="F94">
        <v>121</v>
      </c>
      <c r="H94">
        <f>GETPIVOTDATA("Average of score",$A$3,"team","1091A")/GETPIVOTDATA("StdDev of score",$A$3,"team","1091A")</f>
        <v>2.7462749883694544</v>
      </c>
      <c r="I94">
        <f t="shared" si="4"/>
        <v>0.36412959526450406</v>
      </c>
      <c r="J94">
        <v>74.444444444444443</v>
      </c>
      <c r="K94">
        <f t="shared" si="5"/>
        <v>204.44491580083715</v>
      </c>
    </row>
    <row r="95" spans="1:11" x14ac:dyDescent="0.3">
      <c r="A95" s="9" t="s">
        <v>31</v>
      </c>
      <c r="B95">
        <v>663</v>
      </c>
      <c r="C95">
        <v>73.666666666666671</v>
      </c>
      <c r="D95">
        <v>32.905166767545794</v>
      </c>
      <c r="E95">
        <v>48</v>
      </c>
      <c r="F95">
        <v>148</v>
      </c>
      <c r="H95">
        <f>GETPIVOTDATA("Average of score",$A$3,"team","8675F")/GETPIVOTDATA("StdDev of score",$A$3,"team","8675F")</f>
        <v>2.5580534547507616</v>
      </c>
      <c r="I95">
        <f t="shared" si="4"/>
        <v>0.3909222452497314</v>
      </c>
      <c r="J95">
        <v>79.777777777777771</v>
      </c>
      <c r="K95">
        <f t="shared" si="5"/>
        <v>204.07582005678299</v>
      </c>
    </row>
    <row r="96" spans="1:11" x14ac:dyDescent="0.3">
      <c r="A96" s="9" t="s">
        <v>98</v>
      </c>
      <c r="B96">
        <v>662</v>
      </c>
      <c r="C96">
        <v>73.555555555555557</v>
      </c>
      <c r="D96">
        <v>28.583697762497025</v>
      </c>
      <c r="E96">
        <v>48</v>
      </c>
      <c r="F96">
        <v>122</v>
      </c>
      <c r="H96">
        <f>GETPIVOTDATA("Average of score",$A$3,"team","16689Z")/GETPIVOTDATA("StdDev of score",$A$3,"team","16689Z")</f>
        <v>2.1358819887621832</v>
      </c>
      <c r="I96">
        <f t="shared" si="4"/>
        <v>0.46819066093606337</v>
      </c>
      <c r="J96">
        <v>94.555555555555557</v>
      </c>
      <c r="K96">
        <f t="shared" si="5"/>
        <v>201.9595080485131</v>
      </c>
    </row>
    <row r="97" spans="1:11" x14ac:dyDescent="0.3">
      <c r="A97" s="9" t="s">
        <v>52</v>
      </c>
      <c r="B97">
        <v>661</v>
      </c>
      <c r="C97">
        <v>73.444444444444443</v>
      </c>
      <c r="D97">
        <v>26.287407209113976</v>
      </c>
      <c r="E97">
        <v>35</v>
      </c>
      <c r="F97">
        <v>108</v>
      </c>
      <c r="H97">
        <f>GETPIVOTDATA("Average of score",$A$3,"team","10S")/GETPIVOTDATA("StdDev of score",$A$3,"team","10S")</f>
        <v>2.3601914311051786</v>
      </c>
      <c r="I97">
        <f t="shared" si="4"/>
        <v>0.42369444563729391</v>
      </c>
      <c r="J97">
        <v>85.111111111111114</v>
      </c>
      <c r="K97">
        <f t="shared" si="5"/>
        <v>200.87851513628522</v>
      </c>
    </row>
    <row r="98" spans="1:11" x14ac:dyDescent="0.3">
      <c r="A98" s="9" t="s">
        <v>423</v>
      </c>
      <c r="B98">
        <v>652</v>
      </c>
      <c r="C98">
        <v>72.444444444444443</v>
      </c>
      <c r="D98">
        <v>24.764445840312629</v>
      </c>
      <c r="E98">
        <v>42</v>
      </c>
      <c r="F98">
        <v>106</v>
      </c>
      <c r="H98">
        <f>GETPIVOTDATA("Average of score",$A$3,"team","47874A")/GETPIVOTDATA("StdDev of score",$A$3,"team","47874A")</f>
        <v>2.2720170378427662</v>
      </c>
      <c r="I98">
        <f t="shared" si="4"/>
        <v>0.44013754445674386</v>
      </c>
      <c r="J98">
        <v>87.888888888888886</v>
      </c>
      <c r="K98">
        <f t="shared" si="5"/>
        <v>199.68505299262534</v>
      </c>
    </row>
    <row r="99" spans="1:11" x14ac:dyDescent="0.3">
      <c r="A99" s="9" t="s">
        <v>390</v>
      </c>
      <c r="B99">
        <v>648</v>
      </c>
      <c r="C99">
        <v>72</v>
      </c>
      <c r="D99">
        <v>27.294688127912362</v>
      </c>
      <c r="E99">
        <v>41</v>
      </c>
      <c r="F99">
        <v>116</v>
      </c>
      <c r="H99">
        <f>GETPIVOTDATA("Average of score",$A$3,"team","10G")/GETPIVOTDATA("StdDev of score",$A$3,"team","10G")</f>
        <v>1.754765578289093</v>
      </c>
      <c r="I99">
        <f t="shared" si="4"/>
        <v>0.5698766902955813</v>
      </c>
      <c r="J99">
        <v>113.22222222222223</v>
      </c>
      <c r="K99">
        <f t="shared" si="5"/>
        <v>198.67845825295396</v>
      </c>
    </row>
    <row r="100" spans="1:11" x14ac:dyDescent="0.3">
      <c r="A100" s="9" t="s">
        <v>424</v>
      </c>
      <c r="B100">
        <v>645</v>
      </c>
      <c r="C100">
        <v>71.666666666666671</v>
      </c>
      <c r="D100">
        <v>29.180472922829747</v>
      </c>
      <c r="E100">
        <v>29</v>
      </c>
      <c r="F100">
        <v>111</v>
      </c>
      <c r="H100">
        <f>GETPIVOTDATA("Average of score",$A$3,"team","5155A")/GETPIVOTDATA("StdDev of score",$A$3,"team","5155A")</f>
        <v>2.8950399884198403</v>
      </c>
      <c r="I100">
        <f t="shared" ref="I100:I127" si="6">1/H100</f>
        <v>0.34541837211230236</v>
      </c>
      <c r="J100">
        <v>68.444444444444443</v>
      </c>
      <c r="K100">
        <f t="shared" ref="K100:K127" si="7">J100/I100</f>
        <v>198.14940365184685</v>
      </c>
    </row>
    <row r="101" spans="1:11" x14ac:dyDescent="0.3">
      <c r="A101" s="9" t="s">
        <v>397</v>
      </c>
      <c r="B101">
        <v>710</v>
      </c>
      <c r="C101">
        <v>71</v>
      </c>
      <c r="D101">
        <v>26.386023236217735</v>
      </c>
      <c r="E101">
        <v>30</v>
      </c>
      <c r="F101">
        <v>109</v>
      </c>
      <c r="H101">
        <f>GETPIVOTDATA("Average of score",$A$3,"team","8675V")/GETPIVOTDATA("StdDev of score",$A$3,"team","8675V")</f>
        <v>2.9969318118917463</v>
      </c>
      <c r="I101">
        <f t="shared" si="6"/>
        <v>0.33367459213854195</v>
      </c>
      <c r="J101">
        <v>66.111111111111114</v>
      </c>
      <c r="K101">
        <f t="shared" si="7"/>
        <v>198.13049200839879</v>
      </c>
    </row>
    <row r="102" spans="1:11" x14ac:dyDescent="0.3">
      <c r="A102" s="9" t="s">
        <v>61</v>
      </c>
      <c r="B102">
        <v>637</v>
      </c>
      <c r="C102">
        <v>70.777777777777771</v>
      </c>
      <c r="D102">
        <v>31.151957313216201</v>
      </c>
      <c r="E102">
        <v>36</v>
      </c>
      <c r="F102">
        <v>135</v>
      </c>
      <c r="H102">
        <f>GETPIVOTDATA("Average of score",$A$3,"team","98225H")/GETPIVOTDATA("StdDev of score",$A$3,"team","98225H")</f>
        <v>1.9585276161420391</v>
      </c>
      <c r="I102">
        <f t="shared" si="6"/>
        <v>0.51058764336947526</v>
      </c>
      <c r="J102">
        <v>100.88888888888889</v>
      </c>
      <c r="K102">
        <f t="shared" si="7"/>
        <v>197.59367505077461</v>
      </c>
    </row>
    <row r="103" spans="1:11" x14ac:dyDescent="0.3">
      <c r="A103" s="9" t="s">
        <v>76</v>
      </c>
      <c r="B103">
        <v>636</v>
      </c>
      <c r="C103">
        <v>70.666666666666671</v>
      </c>
      <c r="D103">
        <v>31.709619991415853</v>
      </c>
      <c r="E103">
        <v>27</v>
      </c>
      <c r="F103">
        <v>142</v>
      </c>
      <c r="H103">
        <f>GETPIVOTDATA("Average of score",$A$3,"team","10012G")/GETPIVOTDATA("StdDev of score",$A$3,"team","10012G")</f>
        <v>3.7024803626871012</v>
      </c>
      <c r="I103">
        <f t="shared" si="6"/>
        <v>0.27008921102669753</v>
      </c>
      <c r="J103">
        <v>52.555555555555557</v>
      </c>
      <c r="K103">
        <f t="shared" si="7"/>
        <v>194.58591239455541</v>
      </c>
    </row>
    <row r="104" spans="1:11" x14ac:dyDescent="0.3">
      <c r="A104" s="9" t="s">
        <v>388</v>
      </c>
      <c r="B104">
        <v>632</v>
      </c>
      <c r="C104">
        <v>70.222222222222229</v>
      </c>
      <c r="D104">
        <v>26.209625034411392</v>
      </c>
      <c r="E104">
        <v>17</v>
      </c>
      <c r="F104">
        <v>111</v>
      </c>
      <c r="H104">
        <f>GETPIVOTDATA("Average of score",$A$3,"team","604X")/GETPIVOTDATA("StdDev of score",$A$3,"team","604X")</f>
        <v>2.3295445429907065</v>
      </c>
      <c r="I104">
        <f t="shared" si="6"/>
        <v>0.429268460656341</v>
      </c>
      <c r="J104">
        <v>83.333333333333329</v>
      </c>
      <c r="K104">
        <f t="shared" si="7"/>
        <v>194.12871191589221</v>
      </c>
    </row>
    <row r="105" spans="1:11" x14ac:dyDescent="0.3">
      <c r="A105" s="9" t="s">
        <v>402</v>
      </c>
      <c r="B105">
        <v>631</v>
      </c>
      <c r="C105">
        <v>70.111111111111114</v>
      </c>
      <c r="D105">
        <v>32.044673677712986</v>
      </c>
      <c r="E105">
        <v>22</v>
      </c>
      <c r="F105">
        <v>130</v>
      </c>
      <c r="H105">
        <f>GETPIVOTDATA("Average of score",$A$3,"team","7700E")/GETPIVOTDATA("StdDev of score",$A$3,"team","7700E")</f>
        <v>2.142042771461536</v>
      </c>
      <c r="I105">
        <f t="shared" si="6"/>
        <v>0.46684408608596112</v>
      </c>
      <c r="J105">
        <v>90</v>
      </c>
      <c r="K105">
        <f t="shared" si="7"/>
        <v>192.78384943153824</v>
      </c>
    </row>
    <row r="106" spans="1:11" x14ac:dyDescent="0.3">
      <c r="A106" s="9" t="s">
        <v>81</v>
      </c>
      <c r="B106">
        <v>616</v>
      </c>
      <c r="C106">
        <v>68.444444444444443</v>
      </c>
      <c r="D106">
        <v>19.013883816247994</v>
      </c>
      <c r="E106">
        <v>37</v>
      </c>
      <c r="F106">
        <v>93</v>
      </c>
      <c r="H106">
        <f>GETPIVOTDATA("Average of score",$A$3,"team","1698Y")/GETPIVOTDATA("StdDev of score",$A$3,"team","1698Y")</f>
        <v>2.5393097891246148</v>
      </c>
      <c r="I106">
        <f t="shared" si="6"/>
        <v>0.39380779938029281</v>
      </c>
      <c r="J106">
        <v>75.333333333333329</v>
      </c>
      <c r="K106">
        <f t="shared" si="7"/>
        <v>191.29467078072099</v>
      </c>
    </row>
    <row r="107" spans="1:11" x14ac:dyDescent="0.3">
      <c r="A107" s="9" t="s">
        <v>37</v>
      </c>
      <c r="B107">
        <v>616</v>
      </c>
      <c r="C107">
        <v>68.444444444444443</v>
      </c>
      <c r="D107">
        <v>36.128628229947751</v>
      </c>
      <c r="E107">
        <v>14</v>
      </c>
      <c r="F107">
        <v>111</v>
      </c>
      <c r="H107">
        <f>GETPIVOTDATA("Average of score",$A$3,"team","938P")/GETPIVOTDATA("StdDev of score",$A$3,"team","938P")</f>
        <v>1.9692946504750022</v>
      </c>
      <c r="I107">
        <f t="shared" si="6"/>
        <v>0.50779602725209039</v>
      </c>
      <c r="J107">
        <v>96.666666666666671</v>
      </c>
      <c r="K107">
        <f t="shared" si="7"/>
        <v>190.36514954591689</v>
      </c>
    </row>
    <row r="108" spans="1:11" x14ac:dyDescent="0.3">
      <c r="A108" s="9" t="s">
        <v>387</v>
      </c>
      <c r="B108">
        <v>613</v>
      </c>
      <c r="C108">
        <v>68.111111111111114</v>
      </c>
      <c r="D108">
        <v>28.937192522964477</v>
      </c>
      <c r="E108">
        <v>17</v>
      </c>
      <c r="F108">
        <v>106</v>
      </c>
      <c r="H108">
        <f>GETPIVOTDATA("Average of score",$A$3,"team","10W")/GETPIVOTDATA("StdDev of score",$A$3,"team","10W")</f>
        <v>2.4353885746931776</v>
      </c>
      <c r="I108">
        <f t="shared" si="6"/>
        <v>0.41061209303159557</v>
      </c>
      <c r="J108">
        <v>77.888888888888886</v>
      </c>
      <c r="K108">
        <f t="shared" si="7"/>
        <v>189.68971009554639</v>
      </c>
    </row>
    <row r="109" spans="1:11" x14ac:dyDescent="0.3">
      <c r="A109" s="9" t="s">
        <v>449</v>
      </c>
      <c r="B109">
        <v>607</v>
      </c>
      <c r="C109">
        <v>67.444444444444443</v>
      </c>
      <c r="D109">
        <v>32.361671430533022</v>
      </c>
      <c r="E109">
        <v>25</v>
      </c>
      <c r="F109">
        <v>112</v>
      </c>
      <c r="H109" s="10">
        <f>GETPIVOTDATA("Average of score",$A$3,"team","7700P")/GETPIVOTDATA("StdDev of score",$A$3,"team","7700P")</f>
        <v>2.1701120455896423</v>
      </c>
      <c r="I109">
        <f t="shared" si="6"/>
        <v>0.46080569988647269</v>
      </c>
      <c r="J109">
        <v>87.333333333333329</v>
      </c>
      <c r="K109">
        <f t="shared" si="7"/>
        <v>189.52311864816207</v>
      </c>
    </row>
    <row r="110" spans="1:11" x14ac:dyDescent="0.3">
      <c r="A110" s="9" t="s">
        <v>432</v>
      </c>
      <c r="B110">
        <v>603</v>
      </c>
      <c r="C110">
        <v>67</v>
      </c>
      <c r="D110">
        <v>31.368774282716245</v>
      </c>
      <c r="E110">
        <v>27</v>
      </c>
      <c r="F110">
        <v>137</v>
      </c>
      <c r="H110">
        <f>GETPIVOTDATA("Average of score",$A$3,"team","938G")/GETPIVOTDATA("StdDev of score",$A$3,"team","938G")</f>
        <v>2.2927763761540692</v>
      </c>
      <c r="I110">
        <f t="shared" si="6"/>
        <v>0.43615243527474412</v>
      </c>
      <c r="J110">
        <v>80.555555555555557</v>
      </c>
      <c r="K110">
        <f t="shared" si="7"/>
        <v>184.69587474574445</v>
      </c>
    </row>
    <row r="111" spans="1:11" x14ac:dyDescent="0.3">
      <c r="A111" s="9" t="s">
        <v>93</v>
      </c>
      <c r="B111">
        <v>596</v>
      </c>
      <c r="C111">
        <v>66.222222222222229</v>
      </c>
      <c r="D111">
        <v>37.738500824018494</v>
      </c>
      <c r="E111">
        <v>30</v>
      </c>
      <c r="F111">
        <v>153</v>
      </c>
      <c r="H111">
        <f>GETPIVOTDATA("Average of score",$A$3,"team","6526E")/GETPIVOTDATA("StdDev of score",$A$3,"team","6526E")</f>
        <v>2.1339193270293744</v>
      </c>
      <c r="I111">
        <f t="shared" si="6"/>
        <v>0.46862127697774703</v>
      </c>
      <c r="J111">
        <v>86.111111111111114</v>
      </c>
      <c r="K111">
        <f t="shared" si="7"/>
        <v>183.75416427197391</v>
      </c>
    </row>
    <row r="112" spans="1:11" x14ac:dyDescent="0.3">
      <c r="A112" s="9" t="s">
        <v>82</v>
      </c>
      <c r="B112">
        <v>595</v>
      </c>
      <c r="C112">
        <v>66.111111111111114</v>
      </c>
      <c r="D112">
        <v>28.010910572687767</v>
      </c>
      <c r="E112">
        <v>30</v>
      </c>
      <c r="F112">
        <v>98</v>
      </c>
      <c r="H112">
        <f>GETPIVOTDATA("Average of score",$A$3,"team","1687C")/GETPIVOTDATA("StdDev of score",$A$3,"team","1687C")</f>
        <v>2.6749192312017063</v>
      </c>
      <c r="I112">
        <f t="shared" si="6"/>
        <v>0.37384306349719221</v>
      </c>
      <c r="J112">
        <v>67.444444444444443</v>
      </c>
      <c r="K112">
        <f t="shared" si="7"/>
        <v>180.4084414821595</v>
      </c>
    </row>
    <row r="113" spans="1:11" x14ac:dyDescent="0.3">
      <c r="A113" s="9" t="s">
        <v>452</v>
      </c>
      <c r="B113">
        <v>570</v>
      </c>
      <c r="C113">
        <v>63.333333333333336</v>
      </c>
      <c r="D113">
        <v>19.608671551127578</v>
      </c>
      <c r="E113">
        <v>37</v>
      </c>
      <c r="F113">
        <v>85</v>
      </c>
      <c r="H113">
        <f>GETPIVOTDATA("Average of score",$A$3,"team","920B")/GETPIVOTDATA("StdDev of score",$A$3,"team","920B")</f>
        <v>2.3913482154672607</v>
      </c>
      <c r="I113">
        <f t="shared" si="6"/>
        <v>0.41817414692347665</v>
      </c>
      <c r="J113">
        <v>75.333333333333329</v>
      </c>
      <c r="K113">
        <f t="shared" si="7"/>
        <v>180.14823223186696</v>
      </c>
    </row>
    <row r="114" spans="1:11" x14ac:dyDescent="0.3">
      <c r="A114" s="9" t="s">
        <v>55</v>
      </c>
      <c r="B114">
        <v>565</v>
      </c>
      <c r="C114">
        <v>62.777777777777779</v>
      </c>
      <c r="D114">
        <v>25.883285039663036</v>
      </c>
      <c r="E114">
        <v>27</v>
      </c>
      <c r="F114">
        <v>115</v>
      </c>
      <c r="H114">
        <f>GETPIVOTDATA("Average of score",$A$3,"team","949Z")/GETPIVOTDATA("StdDev of score",$A$3,"team","949Z")</f>
        <v>2.9384071181096951</v>
      </c>
      <c r="I114">
        <f t="shared" si="6"/>
        <v>0.34032043886529562</v>
      </c>
      <c r="J114">
        <v>59.333333333333336</v>
      </c>
      <c r="K114">
        <f t="shared" si="7"/>
        <v>174.34548900784193</v>
      </c>
    </row>
    <row r="115" spans="1:11" x14ac:dyDescent="0.3">
      <c r="A115" s="9" t="s">
        <v>69</v>
      </c>
      <c r="B115">
        <v>537</v>
      </c>
      <c r="C115">
        <v>59.666666666666664</v>
      </c>
      <c r="D115">
        <v>25.86986664055306</v>
      </c>
      <c r="E115">
        <v>27</v>
      </c>
      <c r="F115">
        <v>116</v>
      </c>
      <c r="H115">
        <f>GETPIVOTDATA("Average of score",$A$3,"team","51581S")/GETPIVOTDATA("StdDev of score",$A$3,"team","51581S")</f>
        <v>3.1466716195736963</v>
      </c>
      <c r="I115">
        <f t="shared" si="6"/>
        <v>0.3177961099529914</v>
      </c>
      <c r="J115">
        <v>55</v>
      </c>
      <c r="K115">
        <f t="shared" si="7"/>
        <v>173.0669390765533</v>
      </c>
    </row>
    <row r="116" spans="1:11" x14ac:dyDescent="0.3">
      <c r="A116" s="9" t="s">
        <v>68</v>
      </c>
      <c r="B116">
        <v>534</v>
      </c>
      <c r="C116">
        <v>59.333333333333336</v>
      </c>
      <c r="D116">
        <v>20.229928324143909</v>
      </c>
      <c r="E116">
        <v>25</v>
      </c>
      <c r="F116">
        <v>87</v>
      </c>
      <c r="H116">
        <f>GETPIVOTDATA("Average of score",$A$3,"team","229V")/GETPIVOTDATA("StdDev of score",$A$3,"team","229V")</f>
        <v>3.33727664335786</v>
      </c>
      <c r="I116">
        <f t="shared" si="6"/>
        <v>0.29964552144344625</v>
      </c>
      <c r="J116">
        <v>51.111111111111114</v>
      </c>
      <c r="K116">
        <f t="shared" si="7"/>
        <v>170.57191732717953</v>
      </c>
    </row>
    <row r="117" spans="1:11" x14ac:dyDescent="0.3">
      <c r="A117" s="9" t="s">
        <v>439</v>
      </c>
      <c r="B117">
        <v>534</v>
      </c>
      <c r="C117">
        <v>59.333333333333336</v>
      </c>
      <c r="D117">
        <v>30.174492539229224</v>
      </c>
      <c r="E117">
        <v>22</v>
      </c>
      <c r="F117">
        <v>106</v>
      </c>
      <c r="H117">
        <f>GETPIVOTDATA("Average of score",$A$3,"team","47000X")/GETPIVOTDATA("StdDev of score",$A$3,"team","47000X")</f>
        <v>2.4114951770144692</v>
      </c>
      <c r="I117">
        <f t="shared" si="6"/>
        <v>0.41468048932116935</v>
      </c>
      <c r="J117">
        <v>70.222222222222229</v>
      </c>
      <c r="K117">
        <f t="shared" si="7"/>
        <v>169.34055020812718</v>
      </c>
    </row>
    <row r="118" spans="1:11" x14ac:dyDescent="0.3">
      <c r="A118" s="9" t="s">
        <v>451</v>
      </c>
      <c r="B118">
        <v>529</v>
      </c>
      <c r="C118">
        <v>58.777777777777779</v>
      </c>
      <c r="D118">
        <v>18.793468132424209</v>
      </c>
      <c r="E118">
        <v>27</v>
      </c>
      <c r="F118">
        <v>87</v>
      </c>
      <c r="H118">
        <f>GETPIVOTDATA("Average of score",$A$3,"team","98225M")/GETPIVOTDATA("StdDev of score",$A$3,"team","98225M")</f>
        <v>2.0840840866090451</v>
      </c>
      <c r="I118">
        <f t="shared" si="6"/>
        <v>0.47982708875584384</v>
      </c>
      <c r="J118">
        <v>79.222222222222229</v>
      </c>
      <c r="K118">
        <f t="shared" si="7"/>
        <v>165.10577263913879</v>
      </c>
    </row>
    <row r="119" spans="1:11" x14ac:dyDescent="0.3">
      <c r="A119" s="9" t="s">
        <v>38</v>
      </c>
      <c r="B119">
        <v>526</v>
      </c>
      <c r="C119">
        <v>58.444444444444443</v>
      </c>
      <c r="D119">
        <v>27.600322059312603</v>
      </c>
      <c r="E119">
        <v>14</v>
      </c>
      <c r="F119">
        <v>91</v>
      </c>
      <c r="H119">
        <f>GETPIVOTDATA("Average of score",$A$3,"team","16689X")/GETPIVOTDATA("StdDev of score",$A$3,"team","16689X")</f>
        <v>1.8001745327164889</v>
      </c>
      <c r="I119">
        <f t="shared" si="6"/>
        <v>0.55550169265587035</v>
      </c>
      <c r="J119">
        <v>90.666666666666671</v>
      </c>
      <c r="K119">
        <f t="shared" si="7"/>
        <v>163.21582429962834</v>
      </c>
    </row>
    <row r="120" spans="1:11" x14ac:dyDescent="0.3">
      <c r="A120" s="9" t="s">
        <v>456</v>
      </c>
      <c r="B120">
        <v>525</v>
      </c>
      <c r="C120">
        <v>58.333333333333336</v>
      </c>
      <c r="D120">
        <v>17.406895185529212</v>
      </c>
      <c r="E120">
        <v>25</v>
      </c>
      <c r="F120">
        <v>80</v>
      </c>
      <c r="H120">
        <f>GETPIVOTDATA("Average of score",$A$3,"team","44244S")/GETPIVOTDATA("StdDev of score",$A$3,"team","44244S")</f>
        <v>2.7844300977276073</v>
      </c>
      <c r="I120">
        <f t="shared" si="6"/>
        <v>0.35913991908653298</v>
      </c>
      <c r="J120">
        <v>58.333333333333336</v>
      </c>
      <c r="K120">
        <f t="shared" si="7"/>
        <v>162.42508903411044</v>
      </c>
    </row>
    <row r="121" spans="1:11" x14ac:dyDescent="0.3">
      <c r="A121" s="9" t="s">
        <v>67</v>
      </c>
      <c r="B121">
        <v>514</v>
      </c>
      <c r="C121">
        <v>57.111111111111114</v>
      </c>
      <c r="D121">
        <v>25.290534021865007</v>
      </c>
      <c r="E121">
        <v>26</v>
      </c>
      <c r="F121">
        <v>117</v>
      </c>
      <c r="H121">
        <f>GETPIVOTDATA("Average of score",$A$3,"team","99621A")/GETPIVOTDATA("StdDev of score",$A$3,"team","99621A")</f>
        <v>1.9663373975358029</v>
      </c>
      <c r="I121">
        <f t="shared" si="6"/>
        <v>0.50855972187336285</v>
      </c>
      <c r="J121">
        <v>80.444444444444443</v>
      </c>
      <c r="K121">
        <f t="shared" si="7"/>
        <v>158.18091953510236</v>
      </c>
    </row>
    <row r="122" spans="1:11" x14ac:dyDescent="0.3">
      <c r="A122" s="9" t="s">
        <v>20</v>
      </c>
      <c r="B122">
        <v>499</v>
      </c>
      <c r="C122">
        <v>55.444444444444443</v>
      </c>
      <c r="D122">
        <v>22.633554245362742</v>
      </c>
      <c r="E122">
        <v>35</v>
      </c>
      <c r="F122">
        <v>93</v>
      </c>
      <c r="H122">
        <f>GETPIVOTDATA("Average of score",$A$3,"team","7899A")/GETPIVOTDATA("StdDev of score",$A$3,"team","7899A")</f>
        <v>1.8944656301040919</v>
      </c>
      <c r="I122">
        <f t="shared" si="6"/>
        <v>0.5278533345284574</v>
      </c>
      <c r="J122">
        <v>83.333333333333329</v>
      </c>
      <c r="K122">
        <f t="shared" si="7"/>
        <v>157.87213584200765</v>
      </c>
    </row>
    <row r="123" spans="1:11" x14ac:dyDescent="0.3">
      <c r="A123" s="9" t="s">
        <v>431</v>
      </c>
      <c r="B123">
        <v>495</v>
      </c>
      <c r="C123">
        <v>55</v>
      </c>
      <c r="D123">
        <v>22.107690969434145</v>
      </c>
      <c r="E123">
        <v>30</v>
      </c>
      <c r="F123">
        <v>102</v>
      </c>
      <c r="H123">
        <f>GETPIVOTDATA("Average of score",$A$3,"team","80001B")/GETPIVOTDATA("StdDev of score",$A$3,"team","80001B")</f>
        <v>1.8676101222387844</v>
      </c>
      <c r="I123">
        <f t="shared" si="6"/>
        <v>0.53544366037235713</v>
      </c>
      <c r="J123">
        <v>75.555555555555557</v>
      </c>
      <c r="K123">
        <f t="shared" si="7"/>
        <v>141.10832034693038</v>
      </c>
    </row>
    <row r="124" spans="1:11" x14ac:dyDescent="0.3">
      <c r="A124" s="9" t="s">
        <v>100</v>
      </c>
      <c r="B124">
        <v>489</v>
      </c>
      <c r="C124">
        <v>54.333333333333336</v>
      </c>
      <c r="D124">
        <v>28.674901917879335</v>
      </c>
      <c r="E124">
        <v>15</v>
      </c>
      <c r="F124">
        <v>98</v>
      </c>
      <c r="H124">
        <f>GETPIVOTDATA("Average of score",$A$3,"team","5233J")/GETPIVOTDATA("StdDev of score",$A$3,"team","5233J")</f>
        <v>1.5974906518299625</v>
      </c>
      <c r="I124">
        <f t="shared" si="6"/>
        <v>0.62598175385532107</v>
      </c>
      <c r="J124">
        <v>87.222222222222229</v>
      </c>
      <c r="K124">
        <f t="shared" si="7"/>
        <v>139.33668463183562</v>
      </c>
    </row>
    <row r="125" spans="1:11" x14ac:dyDescent="0.3">
      <c r="A125" s="9" t="s">
        <v>87</v>
      </c>
      <c r="B125">
        <v>479</v>
      </c>
      <c r="C125">
        <v>53.222222222222221</v>
      </c>
      <c r="D125">
        <v>15.2870678825092</v>
      </c>
      <c r="E125">
        <v>27</v>
      </c>
      <c r="F125">
        <v>77</v>
      </c>
      <c r="H125">
        <f>GETPIVOTDATA("Average of score",$A$3,"team","66475C")/GETPIVOTDATA("StdDev of score",$A$3,"team","66475C")</f>
        <v>2.6012853749823091</v>
      </c>
      <c r="I125">
        <f t="shared" si="6"/>
        <v>0.38442533434333437</v>
      </c>
      <c r="J125">
        <v>53.222222222222221</v>
      </c>
      <c r="K125">
        <f t="shared" si="7"/>
        <v>138.4461882907251</v>
      </c>
    </row>
    <row r="126" spans="1:11" x14ac:dyDescent="0.3">
      <c r="A126" s="9" t="s">
        <v>99</v>
      </c>
      <c r="B126">
        <v>473</v>
      </c>
      <c r="C126">
        <v>52.555555555555557</v>
      </c>
      <c r="D126">
        <v>23.436675911437991</v>
      </c>
      <c r="E126">
        <v>15</v>
      </c>
      <c r="F126">
        <v>78</v>
      </c>
      <c r="H126">
        <f>GETPIVOTDATA("Average of score",$A$3,"team","2681A")/GETPIVOTDATA("StdDev of score",$A$3,"team","2681A")</f>
        <v>1.3824033146460037</v>
      </c>
      <c r="I126">
        <f t="shared" si="6"/>
        <v>0.72337789515216333</v>
      </c>
      <c r="J126">
        <v>81.888888888888886</v>
      </c>
      <c r="K126">
        <f t="shared" si="7"/>
        <v>113.20347143267831</v>
      </c>
    </row>
    <row r="127" spans="1:11" x14ac:dyDescent="0.3">
      <c r="A127" s="9" t="s">
        <v>25</v>
      </c>
      <c r="B127">
        <v>460</v>
      </c>
      <c r="C127">
        <v>51.111111111111114</v>
      </c>
      <c r="D127">
        <v>25.954019170662399</v>
      </c>
      <c r="E127">
        <v>7</v>
      </c>
      <c r="F127">
        <v>96</v>
      </c>
      <c r="H127">
        <f>GETPIVOTDATA("Average of score",$A$3,"team","7700H")/GETPIVOTDATA("StdDev of score",$A$3,"team","7700H")</f>
        <v>1.6909285683029647</v>
      </c>
      <c r="I127">
        <f t="shared" si="6"/>
        <v>0.59139103729474007</v>
      </c>
      <c r="J127">
        <v>58.777777777777779</v>
      </c>
      <c r="K127">
        <f t="shared" si="7"/>
        <v>99.389023625807596</v>
      </c>
    </row>
    <row r="128" spans="1:11" x14ac:dyDescent="0.3">
      <c r="A128" s="9" t="s">
        <v>588</v>
      </c>
      <c r="B128">
        <v>94312</v>
      </c>
      <c r="C128">
        <v>84.207142857142856</v>
      </c>
      <c r="D128">
        <v>33.301664261550741</v>
      </c>
      <c r="E128">
        <v>0</v>
      </c>
      <c r="F128">
        <v>223</v>
      </c>
    </row>
  </sheetData>
  <sortState xmlns:xlrd2="http://schemas.microsoft.com/office/spreadsheetml/2017/richdata2" ref="H4:K127">
    <sortCondition descending="1" ref="K4:K127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D48170-392D-4E5A-8FDA-CBBCAC0E8468}">
  <dimension ref="A1:E125"/>
  <sheetViews>
    <sheetView tabSelected="1" workbookViewId="0">
      <selection activeCell="E3" sqref="E3"/>
    </sheetView>
  </sheetViews>
  <sheetFormatPr defaultRowHeight="14.4" x14ac:dyDescent="0.3"/>
  <sheetData>
    <row r="1" spans="1:5" x14ac:dyDescent="0.3">
      <c r="A1" t="s">
        <v>622</v>
      </c>
      <c r="B1" t="s">
        <v>623</v>
      </c>
      <c r="C1" t="s">
        <v>624</v>
      </c>
      <c r="D1" t="s">
        <v>625</v>
      </c>
      <c r="E1" t="s">
        <v>621</v>
      </c>
    </row>
    <row r="2" spans="1:5" x14ac:dyDescent="0.3">
      <c r="A2" s="9" t="s">
        <v>408</v>
      </c>
      <c r="B2">
        <v>96.666666666666671</v>
      </c>
      <c r="C2">
        <v>11.704699910719626</v>
      </c>
      <c r="D2">
        <f t="shared" ref="D2:D33" si="0">C2/B2</f>
        <v>0.12108310252468578</v>
      </c>
      <c r="E2">
        <f t="shared" ref="E2:E33" si="1">B2/D2</f>
        <v>798.34976682199556</v>
      </c>
    </row>
    <row r="3" spans="1:5" x14ac:dyDescent="0.3">
      <c r="A3" s="9" t="s">
        <v>33</v>
      </c>
      <c r="B3">
        <v>123.11111111111111</v>
      </c>
      <c r="C3">
        <v>23.803594499804216</v>
      </c>
      <c r="D3">
        <f t="shared" si="0"/>
        <v>0.19335049683956493</v>
      </c>
      <c r="E3">
        <f t="shared" si="1"/>
        <v>636.72508280785098</v>
      </c>
    </row>
    <row r="4" spans="1:5" x14ac:dyDescent="0.3">
      <c r="A4" s="9" t="s">
        <v>43</v>
      </c>
      <c r="B4">
        <v>122.7</v>
      </c>
      <c r="C4">
        <v>23.898163574262831</v>
      </c>
      <c r="D4">
        <f t="shared" si="0"/>
        <v>0.19476905928494564</v>
      </c>
      <c r="E4">
        <f t="shared" si="1"/>
        <v>629.97685797974123</v>
      </c>
    </row>
    <row r="5" spans="1:5" x14ac:dyDescent="0.3">
      <c r="A5" s="9" t="s">
        <v>56</v>
      </c>
      <c r="B5">
        <v>125.11111111111111</v>
      </c>
      <c r="C5">
        <v>25.65367636638284</v>
      </c>
      <c r="D5">
        <f t="shared" si="0"/>
        <v>0.20504714680057332</v>
      </c>
      <c r="E5">
        <f t="shared" si="1"/>
        <v>610.15777621520795</v>
      </c>
    </row>
    <row r="6" spans="1:5" x14ac:dyDescent="0.3">
      <c r="A6" s="9" t="s">
        <v>18</v>
      </c>
      <c r="B6">
        <v>103.66666666666667</v>
      </c>
      <c r="C6">
        <v>19.96246477767713</v>
      </c>
      <c r="D6">
        <f t="shared" si="0"/>
        <v>0.19256396891649963</v>
      </c>
      <c r="E6">
        <f t="shared" si="1"/>
        <v>538.34924181282861</v>
      </c>
    </row>
    <row r="7" spans="1:5" x14ac:dyDescent="0.3">
      <c r="A7" s="9" t="s">
        <v>389</v>
      </c>
      <c r="B7">
        <v>95.777777777777771</v>
      </c>
      <c r="C7">
        <v>18.565948519923381</v>
      </c>
      <c r="D7">
        <f t="shared" si="0"/>
        <v>0.19384401006880561</v>
      </c>
      <c r="E7">
        <f t="shared" si="1"/>
        <v>494.0971750624696</v>
      </c>
    </row>
    <row r="8" spans="1:5" x14ac:dyDescent="0.3">
      <c r="A8" s="9" t="s">
        <v>32</v>
      </c>
      <c r="B8">
        <v>110.88888888888889</v>
      </c>
      <c r="C8">
        <v>26.577454940439864</v>
      </c>
      <c r="D8">
        <f t="shared" si="0"/>
        <v>0.23967644735867613</v>
      </c>
      <c r="E8">
        <f t="shared" si="1"/>
        <v>462.66076667493121</v>
      </c>
    </row>
    <row r="9" spans="1:5" x14ac:dyDescent="0.3">
      <c r="A9" s="9" t="s">
        <v>428</v>
      </c>
      <c r="B9">
        <v>107.77777777777777</v>
      </c>
      <c r="C9">
        <v>25.430187660425261</v>
      </c>
      <c r="D9">
        <f t="shared" si="0"/>
        <v>0.23595019478745088</v>
      </c>
      <c r="E9">
        <f t="shared" si="1"/>
        <v>456.7818978698719</v>
      </c>
    </row>
    <row r="10" spans="1:5" x14ac:dyDescent="0.3">
      <c r="A10" s="9" t="s">
        <v>436</v>
      </c>
      <c r="B10">
        <v>119.88888888888889</v>
      </c>
      <c r="C10">
        <v>31.742890717625439</v>
      </c>
      <c r="D10">
        <f t="shared" si="0"/>
        <v>0.2647692460228257</v>
      </c>
      <c r="E10">
        <f t="shared" si="1"/>
        <v>452.80519051881612</v>
      </c>
    </row>
    <row r="11" spans="1:5" x14ac:dyDescent="0.3">
      <c r="A11" s="9" t="s">
        <v>446</v>
      </c>
      <c r="B11">
        <v>133</v>
      </c>
      <c r="C11">
        <v>39.852854351978351</v>
      </c>
      <c r="D11">
        <f t="shared" si="0"/>
        <v>0.29964552144344625</v>
      </c>
      <c r="E11">
        <f t="shared" si="1"/>
        <v>443.85779356659538</v>
      </c>
    </row>
    <row r="12" spans="1:5" x14ac:dyDescent="0.3">
      <c r="A12" s="9" t="s">
        <v>27</v>
      </c>
      <c r="B12">
        <v>107.11111111111111</v>
      </c>
      <c r="C12">
        <v>26.040566643433689</v>
      </c>
      <c r="D12">
        <f t="shared" si="0"/>
        <v>0.24311732343454687</v>
      </c>
      <c r="E12">
        <f t="shared" si="1"/>
        <v>440.57375096903797</v>
      </c>
    </row>
    <row r="13" spans="1:5" x14ac:dyDescent="0.3">
      <c r="A13" s="9" t="s">
        <v>457</v>
      </c>
      <c r="B13">
        <v>107.11111111111111</v>
      </c>
      <c r="C13">
        <v>26.155517794742877</v>
      </c>
      <c r="D13">
        <f t="shared" si="0"/>
        <v>0.24419051883058701</v>
      </c>
      <c r="E13">
        <f t="shared" si="1"/>
        <v>438.6374689077179</v>
      </c>
    </row>
    <row r="14" spans="1:5" x14ac:dyDescent="0.3">
      <c r="A14" s="9" t="s">
        <v>421</v>
      </c>
      <c r="B14">
        <v>117.66666666666667</v>
      </c>
      <c r="C14">
        <v>31.780497164141408</v>
      </c>
      <c r="D14">
        <f t="shared" si="0"/>
        <v>0.27008921102669753</v>
      </c>
      <c r="E14">
        <f t="shared" si="1"/>
        <v>435.6585226761822</v>
      </c>
    </row>
    <row r="15" spans="1:5" x14ac:dyDescent="0.3">
      <c r="A15" s="9" t="s">
        <v>427</v>
      </c>
      <c r="B15">
        <v>119.77777777777777</v>
      </c>
      <c r="C15">
        <v>33.476774701939931</v>
      </c>
      <c r="D15">
        <f t="shared" si="0"/>
        <v>0.27949069788261538</v>
      </c>
      <c r="E15">
        <f t="shared" si="1"/>
        <v>428.55729612898892</v>
      </c>
    </row>
    <row r="16" spans="1:5" x14ac:dyDescent="0.3">
      <c r="A16" s="9" t="s">
        <v>414</v>
      </c>
      <c r="B16">
        <v>86.222222222222229</v>
      </c>
      <c r="C16">
        <v>17.73962920820064</v>
      </c>
      <c r="D16">
        <f t="shared" si="0"/>
        <v>0.20574312226005895</v>
      </c>
      <c r="E16">
        <f t="shared" si="1"/>
        <v>419.07705723080011</v>
      </c>
    </row>
    <row r="17" spans="1:5" x14ac:dyDescent="0.3">
      <c r="A17" s="9" t="s">
        <v>443</v>
      </c>
      <c r="B17">
        <v>85.111111111111114</v>
      </c>
      <c r="C17">
        <v>17.294829028097137</v>
      </c>
      <c r="D17">
        <f t="shared" si="0"/>
        <v>0.20320295202725094</v>
      </c>
      <c r="E17">
        <f t="shared" si="1"/>
        <v>418.84780837089966</v>
      </c>
    </row>
    <row r="18" spans="1:5" x14ac:dyDescent="0.3">
      <c r="A18" s="9" t="s">
        <v>437</v>
      </c>
      <c r="B18">
        <v>113.22222222222223</v>
      </c>
      <c r="C18">
        <v>32.209384415794808</v>
      </c>
      <c r="D18">
        <f t="shared" si="0"/>
        <v>0.28447935205314351</v>
      </c>
      <c r="E18">
        <f t="shared" si="1"/>
        <v>397.9980318609247</v>
      </c>
    </row>
    <row r="19" spans="1:5" x14ac:dyDescent="0.3">
      <c r="A19" s="9" t="s">
        <v>394</v>
      </c>
      <c r="B19">
        <v>94.555555555555557</v>
      </c>
      <c r="C19">
        <v>23.319043243190261</v>
      </c>
      <c r="D19">
        <f t="shared" si="0"/>
        <v>0.24661737860013203</v>
      </c>
      <c r="E19">
        <f t="shared" si="1"/>
        <v>383.40994496121425</v>
      </c>
    </row>
    <row r="20" spans="1:5" x14ac:dyDescent="0.3">
      <c r="A20" s="9" t="s">
        <v>396</v>
      </c>
      <c r="B20">
        <v>79.222222222222229</v>
      </c>
      <c r="C20">
        <v>16.976290656219465</v>
      </c>
      <c r="D20">
        <f t="shared" si="0"/>
        <v>0.21428697883025971</v>
      </c>
      <c r="E20">
        <f t="shared" si="1"/>
        <v>369.70152201816927</v>
      </c>
    </row>
    <row r="21" spans="1:5" x14ac:dyDescent="0.3">
      <c r="A21" s="9" t="s">
        <v>58</v>
      </c>
      <c r="B21">
        <v>92.222222222222229</v>
      </c>
      <c r="C21">
        <v>23.031379560166283</v>
      </c>
      <c r="D21">
        <f t="shared" si="0"/>
        <v>0.24973785065240545</v>
      </c>
      <c r="E21">
        <f t="shared" si="1"/>
        <v>369.27611085506055</v>
      </c>
    </row>
    <row r="22" spans="1:5" x14ac:dyDescent="0.3">
      <c r="A22" s="9" t="s">
        <v>442</v>
      </c>
      <c r="B22">
        <v>83.333333333333329</v>
      </c>
      <c r="C22">
        <v>19.05255888325765</v>
      </c>
      <c r="D22">
        <f t="shared" si="0"/>
        <v>0.22863070659909182</v>
      </c>
      <c r="E22">
        <f t="shared" si="1"/>
        <v>364.48880630658186</v>
      </c>
    </row>
    <row r="23" spans="1:5" x14ac:dyDescent="0.3">
      <c r="A23" s="9" t="s">
        <v>74</v>
      </c>
      <c r="B23">
        <v>100.44444444444444</v>
      </c>
      <c r="C23">
        <v>27.749374367321821</v>
      </c>
      <c r="D23">
        <f t="shared" si="0"/>
        <v>0.27626589524988537</v>
      </c>
      <c r="E23">
        <f t="shared" si="1"/>
        <v>363.57887879570296</v>
      </c>
    </row>
    <row r="24" spans="1:5" x14ac:dyDescent="0.3">
      <c r="A24" s="9" t="s">
        <v>104</v>
      </c>
      <c r="B24">
        <v>94.111111111111114</v>
      </c>
      <c r="C24">
        <v>24.435857077481675</v>
      </c>
      <c r="D24">
        <f t="shared" si="0"/>
        <v>0.25964901262967538</v>
      </c>
      <c r="E24">
        <f t="shared" si="1"/>
        <v>362.45510875613138</v>
      </c>
    </row>
    <row r="25" spans="1:5" x14ac:dyDescent="0.3">
      <c r="A25" s="9" t="s">
        <v>433</v>
      </c>
      <c r="B25">
        <v>96.2</v>
      </c>
      <c r="C25">
        <v>26.041846666044602</v>
      </c>
      <c r="D25">
        <f t="shared" si="0"/>
        <v>0.27070526679880041</v>
      </c>
      <c r="E25">
        <f t="shared" si="1"/>
        <v>355.3680397045984</v>
      </c>
    </row>
    <row r="26" spans="1:5" x14ac:dyDescent="0.3">
      <c r="A26" s="9" t="s">
        <v>70</v>
      </c>
      <c r="B26">
        <v>96.444444444444443</v>
      </c>
      <c r="C26">
        <v>26.349151367316885</v>
      </c>
      <c r="D26">
        <f t="shared" si="0"/>
        <v>0.27320548652747922</v>
      </c>
      <c r="E26">
        <f t="shared" si="1"/>
        <v>353.01064290575289</v>
      </c>
    </row>
    <row r="27" spans="1:5" x14ac:dyDescent="0.3">
      <c r="A27" s="9" t="s">
        <v>461</v>
      </c>
      <c r="B27">
        <v>87.888888888888886</v>
      </c>
      <c r="C27">
        <v>21.951335064435405</v>
      </c>
      <c r="D27">
        <f t="shared" si="0"/>
        <v>0.24976234586588958</v>
      </c>
      <c r="E27">
        <f t="shared" si="1"/>
        <v>351.89006807327559</v>
      </c>
    </row>
    <row r="28" spans="1:5" x14ac:dyDescent="0.3">
      <c r="A28" s="9" t="s">
        <v>455</v>
      </c>
      <c r="B28">
        <v>79.111111111111114</v>
      </c>
      <c r="C28">
        <v>18.162078931419479</v>
      </c>
      <c r="D28">
        <f t="shared" si="0"/>
        <v>0.22957684042524623</v>
      </c>
      <c r="E28">
        <f t="shared" si="1"/>
        <v>344.59534752971268</v>
      </c>
    </row>
    <row r="29" spans="1:5" x14ac:dyDescent="0.3">
      <c r="A29" s="9" t="s">
        <v>28</v>
      </c>
      <c r="B29">
        <v>107.33333333333333</v>
      </c>
      <c r="C29">
        <v>34.110115801621077</v>
      </c>
      <c r="D29">
        <f t="shared" si="0"/>
        <v>0.3177961099529914</v>
      </c>
      <c r="E29">
        <f t="shared" si="1"/>
        <v>337.74275383424339</v>
      </c>
    </row>
    <row r="30" spans="1:5" x14ac:dyDescent="0.3">
      <c r="A30" s="9" t="s">
        <v>401</v>
      </c>
      <c r="B30">
        <v>99.666666666666671</v>
      </c>
      <c r="C30">
        <v>29.563490998188964</v>
      </c>
      <c r="D30">
        <f t="shared" si="0"/>
        <v>0.29662365550022368</v>
      </c>
      <c r="E30">
        <f t="shared" si="1"/>
        <v>336.00377049696061</v>
      </c>
    </row>
    <row r="31" spans="1:5" x14ac:dyDescent="0.3">
      <c r="A31" s="9" t="s">
        <v>458</v>
      </c>
      <c r="B31">
        <v>81.444444444444443</v>
      </c>
      <c r="C31">
        <v>19.787060867591663</v>
      </c>
      <c r="D31">
        <f t="shared" si="0"/>
        <v>0.2429516341177694</v>
      </c>
      <c r="E31">
        <f t="shared" si="1"/>
        <v>335.22904565015074</v>
      </c>
    </row>
    <row r="32" spans="1:5" x14ac:dyDescent="0.3">
      <c r="A32" s="9" t="s">
        <v>92</v>
      </c>
      <c r="B32">
        <v>90.333333333333329</v>
      </c>
      <c r="C32">
        <v>24.494897427831781</v>
      </c>
      <c r="D32">
        <f t="shared" si="0"/>
        <v>0.27116122613835919</v>
      </c>
      <c r="E32">
        <f t="shared" si="1"/>
        <v>333.13514111062847</v>
      </c>
    </row>
    <row r="33" spans="1:5" x14ac:dyDescent="0.3">
      <c r="A33" s="9" t="s">
        <v>429</v>
      </c>
      <c r="B33">
        <v>91.888888888888886</v>
      </c>
      <c r="C33">
        <v>26.102894688350396</v>
      </c>
      <c r="D33">
        <f t="shared" si="0"/>
        <v>0.28407019612473228</v>
      </c>
      <c r="E33">
        <f t="shared" si="1"/>
        <v>323.47247315076106</v>
      </c>
    </row>
    <row r="34" spans="1:5" x14ac:dyDescent="0.3">
      <c r="A34" s="9" t="s">
        <v>453</v>
      </c>
      <c r="B34">
        <v>110.66666666666667</v>
      </c>
      <c r="C34">
        <v>38.226299847094801</v>
      </c>
      <c r="D34">
        <f t="shared" ref="D34:D65" si="2">C34/B34</f>
        <v>0.34541837211230242</v>
      </c>
      <c r="E34">
        <f t="shared" ref="E34:E65" si="3">B34/D34</f>
        <v>320.38442538512896</v>
      </c>
    </row>
    <row r="35" spans="1:5" x14ac:dyDescent="0.3">
      <c r="A35" s="9" t="s">
        <v>19</v>
      </c>
      <c r="B35">
        <v>87.222222222222229</v>
      </c>
      <c r="C35">
        <v>24.113159155209118</v>
      </c>
      <c r="D35">
        <f t="shared" si="2"/>
        <v>0.27645660177946757</v>
      </c>
      <c r="E35">
        <f t="shared" si="3"/>
        <v>315.50059452658809</v>
      </c>
    </row>
    <row r="36" spans="1:5" x14ac:dyDescent="0.3">
      <c r="A36" s="9" t="s">
        <v>50</v>
      </c>
      <c r="B36">
        <v>83.333333333333329</v>
      </c>
      <c r="C36">
        <v>22.516660498395403</v>
      </c>
      <c r="D36">
        <f t="shared" si="2"/>
        <v>0.27019992598074483</v>
      </c>
      <c r="E36">
        <f t="shared" si="3"/>
        <v>308.41360533633855</v>
      </c>
    </row>
    <row r="37" spans="1:5" x14ac:dyDescent="0.3">
      <c r="A37" s="9" t="s">
        <v>34</v>
      </c>
      <c r="B37">
        <v>100</v>
      </c>
      <c r="C37">
        <v>32.615180514600866</v>
      </c>
      <c r="D37">
        <f t="shared" si="2"/>
        <v>0.32615180514600867</v>
      </c>
      <c r="E37">
        <f t="shared" si="3"/>
        <v>306.60569226416794</v>
      </c>
    </row>
    <row r="38" spans="1:5" x14ac:dyDescent="0.3">
      <c r="A38" s="9" t="s">
        <v>404</v>
      </c>
      <c r="B38">
        <v>80.444444444444443</v>
      </c>
      <c r="C38">
        <v>21.107528935850766</v>
      </c>
      <c r="D38">
        <f t="shared" si="2"/>
        <v>0.26238640942355923</v>
      </c>
      <c r="E38">
        <f t="shared" si="3"/>
        <v>306.58769492358272</v>
      </c>
    </row>
    <row r="39" spans="1:5" x14ac:dyDescent="0.3">
      <c r="A39" s="9" t="s">
        <v>62</v>
      </c>
      <c r="B39">
        <v>86.888888888888886</v>
      </c>
      <c r="C39">
        <v>25.002222123465572</v>
      </c>
      <c r="D39">
        <f t="shared" si="2"/>
        <v>0.28774935947722524</v>
      </c>
      <c r="E39">
        <f t="shared" si="3"/>
        <v>301.96032076924905</v>
      </c>
    </row>
    <row r="40" spans="1:5" x14ac:dyDescent="0.3">
      <c r="A40" s="9" t="s">
        <v>94</v>
      </c>
      <c r="B40">
        <v>100.88888888888889</v>
      </c>
      <c r="C40">
        <v>33.758126593623516</v>
      </c>
      <c r="D40">
        <f t="shared" si="2"/>
        <v>0.33460698165485864</v>
      </c>
      <c r="E40">
        <f t="shared" si="3"/>
        <v>301.51459598937493</v>
      </c>
    </row>
    <row r="41" spans="1:5" x14ac:dyDescent="0.3">
      <c r="A41" s="9" t="s">
        <v>444</v>
      </c>
      <c r="B41">
        <v>99.777777777777771</v>
      </c>
      <c r="C41">
        <v>33.293309304490073</v>
      </c>
      <c r="D41">
        <f t="shared" si="2"/>
        <v>0.33367459213854195</v>
      </c>
      <c r="E41">
        <f t="shared" si="3"/>
        <v>299.02719634208756</v>
      </c>
    </row>
    <row r="42" spans="1:5" x14ac:dyDescent="0.3">
      <c r="A42" s="9" t="s">
        <v>88</v>
      </c>
      <c r="B42">
        <v>100</v>
      </c>
      <c r="C42">
        <v>33.963215395483388</v>
      </c>
      <c r="D42">
        <f t="shared" si="2"/>
        <v>0.33963215395483387</v>
      </c>
      <c r="E42">
        <f t="shared" si="3"/>
        <v>294.43619762014214</v>
      </c>
    </row>
    <row r="43" spans="1:5" x14ac:dyDescent="0.3">
      <c r="A43" s="9" t="s">
        <v>403</v>
      </c>
      <c r="B43">
        <v>90.666666666666671</v>
      </c>
      <c r="C43">
        <v>28.543825952384168</v>
      </c>
      <c r="D43">
        <f t="shared" si="2"/>
        <v>0.31482160976894302</v>
      </c>
      <c r="E43">
        <f t="shared" si="3"/>
        <v>287.99378395024928</v>
      </c>
    </row>
    <row r="44" spans="1:5" x14ac:dyDescent="0.3">
      <c r="A44" s="9" t="s">
        <v>393</v>
      </c>
      <c r="B44">
        <v>87.333333333333329</v>
      </c>
      <c r="C44">
        <v>26.846787517317598</v>
      </c>
      <c r="D44">
        <f t="shared" si="2"/>
        <v>0.30740596393875114</v>
      </c>
      <c r="E44">
        <f t="shared" si="3"/>
        <v>284.09771955736682</v>
      </c>
    </row>
    <row r="45" spans="1:5" x14ac:dyDescent="0.3">
      <c r="A45" s="9" t="s">
        <v>49</v>
      </c>
      <c r="B45">
        <v>95.222222222222229</v>
      </c>
      <c r="C45">
        <v>32.294650399786732</v>
      </c>
      <c r="D45">
        <f t="shared" si="2"/>
        <v>0.33915035425680345</v>
      </c>
      <c r="E45">
        <f t="shared" si="3"/>
        <v>280.766984398077</v>
      </c>
    </row>
    <row r="46" spans="1:5" x14ac:dyDescent="0.3">
      <c r="A46" s="9" t="s">
        <v>416</v>
      </c>
      <c r="B46">
        <v>104.11111111111111</v>
      </c>
      <c r="C46">
        <v>38.921216721874345</v>
      </c>
      <c r="D46">
        <f t="shared" si="2"/>
        <v>0.37384306349719221</v>
      </c>
      <c r="E46">
        <f t="shared" si="3"/>
        <v>278.48881329288878</v>
      </c>
    </row>
    <row r="47" spans="1:5" x14ac:dyDescent="0.3">
      <c r="A47" s="9" t="s">
        <v>441</v>
      </c>
      <c r="B47">
        <v>79.777777777777771</v>
      </c>
      <c r="C47">
        <v>22.993356528450654</v>
      </c>
      <c r="D47">
        <f t="shared" si="2"/>
        <v>0.28821756094158202</v>
      </c>
      <c r="E47">
        <f t="shared" si="3"/>
        <v>276.79707481095397</v>
      </c>
    </row>
    <row r="48" spans="1:5" x14ac:dyDescent="0.3">
      <c r="A48" s="9" t="s">
        <v>422</v>
      </c>
      <c r="B48">
        <v>92.777777777777771</v>
      </c>
      <c r="C48">
        <v>31.459409473867197</v>
      </c>
      <c r="D48">
        <f t="shared" si="2"/>
        <v>0.33908345540695184</v>
      </c>
      <c r="E48">
        <f t="shared" si="3"/>
        <v>273.61340194681657</v>
      </c>
    </row>
    <row r="49" spans="1:5" x14ac:dyDescent="0.3">
      <c r="A49" s="9" t="s">
        <v>40</v>
      </c>
      <c r="B49">
        <v>92.444444444444443</v>
      </c>
      <c r="C49">
        <v>31.460733903991773</v>
      </c>
      <c r="D49">
        <f t="shared" si="2"/>
        <v>0.34032043886529562</v>
      </c>
      <c r="E49">
        <f t="shared" si="3"/>
        <v>271.63941358525182</v>
      </c>
    </row>
    <row r="50" spans="1:5" x14ac:dyDescent="0.3">
      <c r="A50" s="9" t="s">
        <v>39</v>
      </c>
      <c r="B50">
        <v>90.333333333333329</v>
      </c>
      <c r="C50">
        <v>30.29026246172192</v>
      </c>
      <c r="D50">
        <f t="shared" si="2"/>
        <v>0.33531655861684784</v>
      </c>
      <c r="E50">
        <f t="shared" si="3"/>
        <v>269.39717413882158</v>
      </c>
    </row>
    <row r="51" spans="1:5" x14ac:dyDescent="0.3">
      <c r="A51" s="9" t="s">
        <v>73</v>
      </c>
      <c r="B51">
        <v>97.666666666666671</v>
      </c>
      <c r="C51">
        <v>35.563323804166565</v>
      </c>
      <c r="D51">
        <f t="shared" si="2"/>
        <v>0.36412959526450406</v>
      </c>
      <c r="E51">
        <f t="shared" si="3"/>
        <v>268.21952386408338</v>
      </c>
    </row>
    <row r="52" spans="1:5" x14ac:dyDescent="0.3">
      <c r="A52" s="9" t="s">
        <v>13</v>
      </c>
      <c r="B52">
        <v>89.222222222222229</v>
      </c>
      <c r="C52">
        <v>29.94068209718084</v>
      </c>
      <c r="D52">
        <f t="shared" si="2"/>
        <v>0.33557427008048263</v>
      </c>
      <c r="E52">
        <f t="shared" si="3"/>
        <v>265.87921118273925</v>
      </c>
    </row>
    <row r="53" spans="1:5" x14ac:dyDescent="0.3">
      <c r="A53" s="9" t="s">
        <v>12</v>
      </c>
      <c r="B53">
        <v>85.3</v>
      </c>
      <c r="C53">
        <v>28.075493465535633</v>
      </c>
      <c r="D53">
        <f t="shared" si="2"/>
        <v>0.32913825868154317</v>
      </c>
      <c r="E53">
        <f t="shared" si="3"/>
        <v>259.16160686300458</v>
      </c>
    </row>
    <row r="54" spans="1:5" x14ac:dyDescent="0.3">
      <c r="A54" s="9" t="s">
        <v>426</v>
      </c>
      <c r="B54">
        <v>102</v>
      </c>
      <c r="C54">
        <v>40.168395536789866</v>
      </c>
      <c r="D54">
        <f t="shared" si="2"/>
        <v>0.39380779938029281</v>
      </c>
      <c r="E54">
        <f t="shared" si="3"/>
        <v>259.00959849071074</v>
      </c>
    </row>
    <row r="55" spans="1:5" x14ac:dyDescent="0.3">
      <c r="A55" s="9" t="s">
        <v>448</v>
      </c>
      <c r="B55">
        <v>83.333333333333329</v>
      </c>
      <c r="C55">
        <v>26.818836663807772</v>
      </c>
      <c r="D55">
        <f t="shared" si="2"/>
        <v>0.32182603996569331</v>
      </c>
      <c r="E55">
        <f t="shared" si="3"/>
        <v>258.93906329710506</v>
      </c>
    </row>
    <row r="56" spans="1:5" x14ac:dyDescent="0.3">
      <c r="A56" s="9" t="s">
        <v>409</v>
      </c>
      <c r="B56">
        <v>81.888888888888886</v>
      </c>
      <c r="C56">
        <v>26.421792352357766</v>
      </c>
      <c r="D56">
        <f t="shared" si="2"/>
        <v>0.32265418069364982</v>
      </c>
      <c r="E56">
        <f t="shared" si="3"/>
        <v>253.7976997937611</v>
      </c>
    </row>
    <row r="57" spans="1:5" x14ac:dyDescent="0.3">
      <c r="A57" s="9" t="s">
        <v>75</v>
      </c>
      <c r="B57">
        <v>90</v>
      </c>
      <c r="C57">
        <v>32.32259271778797</v>
      </c>
      <c r="D57">
        <f t="shared" si="2"/>
        <v>0.35913991908653298</v>
      </c>
      <c r="E57">
        <f t="shared" si="3"/>
        <v>250.59870879548467</v>
      </c>
    </row>
    <row r="58" spans="1:5" x14ac:dyDescent="0.3">
      <c r="A58" s="9" t="s">
        <v>438</v>
      </c>
      <c r="B58">
        <v>86.111111111111114</v>
      </c>
      <c r="C58">
        <v>29.985181525398698</v>
      </c>
      <c r="D58">
        <f t="shared" si="2"/>
        <v>0.34821501126269455</v>
      </c>
      <c r="E58">
        <f t="shared" si="3"/>
        <v>247.29293202741513</v>
      </c>
    </row>
    <row r="59" spans="1:5" x14ac:dyDescent="0.3">
      <c r="A59" s="9" t="s">
        <v>81</v>
      </c>
      <c r="B59">
        <v>68.444444444444443</v>
      </c>
      <c r="C59">
        <v>19.013883816247994</v>
      </c>
      <c r="D59">
        <f t="shared" si="2"/>
        <v>0.27780025056206487</v>
      </c>
      <c r="E59">
        <f t="shared" si="3"/>
        <v>246.38006735401737</v>
      </c>
    </row>
    <row r="60" spans="1:5" x14ac:dyDescent="0.3">
      <c r="A60" s="9" t="s">
        <v>460</v>
      </c>
      <c r="B60">
        <v>91.555555555555557</v>
      </c>
      <c r="C60">
        <v>35.196275055434164</v>
      </c>
      <c r="D60">
        <f t="shared" si="2"/>
        <v>0.38442533434333431</v>
      </c>
      <c r="E60">
        <f t="shared" si="3"/>
        <v>238.162127665047</v>
      </c>
    </row>
    <row r="61" spans="1:5" x14ac:dyDescent="0.3">
      <c r="A61" s="9" t="s">
        <v>395</v>
      </c>
      <c r="B61">
        <v>85.222222222222229</v>
      </c>
      <c r="C61">
        <v>31.240109545973816</v>
      </c>
      <c r="D61">
        <f t="shared" si="2"/>
        <v>0.36657234147818035</v>
      </c>
      <c r="E61">
        <f t="shared" si="3"/>
        <v>232.48404906537377</v>
      </c>
    </row>
    <row r="62" spans="1:5" x14ac:dyDescent="0.3">
      <c r="A62" s="9" t="s">
        <v>398</v>
      </c>
      <c r="B62">
        <v>88.333333333333329</v>
      </c>
      <c r="C62">
        <v>33.622908856908857</v>
      </c>
      <c r="D62">
        <f t="shared" si="2"/>
        <v>0.38063670404047767</v>
      </c>
      <c r="E62">
        <f t="shared" si="3"/>
        <v>232.06730301011586</v>
      </c>
    </row>
    <row r="63" spans="1:5" x14ac:dyDescent="0.3">
      <c r="A63" s="9" t="s">
        <v>21</v>
      </c>
      <c r="B63">
        <v>88.111111111111114</v>
      </c>
      <c r="C63">
        <v>33.735902405465772</v>
      </c>
      <c r="D63">
        <f t="shared" si="2"/>
        <v>0.38287909413517268</v>
      </c>
      <c r="E63">
        <f t="shared" si="3"/>
        <v>230.12776738341353</v>
      </c>
    </row>
    <row r="64" spans="1:5" x14ac:dyDescent="0.3">
      <c r="A64" s="9" t="s">
        <v>399</v>
      </c>
      <c r="B64">
        <v>91</v>
      </c>
      <c r="C64">
        <v>37.735924528226413</v>
      </c>
      <c r="D64">
        <f t="shared" si="2"/>
        <v>0.41468048932116935</v>
      </c>
      <c r="E64">
        <f t="shared" si="3"/>
        <v>219.44606110831668</v>
      </c>
    </row>
    <row r="65" spans="1:5" x14ac:dyDescent="0.3">
      <c r="A65" s="9" t="s">
        <v>419</v>
      </c>
      <c r="B65">
        <v>85.111111111111114</v>
      </c>
      <c r="C65">
        <v>33.06979151901492</v>
      </c>
      <c r="D65">
        <f t="shared" si="2"/>
        <v>0.38854846432262957</v>
      </c>
      <c r="E65">
        <f t="shared" si="3"/>
        <v>219.04889332013795</v>
      </c>
    </row>
    <row r="66" spans="1:5" x14ac:dyDescent="0.3">
      <c r="A66" s="9" t="s">
        <v>412</v>
      </c>
      <c r="B66">
        <v>80.111111111111114</v>
      </c>
      <c r="C66">
        <v>29.763419009097582</v>
      </c>
      <c r="D66">
        <f t="shared" ref="D66:D97" si="4">C66/B66</f>
        <v>0.37152672826890182</v>
      </c>
      <c r="E66">
        <f t="shared" ref="E66:E97" si="5">B66/D66</f>
        <v>215.62677733680761</v>
      </c>
    </row>
    <row r="67" spans="1:5" x14ac:dyDescent="0.3">
      <c r="A67" s="9" t="s">
        <v>57</v>
      </c>
      <c r="B67">
        <v>87.888888888888886</v>
      </c>
      <c r="C67">
        <v>36.088240620888008</v>
      </c>
      <c r="D67">
        <f t="shared" si="4"/>
        <v>0.41061209303159557</v>
      </c>
      <c r="E67">
        <f t="shared" si="5"/>
        <v>214.04359584247817</v>
      </c>
    </row>
    <row r="68" spans="1:5" x14ac:dyDescent="0.3">
      <c r="A68" s="9" t="s">
        <v>413</v>
      </c>
      <c r="B68">
        <v>81.777777777777771</v>
      </c>
      <c r="C68">
        <v>31.332003517879993</v>
      </c>
      <c r="D68">
        <f t="shared" si="4"/>
        <v>0.38313591258277169</v>
      </c>
      <c r="E68">
        <f t="shared" si="5"/>
        <v>213.44325888560684</v>
      </c>
    </row>
    <row r="69" spans="1:5" x14ac:dyDescent="0.3">
      <c r="A69" s="9" t="s">
        <v>11</v>
      </c>
      <c r="B69">
        <v>92.888888888888886</v>
      </c>
      <c r="C69">
        <v>40.513715098854007</v>
      </c>
      <c r="D69">
        <f t="shared" si="4"/>
        <v>0.43615243527474412</v>
      </c>
      <c r="E69">
        <f t="shared" si="5"/>
        <v>212.97345005164462</v>
      </c>
    </row>
    <row r="70" spans="1:5" x14ac:dyDescent="0.3">
      <c r="A70" s="9" t="s">
        <v>423</v>
      </c>
      <c r="B70">
        <v>72.444444444444443</v>
      </c>
      <c r="C70">
        <v>24.764445840312629</v>
      </c>
      <c r="D70">
        <f t="shared" si="4"/>
        <v>0.34184051006566513</v>
      </c>
      <c r="E70">
        <f t="shared" si="5"/>
        <v>211.92469093416804</v>
      </c>
    </row>
    <row r="71" spans="1:5" x14ac:dyDescent="0.3">
      <c r="A71" s="9" t="s">
        <v>97</v>
      </c>
      <c r="B71">
        <v>81.555555555555557</v>
      </c>
      <c r="C71">
        <v>31.650873254584578</v>
      </c>
      <c r="D71">
        <f t="shared" si="4"/>
        <v>0.38808972655485174</v>
      </c>
      <c r="E71">
        <f t="shared" si="5"/>
        <v>210.14613367774547</v>
      </c>
    </row>
    <row r="72" spans="1:5" x14ac:dyDescent="0.3">
      <c r="A72" s="9" t="s">
        <v>26</v>
      </c>
      <c r="B72">
        <v>77.555555555555557</v>
      </c>
      <c r="C72">
        <v>28.766782541288439</v>
      </c>
      <c r="D72">
        <f t="shared" si="4"/>
        <v>0.37091839952950706</v>
      </c>
      <c r="E72">
        <f t="shared" si="5"/>
        <v>209.09061306727091</v>
      </c>
    </row>
    <row r="73" spans="1:5" x14ac:dyDescent="0.3">
      <c r="A73" s="9" t="s">
        <v>51</v>
      </c>
      <c r="B73">
        <v>87.333333333333329</v>
      </c>
      <c r="C73">
        <v>36.520542164650294</v>
      </c>
      <c r="D73">
        <f t="shared" si="4"/>
        <v>0.41817414692347665</v>
      </c>
      <c r="E73">
        <f t="shared" si="5"/>
        <v>208.84441081747408</v>
      </c>
    </row>
    <row r="74" spans="1:5" x14ac:dyDescent="0.3">
      <c r="A74" s="9" t="s">
        <v>52</v>
      </c>
      <c r="B74">
        <v>73.444444444444443</v>
      </c>
      <c r="C74">
        <v>26.287407209113976</v>
      </c>
      <c r="D74">
        <f t="shared" si="4"/>
        <v>0.3579223371891464</v>
      </c>
      <c r="E74">
        <f t="shared" si="5"/>
        <v>205.19659382317971</v>
      </c>
    </row>
    <row r="75" spans="1:5" x14ac:dyDescent="0.3">
      <c r="A75" s="9" t="s">
        <v>452</v>
      </c>
      <c r="B75">
        <v>63.333333333333336</v>
      </c>
      <c r="C75">
        <v>19.608671551127578</v>
      </c>
      <c r="D75">
        <f t="shared" si="4"/>
        <v>0.30961060343885649</v>
      </c>
      <c r="E75">
        <f t="shared" si="5"/>
        <v>204.55802427270785</v>
      </c>
    </row>
    <row r="76" spans="1:5" x14ac:dyDescent="0.3">
      <c r="A76" s="9" t="s">
        <v>91</v>
      </c>
      <c r="B76">
        <v>75.333333333333329</v>
      </c>
      <c r="C76">
        <v>28.341665441536776</v>
      </c>
      <c r="D76">
        <f t="shared" si="4"/>
        <v>0.37621679789650592</v>
      </c>
      <c r="E76">
        <f t="shared" si="5"/>
        <v>200.23915400517788</v>
      </c>
    </row>
    <row r="77" spans="1:5" x14ac:dyDescent="0.3">
      <c r="A77" s="9" t="s">
        <v>392</v>
      </c>
      <c r="B77">
        <v>77.888888888888886</v>
      </c>
      <c r="C77">
        <v>30.448499324451301</v>
      </c>
      <c r="D77">
        <f t="shared" si="4"/>
        <v>0.3909222452497314</v>
      </c>
      <c r="E77">
        <f t="shared" si="5"/>
        <v>199.24394130892043</v>
      </c>
    </row>
    <row r="78" spans="1:5" x14ac:dyDescent="0.3">
      <c r="A78" s="9" t="s">
        <v>85</v>
      </c>
      <c r="B78">
        <v>80.222222222222229</v>
      </c>
      <c r="C78">
        <v>32.526057929673009</v>
      </c>
      <c r="D78">
        <f t="shared" si="4"/>
        <v>0.40544947557764133</v>
      </c>
      <c r="E78">
        <f t="shared" si="5"/>
        <v>197.85997283121438</v>
      </c>
    </row>
    <row r="79" spans="1:5" x14ac:dyDescent="0.3">
      <c r="A79" s="9" t="s">
        <v>64</v>
      </c>
      <c r="B79">
        <v>82.333333333333329</v>
      </c>
      <c r="C79">
        <v>34.278273002005221</v>
      </c>
      <c r="D79">
        <f t="shared" si="4"/>
        <v>0.41633529961949661</v>
      </c>
      <c r="E79">
        <f t="shared" si="5"/>
        <v>197.7572725843344</v>
      </c>
    </row>
    <row r="80" spans="1:5" x14ac:dyDescent="0.3">
      <c r="A80" s="9" t="s">
        <v>411</v>
      </c>
      <c r="B80">
        <v>78.111111111111114</v>
      </c>
      <c r="C80">
        <v>30.993726963873048</v>
      </c>
      <c r="D80">
        <f t="shared" si="4"/>
        <v>0.39679024562568621</v>
      </c>
      <c r="E80">
        <f t="shared" si="5"/>
        <v>196.85743783328175</v>
      </c>
    </row>
    <row r="81" spans="1:5" x14ac:dyDescent="0.3">
      <c r="A81" s="9" t="s">
        <v>63</v>
      </c>
      <c r="B81">
        <v>80.111111111111114</v>
      </c>
      <c r="C81">
        <v>32.601550747029066</v>
      </c>
      <c r="D81">
        <f t="shared" si="4"/>
        <v>0.40695417021256808</v>
      </c>
      <c r="E81">
        <f t="shared" si="5"/>
        <v>196.85536351492834</v>
      </c>
    </row>
    <row r="82" spans="1:5" x14ac:dyDescent="0.3">
      <c r="A82" s="9" t="s">
        <v>456</v>
      </c>
      <c r="B82">
        <v>58.333333333333336</v>
      </c>
      <c r="C82">
        <v>17.406895185529212</v>
      </c>
      <c r="D82">
        <f t="shared" si="4"/>
        <v>0.29840391746621503</v>
      </c>
      <c r="E82">
        <f t="shared" si="5"/>
        <v>195.48447563506861</v>
      </c>
    </row>
    <row r="83" spans="1:5" x14ac:dyDescent="0.3">
      <c r="A83" s="9" t="s">
        <v>397</v>
      </c>
      <c r="B83">
        <v>71</v>
      </c>
      <c r="C83">
        <v>26.386023236217735</v>
      </c>
      <c r="D83">
        <f t="shared" si="4"/>
        <v>0.37163413008757373</v>
      </c>
      <c r="E83">
        <f t="shared" si="5"/>
        <v>191.04811493839171</v>
      </c>
    </row>
    <row r="84" spans="1:5" x14ac:dyDescent="0.3">
      <c r="A84" s="9" t="s">
        <v>390</v>
      </c>
      <c r="B84">
        <v>72</v>
      </c>
      <c r="C84">
        <v>27.294688127912362</v>
      </c>
      <c r="D84">
        <f t="shared" si="4"/>
        <v>0.37909289066544949</v>
      </c>
      <c r="E84">
        <f t="shared" si="5"/>
        <v>189.92706477194318</v>
      </c>
    </row>
    <row r="85" spans="1:5" x14ac:dyDescent="0.3">
      <c r="A85" s="9" t="s">
        <v>407</v>
      </c>
      <c r="B85">
        <v>75.555555555555557</v>
      </c>
      <c r="C85">
        <v>30.154233165142458</v>
      </c>
      <c r="D85">
        <f t="shared" si="4"/>
        <v>0.39910014483276779</v>
      </c>
      <c r="E85">
        <f t="shared" si="5"/>
        <v>189.31477859326532</v>
      </c>
    </row>
    <row r="86" spans="1:5" x14ac:dyDescent="0.3">
      <c r="A86" s="9" t="s">
        <v>98</v>
      </c>
      <c r="B86">
        <v>73.555555555555557</v>
      </c>
      <c r="C86">
        <v>28.583697762497025</v>
      </c>
      <c r="D86">
        <f t="shared" si="4"/>
        <v>0.38860012063817706</v>
      </c>
      <c r="E86">
        <f t="shared" si="5"/>
        <v>189.28340895715428</v>
      </c>
    </row>
    <row r="87" spans="1:5" x14ac:dyDescent="0.3">
      <c r="A87" s="9" t="s">
        <v>388</v>
      </c>
      <c r="B87">
        <v>70.222222222222229</v>
      </c>
      <c r="C87">
        <v>26.209625034411392</v>
      </c>
      <c r="D87">
        <f t="shared" si="4"/>
        <v>0.37323833118623811</v>
      </c>
      <c r="E87">
        <f t="shared" si="5"/>
        <v>188.14311488061716</v>
      </c>
    </row>
    <row r="88" spans="1:5" x14ac:dyDescent="0.3">
      <c r="A88" s="9" t="s">
        <v>87</v>
      </c>
      <c r="B88">
        <v>53.222222222222221</v>
      </c>
      <c r="C88">
        <v>15.2870678825092</v>
      </c>
      <c r="D88">
        <f t="shared" si="4"/>
        <v>0.28723092054818955</v>
      </c>
      <c r="E88">
        <f t="shared" si="5"/>
        <v>185.29419507010553</v>
      </c>
    </row>
    <row r="89" spans="1:5" x14ac:dyDescent="0.3">
      <c r="A89" s="9" t="s">
        <v>451</v>
      </c>
      <c r="B89">
        <v>58.777777777777779</v>
      </c>
      <c r="C89">
        <v>18.793468132424209</v>
      </c>
      <c r="D89">
        <f t="shared" si="4"/>
        <v>0.31973764308472191</v>
      </c>
      <c r="E89">
        <f t="shared" si="5"/>
        <v>183.83127244796523</v>
      </c>
    </row>
    <row r="90" spans="1:5" x14ac:dyDescent="0.3">
      <c r="A90" s="9" t="s">
        <v>418</v>
      </c>
      <c r="B90">
        <v>75.444444444444443</v>
      </c>
      <c r="C90">
        <v>31.044770538333463</v>
      </c>
      <c r="D90">
        <f t="shared" si="4"/>
        <v>0.41149180389543621</v>
      </c>
      <c r="E90">
        <f t="shared" si="5"/>
        <v>183.34373547720907</v>
      </c>
    </row>
    <row r="91" spans="1:5" x14ac:dyDescent="0.3">
      <c r="A91" s="9" t="s">
        <v>424</v>
      </c>
      <c r="B91">
        <v>71.666666666666671</v>
      </c>
      <c r="C91">
        <v>29.180472922829747</v>
      </c>
      <c r="D91">
        <f t="shared" si="4"/>
        <v>0.40716938962088017</v>
      </c>
      <c r="E91">
        <f t="shared" si="5"/>
        <v>176.01192155774842</v>
      </c>
    </row>
    <row r="92" spans="1:5" x14ac:dyDescent="0.3">
      <c r="A92" s="9" t="s">
        <v>68</v>
      </c>
      <c r="B92">
        <v>59.333333333333336</v>
      </c>
      <c r="C92">
        <v>20.229928324143909</v>
      </c>
      <c r="D92">
        <f t="shared" si="4"/>
        <v>0.34095384815972879</v>
      </c>
      <c r="E92">
        <f t="shared" si="5"/>
        <v>174.02159750822662</v>
      </c>
    </row>
    <row r="93" spans="1:5" x14ac:dyDescent="0.3">
      <c r="A93" s="9" t="s">
        <v>44</v>
      </c>
      <c r="B93">
        <v>77.555555555555557</v>
      </c>
      <c r="C93">
        <v>34.684690827190281</v>
      </c>
      <c r="D93">
        <f t="shared" si="4"/>
        <v>0.44722380722738181</v>
      </c>
      <c r="E93">
        <f t="shared" si="5"/>
        <v>173.4155344644343</v>
      </c>
    </row>
    <row r="94" spans="1:5" x14ac:dyDescent="0.3">
      <c r="A94" s="9" t="s">
        <v>46</v>
      </c>
      <c r="B94">
        <v>80.555555555555557</v>
      </c>
      <c r="C94">
        <v>37.606884712480202</v>
      </c>
      <c r="D94">
        <f t="shared" si="4"/>
        <v>0.46684408608596112</v>
      </c>
      <c r="E94">
        <f t="shared" si="5"/>
        <v>172.55344547884596</v>
      </c>
    </row>
    <row r="95" spans="1:5" x14ac:dyDescent="0.3">
      <c r="A95" s="9" t="s">
        <v>79</v>
      </c>
      <c r="B95">
        <v>80.666666666666671</v>
      </c>
      <c r="C95">
        <v>37.802116342871599</v>
      </c>
      <c r="D95">
        <f t="shared" si="4"/>
        <v>0.46862127697774708</v>
      </c>
      <c r="E95">
        <f t="shared" si="5"/>
        <v>172.13615904703619</v>
      </c>
    </row>
    <row r="96" spans="1:5" x14ac:dyDescent="0.3">
      <c r="A96" s="9" t="s">
        <v>80</v>
      </c>
      <c r="B96">
        <v>73.666666666666671</v>
      </c>
      <c r="C96">
        <v>31.622776601683793</v>
      </c>
      <c r="D96">
        <f t="shared" si="4"/>
        <v>0.42926846065634106</v>
      </c>
      <c r="E96">
        <f t="shared" si="5"/>
        <v>171.6097813336487</v>
      </c>
    </row>
    <row r="97" spans="1:5" x14ac:dyDescent="0.3">
      <c r="A97" s="9" t="s">
        <v>86</v>
      </c>
      <c r="B97">
        <v>90.555555555555557</v>
      </c>
      <c r="C97">
        <v>48.487398133719005</v>
      </c>
      <c r="D97">
        <f t="shared" si="4"/>
        <v>0.53544366037235713</v>
      </c>
      <c r="E97">
        <f t="shared" si="5"/>
        <v>169.12247218051215</v>
      </c>
    </row>
    <row r="98" spans="1:5" x14ac:dyDescent="0.3">
      <c r="A98" s="9" t="s">
        <v>45</v>
      </c>
      <c r="B98">
        <v>77.111111111111114</v>
      </c>
      <c r="C98">
        <v>35.533239524579116</v>
      </c>
      <c r="D98">
        <f t="shared" ref="D98:D129" si="6">C98/B98</f>
        <v>0.46080569988647269</v>
      </c>
      <c r="E98">
        <f t="shared" ref="E98:E129" si="7">B98/D98</f>
        <v>167.33975107102353</v>
      </c>
    </row>
    <row r="99" spans="1:5" x14ac:dyDescent="0.3">
      <c r="A99" s="9" t="s">
        <v>31</v>
      </c>
      <c r="B99">
        <v>73.666666666666671</v>
      </c>
      <c r="C99">
        <v>32.905166767545794</v>
      </c>
      <c r="D99">
        <f t="shared" si="6"/>
        <v>0.44667647195763516</v>
      </c>
      <c r="E99">
        <f t="shared" si="7"/>
        <v>164.92175274827002</v>
      </c>
    </row>
    <row r="100" spans="1:5" x14ac:dyDescent="0.3">
      <c r="A100" s="9" t="s">
        <v>61</v>
      </c>
      <c r="B100">
        <v>70.777777777777771</v>
      </c>
      <c r="C100">
        <v>31.151957313216201</v>
      </c>
      <c r="D100">
        <f t="shared" si="6"/>
        <v>0.44013754445674386</v>
      </c>
      <c r="E100">
        <f t="shared" si="7"/>
        <v>160.80831701176021</v>
      </c>
    </row>
    <row r="101" spans="1:5" x14ac:dyDescent="0.3">
      <c r="A101" s="9" t="s">
        <v>387</v>
      </c>
      <c r="B101">
        <v>68.111111111111114</v>
      </c>
      <c r="C101">
        <v>28.937192522964477</v>
      </c>
      <c r="D101">
        <f t="shared" si="6"/>
        <v>0.42485274503536752</v>
      </c>
      <c r="E101">
        <f t="shared" si="7"/>
        <v>160.31698490130057</v>
      </c>
    </row>
    <row r="102" spans="1:5" x14ac:dyDescent="0.3">
      <c r="A102" s="9" t="s">
        <v>434</v>
      </c>
      <c r="B102">
        <v>74.444444444444443</v>
      </c>
      <c r="C102">
        <v>34.853662329485225</v>
      </c>
      <c r="D102">
        <f t="shared" si="6"/>
        <v>0.46818352382890599</v>
      </c>
      <c r="E102">
        <f t="shared" si="7"/>
        <v>159.00697195753855</v>
      </c>
    </row>
    <row r="103" spans="1:5" x14ac:dyDescent="0.3">
      <c r="A103" s="9" t="s">
        <v>76</v>
      </c>
      <c r="B103">
        <v>70.666666666666671</v>
      </c>
      <c r="C103">
        <v>31.709619991415853</v>
      </c>
      <c r="D103">
        <f t="shared" si="6"/>
        <v>0.44872103761437526</v>
      </c>
      <c r="E103">
        <f t="shared" si="7"/>
        <v>157.48463018887168</v>
      </c>
    </row>
    <row r="104" spans="1:5" x14ac:dyDescent="0.3">
      <c r="A104" s="9" t="s">
        <v>82</v>
      </c>
      <c r="B104">
        <v>66.111111111111114</v>
      </c>
      <c r="C104">
        <v>28.010910572687767</v>
      </c>
      <c r="D104">
        <f t="shared" si="6"/>
        <v>0.42369444563729391</v>
      </c>
      <c r="E104">
        <f t="shared" si="7"/>
        <v>156.03487794528681</v>
      </c>
    </row>
    <row r="105" spans="1:5" x14ac:dyDescent="0.3">
      <c r="A105" s="9" t="s">
        <v>454</v>
      </c>
      <c r="B105">
        <v>91.777777777777771</v>
      </c>
      <c r="C105">
        <v>54.27655520060614</v>
      </c>
      <c r="D105">
        <f t="shared" si="6"/>
        <v>0.59139103729474007</v>
      </c>
      <c r="E105">
        <f t="shared" si="7"/>
        <v>155.1896663798054</v>
      </c>
    </row>
    <row r="106" spans="1:5" x14ac:dyDescent="0.3">
      <c r="A106" s="9" t="s">
        <v>402</v>
      </c>
      <c r="B106">
        <v>70.111111111111114</v>
      </c>
      <c r="C106">
        <v>32.044673677712986</v>
      </c>
      <c r="D106">
        <f t="shared" si="6"/>
        <v>0.45705556751096171</v>
      </c>
      <c r="E106">
        <f t="shared" si="7"/>
        <v>153.3973461759212</v>
      </c>
    </row>
    <row r="107" spans="1:5" x14ac:dyDescent="0.3">
      <c r="A107" s="9" t="s">
        <v>55</v>
      </c>
      <c r="B107">
        <v>62.777777777777779</v>
      </c>
      <c r="C107">
        <v>25.883285039663036</v>
      </c>
      <c r="D107">
        <f t="shared" si="6"/>
        <v>0.41230011567604835</v>
      </c>
      <c r="E107">
        <f t="shared" si="7"/>
        <v>152.26233365188628</v>
      </c>
    </row>
    <row r="108" spans="1:5" x14ac:dyDescent="0.3">
      <c r="A108" s="9" t="s">
        <v>417</v>
      </c>
      <c r="B108">
        <v>75.222222222222229</v>
      </c>
      <c r="C108">
        <v>38.25499241202963</v>
      </c>
      <c r="D108">
        <f t="shared" si="6"/>
        <v>0.50855972187336285</v>
      </c>
      <c r="E108">
        <f t="shared" si="7"/>
        <v>147.91226868130428</v>
      </c>
    </row>
    <row r="109" spans="1:5" x14ac:dyDescent="0.3">
      <c r="A109" s="9" t="s">
        <v>447</v>
      </c>
      <c r="B109">
        <v>75.333333333333329</v>
      </c>
      <c r="C109">
        <v>38.464269133833803</v>
      </c>
      <c r="D109">
        <f t="shared" si="6"/>
        <v>0.51058764336947526</v>
      </c>
      <c r="E109">
        <f t="shared" si="7"/>
        <v>147.54241374936694</v>
      </c>
    </row>
    <row r="110" spans="1:5" x14ac:dyDescent="0.3">
      <c r="A110" s="9" t="s">
        <v>432</v>
      </c>
      <c r="B110">
        <v>67</v>
      </c>
      <c r="C110">
        <v>31.368774282716245</v>
      </c>
      <c r="D110">
        <f t="shared" si="6"/>
        <v>0.46819066093606337</v>
      </c>
      <c r="E110">
        <f t="shared" si="7"/>
        <v>143.10409324706626</v>
      </c>
    </row>
    <row r="111" spans="1:5" x14ac:dyDescent="0.3">
      <c r="A111" s="9" t="s">
        <v>449</v>
      </c>
      <c r="B111">
        <v>67.444444444444443</v>
      </c>
      <c r="C111">
        <v>32.361671430533022</v>
      </c>
      <c r="D111">
        <f t="shared" si="6"/>
        <v>0.47982708875584384</v>
      </c>
      <c r="E111">
        <f t="shared" si="7"/>
        <v>140.55989339685448</v>
      </c>
    </row>
    <row r="112" spans="1:5" x14ac:dyDescent="0.3">
      <c r="A112" s="9" t="s">
        <v>69</v>
      </c>
      <c r="B112">
        <v>59.666666666666664</v>
      </c>
      <c r="C112">
        <v>25.86986664055306</v>
      </c>
      <c r="D112">
        <f t="shared" si="6"/>
        <v>0.4335731839198837</v>
      </c>
      <c r="E112">
        <f t="shared" si="7"/>
        <v>137.61613697421831</v>
      </c>
    </row>
    <row r="113" spans="1:5" x14ac:dyDescent="0.3">
      <c r="A113" s="9" t="s">
        <v>103</v>
      </c>
      <c r="B113">
        <v>76.444444444444443</v>
      </c>
      <c r="C113">
        <v>42.465018283026531</v>
      </c>
      <c r="D113">
        <f t="shared" si="6"/>
        <v>0.55550169265587035</v>
      </c>
      <c r="E113">
        <f t="shared" si="7"/>
        <v>137.61334205654936</v>
      </c>
    </row>
    <row r="114" spans="1:5" x14ac:dyDescent="0.3">
      <c r="A114" s="9" t="s">
        <v>431</v>
      </c>
      <c r="B114">
        <v>55</v>
      </c>
      <c r="C114">
        <v>22.107690969434145</v>
      </c>
      <c r="D114">
        <f t="shared" si="6"/>
        <v>0.40195801762607536</v>
      </c>
      <c r="E114">
        <f t="shared" si="7"/>
        <v>136.83021009214994</v>
      </c>
    </row>
    <row r="115" spans="1:5" x14ac:dyDescent="0.3">
      <c r="A115" s="9" t="s">
        <v>20</v>
      </c>
      <c r="B115">
        <v>55.444444444444443</v>
      </c>
      <c r="C115">
        <v>22.633554245362742</v>
      </c>
      <c r="D115">
        <f t="shared" si="6"/>
        <v>0.40822041725103142</v>
      </c>
      <c r="E115">
        <f t="shared" si="7"/>
        <v>135.81987108290417</v>
      </c>
    </row>
    <row r="116" spans="1:5" x14ac:dyDescent="0.3">
      <c r="A116" s="9" t="s">
        <v>37</v>
      </c>
      <c r="B116">
        <v>68.444444444444443</v>
      </c>
      <c r="C116">
        <v>36.128628229947751</v>
      </c>
      <c r="D116">
        <f t="shared" si="6"/>
        <v>0.5278533345284574</v>
      </c>
      <c r="E116">
        <f t="shared" si="7"/>
        <v>129.66564757156894</v>
      </c>
    </row>
    <row r="117" spans="1:5" x14ac:dyDescent="0.3">
      <c r="A117" s="9" t="s">
        <v>67</v>
      </c>
      <c r="B117">
        <v>57.111111111111114</v>
      </c>
      <c r="C117">
        <v>25.290534021865007</v>
      </c>
      <c r="D117">
        <f t="shared" si="6"/>
        <v>0.44283036225055455</v>
      </c>
      <c r="E117">
        <f t="shared" si="7"/>
        <v>128.96837249564541</v>
      </c>
    </row>
    <row r="118" spans="1:5" x14ac:dyDescent="0.3">
      <c r="A118" s="9" t="s">
        <v>38</v>
      </c>
      <c r="B118">
        <v>58.444444444444443</v>
      </c>
      <c r="C118">
        <v>27.600322059312603</v>
      </c>
      <c r="D118">
        <f t="shared" si="6"/>
        <v>0.4722488565281624</v>
      </c>
      <c r="E118">
        <f t="shared" si="7"/>
        <v>123.75772569172781</v>
      </c>
    </row>
    <row r="119" spans="1:5" x14ac:dyDescent="0.3">
      <c r="A119" s="9" t="s">
        <v>99</v>
      </c>
      <c r="B119">
        <v>52.555555555555557</v>
      </c>
      <c r="C119">
        <v>23.436675911437991</v>
      </c>
      <c r="D119">
        <f t="shared" si="6"/>
        <v>0.44594097928740362</v>
      </c>
      <c r="E119">
        <f t="shared" si="7"/>
        <v>117.85316442444311</v>
      </c>
    </row>
    <row r="120" spans="1:5" x14ac:dyDescent="0.3">
      <c r="A120" s="9" t="s">
        <v>14</v>
      </c>
      <c r="B120">
        <v>73.666666666666671</v>
      </c>
      <c r="C120">
        <v>46.11398920067532</v>
      </c>
      <c r="D120">
        <f t="shared" si="6"/>
        <v>0.62598175385532107</v>
      </c>
      <c r="E120">
        <f t="shared" si="7"/>
        <v>117.68181135147391</v>
      </c>
    </row>
    <row r="121" spans="1:5" x14ac:dyDescent="0.3">
      <c r="A121" s="9" t="s">
        <v>439</v>
      </c>
      <c r="B121">
        <v>59.333333333333336</v>
      </c>
      <c r="C121">
        <v>30.174492539229224</v>
      </c>
      <c r="D121">
        <f t="shared" si="6"/>
        <v>0.50855886302071729</v>
      </c>
      <c r="E121">
        <f t="shared" si="7"/>
        <v>116.66954928463464</v>
      </c>
    </row>
    <row r="122" spans="1:5" x14ac:dyDescent="0.3">
      <c r="A122" s="9" t="s">
        <v>93</v>
      </c>
      <c r="B122">
        <v>66.222222222222229</v>
      </c>
      <c r="C122">
        <v>37.738500824018494</v>
      </c>
      <c r="D122">
        <f t="shared" si="6"/>
        <v>0.56987669029558119</v>
      </c>
      <c r="E122">
        <f t="shared" si="7"/>
        <v>116.20447607336664</v>
      </c>
    </row>
    <row r="123" spans="1:5" x14ac:dyDescent="0.3">
      <c r="A123" s="9" t="s">
        <v>406</v>
      </c>
      <c r="B123">
        <v>80.444444444444443</v>
      </c>
      <c r="C123">
        <v>58.191732898907361</v>
      </c>
      <c r="D123">
        <f t="shared" si="6"/>
        <v>0.72337789515216333</v>
      </c>
      <c r="E123">
        <f t="shared" si="7"/>
        <v>111.2066666448563</v>
      </c>
    </row>
    <row r="124" spans="1:5" x14ac:dyDescent="0.3">
      <c r="A124" s="9" t="s">
        <v>100</v>
      </c>
      <c r="B124">
        <v>54.333333333333336</v>
      </c>
      <c r="C124">
        <v>28.674901917879335</v>
      </c>
      <c r="D124">
        <f t="shared" si="6"/>
        <v>0.52775893100391413</v>
      </c>
      <c r="E124">
        <f t="shared" si="7"/>
        <v>102.95104476958699</v>
      </c>
    </row>
    <row r="125" spans="1:5" x14ac:dyDescent="0.3">
      <c r="A125" s="9" t="s">
        <v>25</v>
      </c>
      <c r="B125">
        <v>51.111111111111114</v>
      </c>
      <c r="C125">
        <v>25.954019170662399</v>
      </c>
      <c r="D125">
        <f t="shared" si="6"/>
        <v>0.50779602725209039</v>
      </c>
      <c r="E125">
        <f t="shared" si="7"/>
        <v>100.65283769094457</v>
      </c>
    </row>
  </sheetData>
  <sortState xmlns:xlrd2="http://schemas.microsoft.com/office/spreadsheetml/2017/richdata2" ref="A2:E125">
    <sortCondition descending="1" ref="E2:E125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0987A9-7C28-4C9C-9282-4EE93DE0C809}">
  <dimension ref="A3:DV129"/>
  <sheetViews>
    <sheetView topLeftCell="DG112" workbookViewId="0">
      <selection activeCell="DU133" sqref="DU133"/>
    </sheetView>
  </sheetViews>
  <sheetFormatPr defaultRowHeight="14.4" x14ac:dyDescent="0.3"/>
  <cols>
    <col min="1" max="1" width="12.5546875" bestFit="1" customWidth="1"/>
    <col min="2" max="2" width="15.5546875" bestFit="1" customWidth="1"/>
    <col min="3" max="3" width="6.21875" bestFit="1" customWidth="1"/>
    <col min="4" max="4" width="7.21875" bestFit="1" customWidth="1"/>
    <col min="5" max="5" width="6.77734375" bestFit="1" customWidth="1"/>
    <col min="6" max="6" width="6" bestFit="1" customWidth="1"/>
    <col min="7" max="7" width="6.21875" bestFit="1" customWidth="1"/>
    <col min="8" max="8" width="4.21875" bestFit="1" customWidth="1"/>
    <col min="9" max="10" width="4.109375" bestFit="1" customWidth="1"/>
    <col min="11" max="12" width="4" bestFit="1" customWidth="1"/>
    <col min="13" max="13" width="4.21875" bestFit="1" customWidth="1"/>
    <col min="14" max="14" width="4" bestFit="1" customWidth="1"/>
    <col min="15" max="15" width="4.109375" bestFit="1" customWidth="1"/>
    <col min="16" max="16" width="4.77734375" bestFit="1" customWidth="1"/>
    <col min="17" max="17" width="4.33203125" bestFit="1" customWidth="1"/>
    <col min="18" max="19" width="4" bestFit="1" customWidth="1"/>
    <col min="20" max="20" width="4.77734375" bestFit="1" customWidth="1"/>
    <col min="21" max="21" width="4.109375" bestFit="1" customWidth="1"/>
    <col min="22" max="22" width="4" bestFit="1" customWidth="1"/>
    <col min="23" max="23" width="7.109375" bestFit="1" customWidth="1"/>
    <col min="24" max="24" width="6.21875" bestFit="1" customWidth="1"/>
    <col min="25" max="25" width="6.109375" bestFit="1" customWidth="1"/>
    <col min="26" max="26" width="7.21875" bestFit="1" customWidth="1"/>
    <col min="27" max="28" width="6.21875" bestFit="1" customWidth="1"/>
    <col min="29" max="30" width="7.21875" bestFit="1" customWidth="1"/>
    <col min="31" max="31" width="7" bestFit="1" customWidth="1"/>
    <col min="32" max="32" width="7.109375" bestFit="1" customWidth="1"/>
    <col min="33" max="33" width="7" bestFit="1" customWidth="1"/>
    <col min="34" max="34" width="6.109375" bestFit="1" customWidth="1"/>
    <col min="35" max="35" width="6" bestFit="1" customWidth="1"/>
    <col min="36" max="36" width="5.21875" bestFit="1" customWidth="1"/>
    <col min="37" max="37" width="6.109375" bestFit="1" customWidth="1"/>
    <col min="38" max="38" width="6.21875" bestFit="1" customWidth="1"/>
    <col min="39" max="39" width="5" bestFit="1" customWidth="1"/>
    <col min="40" max="41" width="6.109375" bestFit="1" customWidth="1"/>
    <col min="42" max="42" width="6.21875" bestFit="1" customWidth="1"/>
    <col min="43" max="43" width="6" bestFit="1" customWidth="1"/>
    <col min="44" max="44" width="6.21875" bestFit="1" customWidth="1"/>
    <col min="45" max="45" width="7" bestFit="1" customWidth="1"/>
    <col min="46" max="46" width="7.33203125" bestFit="1" customWidth="1"/>
    <col min="47" max="47" width="7" bestFit="1" customWidth="1"/>
    <col min="48" max="48" width="7.109375" bestFit="1" customWidth="1"/>
    <col min="49" max="49" width="7.21875" bestFit="1" customWidth="1"/>
    <col min="50" max="50" width="6.6640625" bestFit="1" customWidth="1"/>
    <col min="51" max="51" width="7.109375" bestFit="1" customWidth="1"/>
    <col min="52" max="52" width="5.21875" bestFit="1" customWidth="1"/>
    <col min="53" max="53" width="5.109375" bestFit="1" customWidth="1"/>
    <col min="54" max="54" width="6.21875" bestFit="1" customWidth="1"/>
    <col min="55" max="56" width="7" bestFit="1" customWidth="1"/>
    <col min="57" max="57" width="7.21875" bestFit="1" customWidth="1"/>
    <col min="58" max="58" width="5.6640625" bestFit="1" customWidth="1"/>
    <col min="59" max="59" width="6.109375" bestFit="1" customWidth="1"/>
    <col min="60" max="60" width="6" bestFit="1" customWidth="1"/>
    <col min="61" max="62" width="5.109375" bestFit="1" customWidth="1"/>
    <col min="63" max="63" width="5.21875" bestFit="1" customWidth="1"/>
    <col min="64" max="64" width="5.109375" bestFit="1" customWidth="1"/>
    <col min="65" max="65" width="7.21875" bestFit="1" customWidth="1"/>
    <col min="66" max="66" width="6.21875" bestFit="1" customWidth="1"/>
    <col min="67" max="67" width="6" bestFit="1" customWidth="1"/>
    <col min="68" max="68" width="6.21875" bestFit="1" customWidth="1"/>
    <col min="69" max="69" width="5.21875" bestFit="1" customWidth="1"/>
    <col min="70" max="70" width="7.109375" bestFit="1" customWidth="1"/>
    <col min="71" max="71" width="6" bestFit="1" customWidth="1"/>
    <col min="72" max="72" width="6.21875" bestFit="1" customWidth="1"/>
    <col min="73" max="73" width="6.109375" bestFit="1" customWidth="1"/>
    <col min="74" max="74" width="6.77734375" bestFit="1" customWidth="1"/>
    <col min="75" max="75" width="6.21875" bestFit="1" customWidth="1"/>
    <col min="76" max="76" width="6.109375" bestFit="1" customWidth="1"/>
    <col min="77" max="77" width="7.109375" bestFit="1" customWidth="1"/>
    <col min="78" max="78" width="7.21875" bestFit="1" customWidth="1"/>
    <col min="79" max="80" width="7.109375" bestFit="1" customWidth="1"/>
    <col min="81" max="81" width="5.88671875" bestFit="1" customWidth="1"/>
    <col min="82" max="82" width="6.109375" bestFit="1" customWidth="1"/>
    <col min="83" max="83" width="6.21875" bestFit="1" customWidth="1"/>
    <col min="84" max="84" width="5.21875" bestFit="1" customWidth="1"/>
    <col min="85" max="85" width="5.109375" bestFit="1" customWidth="1"/>
    <col min="86" max="86" width="5.33203125" bestFit="1" customWidth="1"/>
    <col min="87" max="87" width="6.109375" bestFit="1" customWidth="1"/>
    <col min="88" max="88" width="7.21875" bestFit="1" customWidth="1"/>
    <col min="89" max="89" width="7.109375" bestFit="1" customWidth="1"/>
    <col min="90" max="90" width="5.21875" bestFit="1" customWidth="1"/>
    <col min="91" max="91" width="5.109375" bestFit="1" customWidth="1"/>
    <col min="92" max="92" width="7.21875" bestFit="1" customWidth="1"/>
    <col min="93" max="93" width="6.109375" bestFit="1" customWidth="1"/>
    <col min="94" max="96" width="6.21875" bestFit="1" customWidth="1"/>
    <col min="97" max="97" width="5.21875" bestFit="1" customWidth="1"/>
    <col min="98" max="99" width="5.109375" bestFit="1" customWidth="1"/>
    <col min="100" max="100" width="5" bestFit="1" customWidth="1"/>
    <col min="101" max="101" width="4.88671875" bestFit="1" customWidth="1"/>
    <col min="102" max="103" width="5.21875" bestFit="1" customWidth="1"/>
    <col min="104" max="104" width="4.6640625" bestFit="1" customWidth="1"/>
    <col min="105" max="105" width="5.109375" bestFit="1" customWidth="1"/>
    <col min="106" max="106" width="5.77734375" bestFit="1" customWidth="1"/>
    <col min="107" max="107" width="5.33203125" bestFit="1" customWidth="1"/>
    <col min="108" max="109" width="5.109375" bestFit="1" customWidth="1"/>
    <col min="110" max="110" width="5" bestFit="1" customWidth="1"/>
    <col min="111" max="111" width="5.33203125" bestFit="1" customWidth="1"/>
    <col min="112" max="112" width="5.77734375" bestFit="1" customWidth="1"/>
    <col min="113" max="113" width="5.109375" bestFit="1" customWidth="1"/>
    <col min="114" max="114" width="5" bestFit="1" customWidth="1"/>
    <col min="115" max="115" width="7.109375" bestFit="1" customWidth="1"/>
    <col min="116" max="116" width="6.21875" bestFit="1" customWidth="1"/>
    <col min="117" max="117" width="6.88671875" bestFit="1" customWidth="1"/>
    <col min="118" max="118" width="7.21875" bestFit="1" customWidth="1"/>
    <col min="119" max="119" width="6.6640625" bestFit="1" customWidth="1"/>
    <col min="120" max="120" width="7.77734375" bestFit="1" customWidth="1"/>
    <col min="121" max="121" width="7.109375" bestFit="1" customWidth="1"/>
    <col min="122" max="122" width="7.21875" bestFit="1" customWidth="1"/>
    <col min="123" max="124" width="7.109375" bestFit="1" customWidth="1"/>
    <col min="125" max="125" width="7.21875" bestFit="1" customWidth="1"/>
    <col min="126" max="126" width="10.77734375" bestFit="1" customWidth="1"/>
  </cols>
  <sheetData>
    <row r="3" spans="1:126" x14ac:dyDescent="0.3">
      <c r="A3" s="8" t="s">
        <v>589</v>
      </c>
      <c r="B3" s="8" t="s">
        <v>598</v>
      </c>
    </row>
    <row r="4" spans="1:126" x14ac:dyDescent="0.3">
      <c r="A4" s="8" t="s">
        <v>587</v>
      </c>
      <c r="B4" t="s">
        <v>18</v>
      </c>
      <c r="C4" t="s">
        <v>441</v>
      </c>
      <c r="D4" t="s">
        <v>421</v>
      </c>
      <c r="E4" t="s">
        <v>27</v>
      </c>
      <c r="F4" t="s">
        <v>457</v>
      </c>
      <c r="G4" t="s">
        <v>73</v>
      </c>
      <c r="H4" t="s">
        <v>455</v>
      </c>
      <c r="I4" t="s">
        <v>13</v>
      </c>
      <c r="J4" t="s">
        <v>389</v>
      </c>
      <c r="K4" t="s">
        <v>67</v>
      </c>
      <c r="L4" t="s">
        <v>407</v>
      </c>
      <c r="M4" t="s">
        <v>93</v>
      </c>
      <c r="N4" t="s">
        <v>411</v>
      </c>
      <c r="O4" t="s">
        <v>94</v>
      </c>
      <c r="P4" t="s">
        <v>394</v>
      </c>
      <c r="Q4" t="s">
        <v>92</v>
      </c>
      <c r="R4" t="s">
        <v>82</v>
      </c>
      <c r="S4" t="s">
        <v>429</v>
      </c>
      <c r="T4" t="s">
        <v>57</v>
      </c>
      <c r="U4" t="s">
        <v>433</v>
      </c>
      <c r="V4" t="s">
        <v>12</v>
      </c>
      <c r="W4" t="s">
        <v>43</v>
      </c>
      <c r="X4" t="s">
        <v>436</v>
      </c>
      <c r="Y4" t="s">
        <v>91</v>
      </c>
      <c r="Z4" t="s">
        <v>20</v>
      </c>
      <c r="AA4" t="s">
        <v>461</v>
      </c>
      <c r="AB4" t="s">
        <v>74</v>
      </c>
      <c r="AC4" t="s">
        <v>437</v>
      </c>
      <c r="AD4" t="s">
        <v>98</v>
      </c>
      <c r="AE4" t="s">
        <v>409</v>
      </c>
      <c r="AF4" t="s">
        <v>103</v>
      </c>
      <c r="AG4" t="s">
        <v>432</v>
      </c>
      <c r="AH4" t="s">
        <v>416</v>
      </c>
      <c r="AI4" t="s">
        <v>426</v>
      </c>
      <c r="AJ4" t="s">
        <v>446</v>
      </c>
      <c r="AK4" t="s">
        <v>31</v>
      </c>
      <c r="AL4" t="s">
        <v>406</v>
      </c>
      <c r="AM4" t="s">
        <v>85</v>
      </c>
      <c r="AN4" t="s">
        <v>76</v>
      </c>
      <c r="AO4" t="s">
        <v>456</v>
      </c>
      <c r="AP4" t="s">
        <v>69</v>
      </c>
      <c r="AQ4" t="s">
        <v>452</v>
      </c>
      <c r="AR4" t="s">
        <v>88</v>
      </c>
      <c r="AS4" t="s">
        <v>97</v>
      </c>
      <c r="AT4" t="s">
        <v>404</v>
      </c>
      <c r="AU4" t="s">
        <v>75</v>
      </c>
      <c r="AV4" t="s">
        <v>399</v>
      </c>
      <c r="AW4" t="s">
        <v>61</v>
      </c>
      <c r="AX4" t="s">
        <v>438</v>
      </c>
      <c r="AY4" t="s">
        <v>39</v>
      </c>
      <c r="AZ4" t="s">
        <v>424</v>
      </c>
      <c r="BA4" t="s">
        <v>56</v>
      </c>
      <c r="BB4" t="s">
        <v>453</v>
      </c>
      <c r="BC4" t="s">
        <v>387</v>
      </c>
      <c r="BD4" t="s">
        <v>28</v>
      </c>
      <c r="BE4" t="s">
        <v>396</v>
      </c>
      <c r="BF4" t="s">
        <v>14</v>
      </c>
      <c r="BG4" t="s">
        <v>442</v>
      </c>
      <c r="BH4" t="s">
        <v>32</v>
      </c>
      <c r="BI4" t="s">
        <v>419</v>
      </c>
      <c r="BJ4" t="s">
        <v>80</v>
      </c>
      <c r="BK4" t="s">
        <v>443</v>
      </c>
      <c r="BL4" t="s">
        <v>87</v>
      </c>
      <c r="BM4" t="s">
        <v>58</v>
      </c>
      <c r="BN4" t="s">
        <v>412</v>
      </c>
      <c r="BO4" t="s">
        <v>79</v>
      </c>
      <c r="BP4" t="s">
        <v>408</v>
      </c>
      <c r="BQ4" t="s">
        <v>428</v>
      </c>
      <c r="BR4" t="s">
        <v>460</v>
      </c>
      <c r="BS4" t="s">
        <v>46</v>
      </c>
      <c r="BT4" t="s">
        <v>454</v>
      </c>
      <c r="BU4" t="s">
        <v>45</v>
      </c>
      <c r="BV4" t="s">
        <v>390</v>
      </c>
      <c r="BW4" t="s">
        <v>37</v>
      </c>
      <c r="BX4" t="s">
        <v>401</v>
      </c>
      <c r="BY4" t="s">
        <v>86</v>
      </c>
      <c r="BZ4" t="s">
        <v>402</v>
      </c>
      <c r="CA4" t="s">
        <v>21</v>
      </c>
      <c r="CB4" t="s">
        <v>448</v>
      </c>
      <c r="CC4" t="s">
        <v>392</v>
      </c>
      <c r="CD4" t="s">
        <v>104</v>
      </c>
      <c r="CE4" t="s">
        <v>444</v>
      </c>
      <c r="CF4" t="s">
        <v>62</v>
      </c>
      <c r="CG4" t="s">
        <v>414</v>
      </c>
      <c r="CH4" t="s">
        <v>33</v>
      </c>
      <c r="CI4" t="s">
        <v>34</v>
      </c>
      <c r="CJ4" t="s">
        <v>388</v>
      </c>
      <c r="CK4" t="s">
        <v>52</v>
      </c>
      <c r="CL4" t="s">
        <v>458</v>
      </c>
      <c r="CM4" t="s">
        <v>51</v>
      </c>
      <c r="CN4" t="s">
        <v>64</v>
      </c>
      <c r="CO4" t="s">
        <v>427</v>
      </c>
      <c r="CP4" t="s">
        <v>70</v>
      </c>
      <c r="CQ4" t="s">
        <v>403</v>
      </c>
      <c r="CR4" t="s">
        <v>50</v>
      </c>
      <c r="CS4" t="s">
        <v>397</v>
      </c>
      <c r="CT4" t="s">
        <v>68</v>
      </c>
      <c r="CU4" t="s">
        <v>413</v>
      </c>
      <c r="CV4" t="s">
        <v>99</v>
      </c>
      <c r="CW4" t="s">
        <v>393</v>
      </c>
      <c r="CX4" t="s">
        <v>11</v>
      </c>
      <c r="CY4" t="s">
        <v>418</v>
      </c>
      <c r="CZ4" t="s">
        <v>38</v>
      </c>
      <c r="DA4" t="s">
        <v>439</v>
      </c>
      <c r="DB4" t="s">
        <v>55</v>
      </c>
      <c r="DC4" t="s">
        <v>451</v>
      </c>
      <c r="DD4" t="s">
        <v>25</v>
      </c>
      <c r="DE4" t="s">
        <v>431</v>
      </c>
      <c r="DF4" t="s">
        <v>63</v>
      </c>
      <c r="DG4" t="s">
        <v>423</v>
      </c>
      <c r="DH4" t="s">
        <v>100</v>
      </c>
      <c r="DI4" t="s">
        <v>398</v>
      </c>
      <c r="DJ4" t="s">
        <v>40</v>
      </c>
      <c r="DK4" t="s">
        <v>422</v>
      </c>
      <c r="DL4" t="s">
        <v>434</v>
      </c>
      <c r="DM4" t="s">
        <v>19</v>
      </c>
      <c r="DN4" t="s">
        <v>447</v>
      </c>
      <c r="DO4" t="s">
        <v>26</v>
      </c>
      <c r="DP4" t="s">
        <v>449</v>
      </c>
      <c r="DQ4" t="s">
        <v>81</v>
      </c>
      <c r="DR4" t="s">
        <v>417</v>
      </c>
      <c r="DS4" t="s">
        <v>49</v>
      </c>
      <c r="DT4" t="s">
        <v>395</v>
      </c>
      <c r="DU4" t="s">
        <v>44</v>
      </c>
      <c r="DV4" t="s">
        <v>588</v>
      </c>
    </row>
    <row r="5" spans="1:126" x14ac:dyDescent="0.3">
      <c r="A5" s="9" t="s">
        <v>18</v>
      </c>
      <c r="T5">
        <v>97</v>
      </c>
      <c r="AB5">
        <v>119</v>
      </c>
      <c r="AS5">
        <v>88</v>
      </c>
      <c r="BL5">
        <v>64</v>
      </c>
      <c r="BY5">
        <v>105</v>
      </c>
      <c r="DM5">
        <v>135</v>
      </c>
      <c r="DV5">
        <v>608</v>
      </c>
    </row>
    <row r="6" spans="1:126" x14ac:dyDescent="0.3">
      <c r="A6" s="9" t="s">
        <v>441</v>
      </c>
      <c r="H6">
        <v>85</v>
      </c>
      <c r="BG6">
        <v>113</v>
      </c>
      <c r="BI6">
        <v>37</v>
      </c>
      <c r="CL6">
        <v>72</v>
      </c>
      <c r="CO6">
        <v>98</v>
      </c>
      <c r="DV6">
        <v>405</v>
      </c>
    </row>
    <row r="7" spans="1:126" x14ac:dyDescent="0.3">
      <c r="A7" s="9" t="s">
        <v>421</v>
      </c>
      <c r="N7">
        <v>115</v>
      </c>
      <c r="U7">
        <v>138</v>
      </c>
      <c r="AI7">
        <v>168</v>
      </c>
      <c r="AV7">
        <v>136</v>
      </c>
      <c r="DK7">
        <v>59</v>
      </c>
      <c r="DV7">
        <v>616</v>
      </c>
    </row>
    <row r="8" spans="1:126" x14ac:dyDescent="0.3">
      <c r="A8" s="9" t="s">
        <v>27</v>
      </c>
      <c r="AS8">
        <v>118</v>
      </c>
      <c r="BD8">
        <v>122</v>
      </c>
      <c r="BM8">
        <v>108</v>
      </c>
      <c r="CX8">
        <v>143</v>
      </c>
      <c r="DV8">
        <v>491</v>
      </c>
    </row>
    <row r="9" spans="1:126" x14ac:dyDescent="0.3">
      <c r="A9" s="9" t="s">
        <v>457</v>
      </c>
      <c r="L9">
        <v>114</v>
      </c>
      <c r="BP9">
        <v>93</v>
      </c>
      <c r="CB9">
        <v>78</v>
      </c>
      <c r="CL9">
        <v>89</v>
      </c>
      <c r="CO9">
        <v>168</v>
      </c>
      <c r="DV9">
        <v>542</v>
      </c>
    </row>
    <row r="10" spans="1:126" x14ac:dyDescent="0.3">
      <c r="A10" s="9" t="s">
        <v>73</v>
      </c>
      <c r="W10">
        <v>93</v>
      </c>
      <c r="AB10">
        <v>118</v>
      </c>
      <c r="BA10">
        <v>161</v>
      </c>
      <c r="CX10">
        <v>86</v>
      </c>
      <c r="DU10">
        <v>72</v>
      </c>
      <c r="DV10">
        <v>530</v>
      </c>
    </row>
    <row r="11" spans="1:126" x14ac:dyDescent="0.3">
      <c r="A11" s="9" t="s">
        <v>455</v>
      </c>
      <c r="P11">
        <v>115</v>
      </c>
      <c r="AL11">
        <v>60</v>
      </c>
      <c r="AO11">
        <v>73</v>
      </c>
      <c r="BE11">
        <v>65</v>
      </c>
      <c r="DV11">
        <v>313</v>
      </c>
    </row>
    <row r="12" spans="1:126" x14ac:dyDescent="0.3">
      <c r="A12" s="9" t="s">
        <v>13</v>
      </c>
      <c r="R12">
        <v>94</v>
      </c>
      <c r="AU12">
        <v>72</v>
      </c>
      <c r="BF12">
        <v>107</v>
      </c>
      <c r="BY12">
        <v>140</v>
      </c>
      <c r="CK12">
        <v>68</v>
      </c>
      <c r="DF12">
        <v>82</v>
      </c>
      <c r="DV12">
        <v>563</v>
      </c>
    </row>
    <row r="13" spans="1:126" x14ac:dyDescent="0.3">
      <c r="A13" s="9" t="s">
        <v>389</v>
      </c>
      <c r="F13">
        <v>95</v>
      </c>
      <c r="AX13">
        <v>120</v>
      </c>
      <c r="AZ13">
        <v>65</v>
      </c>
      <c r="BG13">
        <v>95</v>
      </c>
      <c r="BV13">
        <v>73</v>
      </c>
      <c r="CG13">
        <v>98</v>
      </c>
      <c r="CW13">
        <v>90</v>
      </c>
      <c r="DV13">
        <v>636</v>
      </c>
    </row>
    <row r="14" spans="1:126" x14ac:dyDescent="0.3">
      <c r="A14" s="9" t="s">
        <v>67</v>
      </c>
      <c r="AK14">
        <v>52</v>
      </c>
      <c r="BL14">
        <v>49</v>
      </c>
      <c r="CT14">
        <v>53</v>
      </c>
      <c r="DV14">
        <v>154</v>
      </c>
    </row>
    <row r="15" spans="1:126" x14ac:dyDescent="0.3">
      <c r="A15" s="9" t="s">
        <v>407</v>
      </c>
      <c r="AT15">
        <v>60</v>
      </c>
      <c r="BT15">
        <v>63</v>
      </c>
      <c r="BX15">
        <v>94</v>
      </c>
      <c r="CG15">
        <v>103</v>
      </c>
      <c r="DV15">
        <v>320</v>
      </c>
    </row>
    <row r="16" spans="1:126" x14ac:dyDescent="0.3">
      <c r="A16" s="9" t="s">
        <v>93</v>
      </c>
      <c r="O16">
        <v>78</v>
      </c>
      <c r="AS16">
        <v>48</v>
      </c>
      <c r="DB16">
        <v>44</v>
      </c>
      <c r="DV16">
        <v>170</v>
      </c>
    </row>
    <row r="17" spans="1:126" x14ac:dyDescent="0.3">
      <c r="A17" s="9" t="s">
        <v>411</v>
      </c>
      <c r="AQ17">
        <v>82</v>
      </c>
      <c r="BN17">
        <v>112</v>
      </c>
      <c r="CY17">
        <v>37</v>
      </c>
      <c r="DL17">
        <v>22</v>
      </c>
      <c r="DV17">
        <v>253</v>
      </c>
    </row>
    <row r="18" spans="1:126" x14ac:dyDescent="0.3">
      <c r="A18" s="9" t="s">
        <v>94</v>
      </c>
      <c r="B18">
        <v>113</v>
      </c>
      <c r="E18">
        <v>140</v>
      </c>
      <c r="BF18">
        <v>80</v>
      </c>
      <c r="CD18">
        <v>140</v>
      </c>
      <c r="DH18">
        <v>34</v>
      </c>
      <c r="DV18">
        <v>507</v>
      </c>
    </row>
    <row r="19" spans="1:126" x14ac:dyDescent="0.3">
      <c r="A19" s="9" t="s">
        <v>394</v>
      </c>
      <c r="AC19">
        <v>80</v>
      </c>
      <c r="CJ19">
        <v>60</v>
      </c>
      <c r="DG19">
        <v>64</v>
      </c>
      <c r="DK19">
        <v>106</v>
      </c>
      <c r="DT19">
        <v>129</v>
      </c>
      <c r="DV19">
        <v>439</v>
      </c>
    </row>
    <row r="20" spans="1:126" x14ac:dyDescent="0.3">
      <c r="A20" s="9" t="s">
        <v>92</v>
      </c>
      <c r="CD20">
        <v>83</v>
      </c>
      <c r="DV20">
        <v>83</v>
      </c>
    </row>
    <row r="21" spans="1:126" x14ac:dyDescent="0.3">
      <c r="A21" s="9" t="s">
        <v>82</v>
      </c>
      <c r="CI21">
        <v>62</v>
      </c>
      <c r="CZ21">
        <v>30</v>
      </c>
      <c r="DB21">
        <v>41</v>
      </c>
      <c r="DH21">
        <v>98</v>
      </c>
      <c r="DV21">
        <v>231</v>
      </c>
    </row>
    <row r="22" spans="1:126" x14ac:dyDescent="0.3">
      <c r="A22" s="9" t="s">
        <v>429</v>
      </c>
      <c r="AQ22">
        <v>83</v>
      </c>
      <c r="BI22">
        <v>86</v>
      </c>
      <c r="BT22">
        <v>150</v>
      </c>
      <c r="CS22">
        <v>71</v>
      </c>
      <c r="DV22">
        <v>390</v>
      </c>
    </row>
    <row r="23" spans="1:126" x14ac:dyDescent="0.3">
      <c r="A23" s="9" t="s">
        <v>57</v>
      </c>
      <c r="AM23">
        <v>70</v>
      </c>
      <c r="AP23">
        <v>58</v>
      </c>
      <c r="BM23">
        <v>82</v>
      </c>
      <c r="DV23">
        <v>210</v>
      </c>
    </row>
    <row r="24" spans="1:126" x14ac:dyDescent="0.3">
      <c r="A24" s="9" t="s">
        <v>433</v>
      </c>
      <c r="F24">
        <v>105</v>
      </c>
      <c r="H24">
        <v>98</v>
      </c>
      <c r="AE24">
        <v>116</v>
      </c>
      <c r="DA24">
        <v>70</v>
      </c>
      <c r="DL24">
        <v>125</v>
      </c>
      <c r="DV24">
        <v>514</v>
      </c>
    </row>
    <row r="25" spans="1:126" x14ac:dyDescent="0.3">
      <c r="A25" s="9" t="s">
        <v>12</v>
      </c>
      <c r="CF25">
        <v>86</v>
      </c>
      <c r="DB25">
        <v>67</v>
      </c>
      <c r="DV25">
        <v>153</v>
      </c>
    </row>
    <row r="26" spans="1:126" x14ac:dyDescent="0.3">
      <c r="A26" s="9" t="s">
        <v>43</v>
      </c>
      <c r="K26">
        <v>117</v>
      </c>
      <c r="Q26">
        <v>133</v>
      </c>
      <c r="R26">
        <v>97</v>
      </c>
      <c r="V26">
        <v>125</v>
      </c>
      <c r="BW26">
        <v>95</v>
      </c>
      <c r="CI26">
        <v>155</v>
      </c>
      <c r="DU26">
        <v>113</v>
      </c>
      <c r="DV26">
        <v>835</v>
      </c>
    </row>
    <row r="27" spans="1:126" x14ac:dyDescent="0.3">
      <c r="A27" s="9" t="s">
        <v>436</v>
      </c>
      <c r="H27">
        <v>83</v>
      </c>
      <c r="AC27">
        <v>186</v>
      </c>
      <c r="BQ27">
        <v>129</v>
      </c>
      <c r="BR27">
        <v>148</v>
      </c>
      <c r="CU27">
        <v>123</v>
      </c>
      <c r="DV27">
        <v>669</v>
      </c>
    </row>
    <row r="28" spans="1:126" x14ac:dyDescent="0.3">
      <c r="A28" s="9" t="s">
        <v>91</v>
      </c>
      <c r="Q28">
        <v>80</v>
      </c>
      <c r="AB28">
        <v>84</v>
      </c>
      <c r="AY28">
        <v>38</v>
      </c>
      <c r="CH28">
        <v>132</v>
      </c>
      <c r="CP28">
        <v>73</v>
      </c>
      <c r="DV28">
        <v>407</v>
      </c>
    </row>
    <row r="29" spans="1:126" x14ac:dyDescent="0.3">
      <c r="A29" s="9" t="s">
        <v>20</v>
      </c>
      <c r="I29">
        <v>40</v>
      </c>
      <c r="M29">
        <v>40</v>
      </c>
      <c r="R29">
        <v>37</v>
      </c>
      <c r="BD29">
        <v>35</v>
      </c>
      <c r="CA29">
        <v>56</v>
      </c>
      <c r="CV29">
        <v>56</v>
      </c>
      <c r="DS29">
        <v>49</v>
      </c>
      <c r="DV29">
        <v>313</v>
      </c>
    </row>
    <row r="30" spans="1:126" x14ac:dyDescent="0.3">
      <c r="A30" s="9" t="s">
        <v>461</v>
      </c>
      <c r="AQ30">
        <v>80</v>
      </c>
      <c r="BB30">
        <v>97</v>
      </c>
      <c r="BC30">
        <v>92</v>
      </c>
      <c r="CO30">
        <v>130</v>
      </c>
      <c r="DC30">
        <v>54</v>
      </c>
      <c r="DV30">
        <v>453</v>
      </c>
    </row>
    <row r="31" spans="1:126" x14ac:dyDescent="0.3">
      <c r="A31" s="9" t="s">
        <v>74</v>
      </c>
      <c r="O31">
        <v>121</v>
      </c>
      <c r="AY31">
        <v>97</v>
      </c>
      <c r="CX31">
        <v>59</v>
      </c>
      <c r="CZ31">
        <v>84</v>
      </c>
      <c r="DV31">
        <v>361</v>
      </c>
    </row>
    <row r="32" spans="1:126" x14ac:dyDescent="0.3">
      <c r="A32" s="9" t="s">
        <v>437</v>
      </c>
      <c r="AJ32">
        <v>130</v>
      </c>
      <c r="BZ32">
        <v>89</v>
      </c>
      <c r="CC32">
        <v>99</v>
      </c>
      <c r="CQ32">
        <v>98</v>
      </c>
      <c r="DV32">
        <v>416</v>
      </c>
    </row>
    <row r="33" spans="1:126" x14ac:dyDescent="0.3">
      <c r="A33" s="9" t="s">
        <v>98</v>
      </c>
      <c r="K33">
        <v>54</v>
      </c>
      <c r="R33">
        <v>49</v>
      </c>
      <c r="CM33">
        <v>55</v>
      </c>
      <c r="DV33">
        <v>158</v>
      </c>
    </row>
    <row r="34" spans="1:126" x14ac:dyDescent="0.3">
      <c r="A34" s="9" t="s">
        <v>409</v>
      </c>
      <c r="AC34">
        <v>97</v>
      </c>
      <c r="AO34">
        <v>62</v>
      </c>
      <c r="BE34">
        <v>74</v>
      </c>
      <c r="BR34">
        <v>105</v>
      </c>
      <c r="BV34">
        <v>65</v>
      </c>
      <c r="DN34">
        <v>63</v>
      </c>
      <c r="DV34">
        <v>466</v>
      </c>
    </row>
    <row r="35" spans="1:126" x14ac:dyDescent="0.3">
      <c r="A35" s="9" t="s">
        <v>103</v>
      </c>
      <c r="E35">
        <v>82</v>
      </c>
      <c r="K35">
        <v>69</v>
      </c>
      <c r="Y35">
        <v>47</v>
      </c>
      <c r="AM35">
        <v>45</v>
      </c>
      <c r="BH35">
        <v>150</v>
      </c>
      <c r="CD35">
        <v>70</v>
      </c>
      <c r="CM35">
        <v>139</v>
      </c>
      <c r="DJ35">
        <v>64</v>
      </c>
      <c r="DV35">
        <v>666</v>
      </c>
    </row>
    <row r="36" spans="1:126" x14ac:dyDescent="0.3">
      <c r="A36" s="9" t="s">
        <v>432</v>
      </c>
      <c r="H36">
        <v>63</v>
      </c>
      <c r="L36">
        <v>92</v>
      </c>
      <c r="DV36">
        <v>155</v>
      </c>
    </row>
    <row r="37" spans="1:126" x14ac:dyDescent="0.3">
      <c r="A37" s="9" t="s">
        <v>416</v>
      </c>
      <c r="CQ37">
        <v>52</v>
      </c>
      <c r="DK37">
        <v>134</v>
      </c>
      <c r="DR37">
        <v>99</v>
      </c>
      <c r="DV37">
        <v>285</v>
      </c>
    </row>
    <row r="38" spans="1:126" x14ac:dyDescent="0.3">
      <c r="A38" s="9" t="s">
        <v>426</v>
      </c>
      <c r="AH38">
        <v>135</v>
      </c>
      <c r="CO38">
        <v>132</v>
      </c>
      <c r="DN38">
        <v>75</v>
      </c>
      <c r="DV38">
        <v>342</v>
      </c>
    </row>
    <row r="39" spans="1:126" x14ac:dyDescent="0.3">
      <c r="A39" s="9" t="s">
        <v>446</v>
      </c>
      <c r="BX39">
        <v>132</v>
      </c>
      <c r="DA39">
        <v>103</v>
      </c>
      <c r="DK39">
        <v>123</v>
      </c>
      <c r="DN39">
        <v>149</v>
      </c>
      <c r="DR39">
        <v>143</v>
      </c>
      <c r="DV39">
        <v>650</v>
      </c>
    </row>
    <row r="40" spans="1:126" x14ac:dyDescent="0.3">
      <c r="A40" s="9" t="s">
        <v>31</v>
      </c>
      <c r="AD40">
        <v>48</v>
      </c>
      <c r="AM40">
        <v>148</v>
      </c>
      <c r="BH40">
        <v>72</v>
      </c>
      <c r="BO40">
        <v>63</v>
      </c>
      <c r="DS40">
        <v>49</v>
      </c>
      <c r="DV40">
        <v>380</v>
      </c>
    </row>
    <row r="41" spans="1:126" x14ac:dyDescent="0.3">
      <c r="A41" s="9" t="s">
        <v>406</v>
      </c>
      <c r="L41">
        <v>89</v>
      </c>
      <c r="AJ41">
        <v>223</v>
      </c>
      <c r="BN41">
        <v>22</v>
      </c>
      <c r="CQ41">
        <v>70</v>
      </c>
      <c r="DG41">
        <v>43</v>
      </c>
      <c r="DV41">
        <v>447</v>
      </c>
    </row>
    <row r="42" spans="1:126" x14ac:dyDescent="0.3">
      <c r="A42" s="9" t="s">
        <v>85</v>
      </c>
      <c r="BJ42">
        <v>39</v>
      </c>
      <c r="BY42">
        <v>88</v>
      </c>
      <c r="DM42">
        <v>77</v>
      </c>
      <c r="DV42">
        <v>204</v>
      </c>
    </row>
    <row r="43" spans="1:126" x14ac:dyDescent="0.3">
      <c r="A43" s="9" t="s">
        <v>76</v>
      </c>
      <c r="W43">
        <v>142</v>
      </c>
      <c r="AP43">
        <v>27</v>
      </c>
      <c r="BM43">
        <v>67</v>
      </c>
      <c r="BS43">
        <v>62</v>
      </c>
      <c r="CD43">
        <v>85</v>
      </c>
      <c r="CK43">
        <v>74</v>
      </c>
      <c r="DV43">
        <v>457</v>
      </c>
    </row>
    <row r="44" spans="1:126" x14ac:dyDescent="0.3">
      <c r="A44" s="9" t="s">
        <v>456</v>
      </c>
      <c r="BC44">
        <v>68</v>
      </c>
      <c r="CJ44">
        <v>56</v>
      </c>
      <c r="CY44">
        <v>69</v>
      </c>
      <c r="DP44">
        <v>25</v>
      </c>
      <c r="DV44">
        <v>218</v>
      </c>
    </row>
    <row r="45" spans="1:126" x14ac:dyDescent="0.3">
      <c r="A45" s="9" t="s">
        <v>69</v>
      </c>
      <c r="E45">
        <v>67</v>
      </c>
      <c r="AU45">
        <v>63</v>
      </c>
      <c r="BS45">
        <v>35</v>
      </c>
      <c r="CP45">
        <v>116</v>
      </c>
      <c r="DM45">
        <v>53</v>
      </c>
      <c r="DV45">
        <v>334</v>
      </c>
    </row>
    <row r="46" spans="1:126" x14ac:dyDescent="0.3">
      <c r="A46" s="9" t="s">
        <v>452</v>
      </c>
      <c r="AH46">
        <v>62</v>
      </c>
      <c r="DR46">
        <v>85</v>
      </c>
      <c r="DV46">
        <v>147</v>
      </c>
    </row>
    <row r="47" spans="1:126" x14ac:dyDescent="0.3">
      <c r="A47" s="9" t="s">
        <v>88</v>
      </c>
      <c r="G47">
        <v>118</v>
      </c>
      <c r="T47">
        <v>170</v>
      </c>
      <c r="Z47">
        <v>93</v>
      </c>
      <c r="BM47">
        <v>116</v>
      </c>
      <c r="BS47">
        <v>96</v>
      </c>
      <c r="CZ47">
        <v>91</v>
      </c>
      <c r="DH47">
        <v>97</v>
      </c>
      <c r="DV47">
        <v>781</v>
      </c>
    </row>
    <row r="48" spans="1:126" x14ac:dyDescent="0.3">
      <c r="A48" s="9" t="s">
        <v>97</v>
      </c>
      <c r="AD48">
        <v>122</v>
      </c>
      <c r="CK48">
        <v>60</v>
      </c>
      <c r="DD48">
        <v>39</v>
      </c>
      <c r="DV48">
        <v>221</v>
      </c>
    </row>
    <row r="49" spans="1:126" x14ac:dyDescent="0.3">
      <c r="A49" s="9" t="s">
        <v>404</v>
      </c>
      <c r="S49">
        <v>77</v>
      </c>
      <c r="AI49">
        <v>47</v>
      </c>
      <c r="BE49">
        <v>71</v>
      </c>
      <c r="CJ49">
        <v>74</v>
      </c>
      <c r="DP49">
        <v>97</v>
      </c>
      <c r="DV49">
        <v>366</v>
      </c>
    </row>
    <row r="50" spans="1:126" x14ac:dyDescent="0.3">
      <c r="A50" s="9" t="s">
        <v>75</v>
      </c>
      <c r="AN50">
        <v>70</v>
      </c>
      <c r="AW50">
        <v>135</v>
      </c>
      <c r="BD50">
        <v>144</v>
      </c>
      <c r="BH50">
        <v>96</v>
      </c>
      <c r="DV50">
        <v>445</v>
      </c>
    </row>
    <row r="51" spans="1:126" x14ac:dyDescent="0.3">
      <c r="A51" s="9" t="s">
        <v>399</v>
      </c>
      <c r="BB51">
        <v>123</v>
      </c>
      <c r="BC51">
        <v>37</v>
      </c>
      <c r="BT51">
        <v>37</v>
      </c>
      <c r="CU51">
        <v>59</v>
      </c>
      <c r="DV51">
        <v>256</v>
      </c>
    </row>
    <row r="52" spans="1:126" x14ac:dyDescent="0.3">
      <c r="A52" s="9" t="s">
        <v>61</v>
      </c>
      <c r="G52">
        <v>91</v>
      </c>
      <c r="AK52">
        <v>52</v>
      </c>
      <c r="AM52">
        <v>67</v>
      </c>
      <c r="BF52">
        <v>80</v>
      </c>
      <c r="BL52">
        <v>43</v>
      </c>
      <c r="BW52">
        <v>86</v>
      </c>
      <c r="CF52">
        <v>47</v>
      </c>
      <c r="DD52">
        <v>36</v>
      </c>
      <c r="DV52">
        <v>502</v>
      </c>
    </row>
    <row r="53" spans="1:126" x14ac:dyDescent="0.3">
      <c r="A53" s="9" t="s">
        <v>438</v>
      </c>
      <c r="N53">
        <v>77</v>
      </c>
      <c r="BB53">
        <v>75</v>
      </c>
      <c r="BV53">
        <v>47</v>
      </c>
      <c r="CC53">
        <v>64</v>
      </c>
      <c r="CG53">
        <v>90</v>
      </c>
      <c r="CU53">
        <v>119</v>
      </c>
      <c r="DA53">
        <v>55</v>
      </c>
      <c r="DV53">
        <v>527</v>
      </c>
    </row>
    <row r="54" spans="1:126" x14ac:dyDescent="0.3">
      <c r="A54" s="9" t="s">
        <v>39</v>
      </c>
      <c r="O54">
        <v>95</v>
      </c>
      <c r="Q54">
        <v>88</v>
      </c>
      <c r="V54">
        <v>115</v>
      </c>
      <c r="BD54">
        <v>99</v>
      </c>
      <c r="CV54">
        <v>71</v>
      </c>
      <c r="DJ54">
        <v>144</v>
      </c>
      <c r="DV54">
        <v>612</v>
      </c>
    </row>
    <row r="55" spans="1:126" x14ac:dyDescent="0.3">
      <c r="A55" s="9" t="s">
        <v>424</v>
      </c>
      <c r="S55">
        <v>70</v>
      </c>
      <c r="BC55">
        <v>106</v>
      </c>
      <c r="DN55">
        <v>103</v>
      </c>
      <c r="DV55">
        <v>279</v>
      </c>
    </row>
    <row r="56" spans="1:126" x14ac:dyDescent="0.3">
      <c r="A56" s="9" t="s">
        <v>56</v>
      </c>
      <c r="BJ56">
        <v>130</v>
      </c>
      <c r="BY56">
        <v>136</v>
      </c>
      <c r="DD56">
        <v>96</v>
      </c>
      <c r="DU56">
        <v>131</v>
      </c>
      <c r="DV56">
        <v>493</v>
      </c>
    </row>
    <row r="57" spans="1:126" x14ac:dyDescent="0.3">
      <c r="A57" s="9" t="s">
        <v>453</v>
      </c>
      <c r="AH57">
        <v>89</v>
      </c>
      <c r="BE57">
        <v>80</v>
      </c>
      <c r="BI57">
        <v>109</v>
      </c>
      <c r="BT57">
        <v>200</v>
      </c>
      <c r="DV57">
        <v>478</v>
      </c>
    </row>
    <row r="58" spans="1:126" x14ac:dyDescent="0.3">
      <c r="A58" s="9" t="s">
        <v>387</v>
      </c>
      <c r="N58">
        <v>84</v>
      </c>
      <c r="BK58">
        <v>46</v>
      </c>
      <c r="BZ58">
        <v>84</v>
      </c>
      <c r="CJ58">
        <v>17</v>
      </c>
      <c r="DV58">
        <v>231</v>
      </c>
    </row>
    <row r="59" spans="1:126" x14ac:dyDescent="0.3">
      <c r="A59" s="9" t="s">
        <v>28</v>
      </c>
      <c r="O59">
        <v>107</v>
      </c>
      <c r="Y59">
        <v>98</v>
      </c>
      <c r="BO59">
        <v>155</v>
      </c>
      <c r="CD59">
        <v>98</v>
      </c>
      <c r="CK59">
        <v>108</v>
      </c>
      <c r="DV59">
        <v>566</v>
      </c>
    </row>
    <row r="60" spans="1:126" x14ac:dyDescent="0.3">
      <c r="A60" s="9" t="s">
        <v>396</v>
      </c>
      <c r="AG60">
        <v>67</v>
      </c>
      <c r="CC60">
        <v>110</v>
      </c>
      <c r="CS60">
        <v>60</v>
      </c>
      <c r="CU60">
        <v>84</v>
      </c>
      <c r="DV60">
        <v>321</v>
      </c>
    </row>
    <row r="61" spans="1:126" x14ac:dyDescent="0.3">
      <c r="A61" s="9" t="s">
        <v>14</v>
      </c>
      <c r="G61">
        <v>108</v>
      </c>
      <c r="DV61">
        <v>108</v>
      </c>
    </row>
    <row r="62" spans="1:126" x14ac:dyDescent="0.3">
      <c r="A62" s="9" t="s">
        <v>442</v>
      </c>
      <c r="U62">
        <v>72</v>
      </c>
      <c r="AC62">
        <v>109</v>
      </c>
      <c r="AH62">
        <v>80</v>
      </c>
      <c r="AO62">
        <v>80</v>
      </c>
      <c r="DV62">
        <v>341</v>
      </c>
    </row>
    <row r="63" spans="1:126" x14ac:dyDescent="0.3">
      <c r="A63" s="9" t="s">
        <v>32</v>
      </c>
      <c r="BS63">
        <v>105</v>
      </c>
      <c r="CF63">
        <v>128</v>
      </c>
      <c r="CX63">
        <v>143</v>
      </c>
      <c r="DV63">
        <v>376</v>
      </c>
    </row>
    <row r="64" spans="1:126" x14ac:dyDescent="0.3">
      <c r="A64" s="9" t="s">
        <v>419</v>
      </c>
      <c r="BQ64">
        <v>130</v>
      </c>
      <c r="BT64">
        <v>120</v>
      </c>
      <c r="DE64">
        <v>42</v>
      </c>
      <c r="DI64">
        <v>60</v>
      </c>
      <c r="DV64">
        <v>352</v>
      </c>
    </row>
    <row r="65" spans="1:126" x14ac:dyDescent="0.3">
      <c r="A65" s="9" t="s">
        <v>80</v>
      </c>
      <c r="Q65">
        <v>65</v>
      </c>
      <c r="AS65">
        <v>63</v>
      </c>
      <c r="CF65">
        <v>63</v>
      </c>
      <c r="CI65">
        <v>98</v>
      </c>
      <c r="DB65">
        <v>52</v>
      </c>
      <c r="DV65">
        <v>341</v>
      </c>
    </row>
    <row r="66" spans="1:126" x14ac:dyDescent="0.3">
      <c r="A66" s="9" t="s">
        <v>443</v>
      </c>
      <c r="AA66">
        <v>97</v>
      </c>
      <c r="AV66">
        <v>106</v>
      </c>
      <c r="BN66">
        <v>80</v>
      </c>
      <c r="BR66">
        <v>98</v>
      </c>
      <c r="CE66">
        <v>90</v>
      </c>
      <c r="DV66">
        <v>471</v>
      </c>
    </row>
    <row r="67" spans="1:126" x14ac:dyDescent="0.3">
      <c r="A67" s="9" t="s">
        <v>87</v>
      </c>
      <c r="AK67">
        <v>77</v>
      </c>
      <c r="AR67">
        <v>47</v>
      </c>
      <c r="DQ67">
        <v>58</v>
      </c>
      <c r="DU67">
        <v>27</v>
      </c>
      <c r="DV67">
        <v>209</v>
      </c>
    </row>
    <row r="68" spans="1:126" x14ac:dyDescent="0.3">
      <c r="A68" s="9" t="s">
        <v>58</v>
      </c>
      <c r="M68">
        <v>90</v>
      </c>
      <c r="AU68">
        <v>48</v>
      </c>
      <c r="DS68">
        <v>111</v>
      </c>
      <c r="DU68">
        <v>97</v>
      </c>
      <c r="DV68">
        <v>346</v>
      </c>
    </row>
    <row r="69" spans="1:126" x14ac:dyDescent="0.3">
      <c r="A69" s="9" t="s">
        <v>412</v>
      </c>
      <c r="C69">
        <v>103</v>
      </c>
      <c r="P69">
        <v>105</v>
      </c>
      <c r="U69">
        <v>55</v>
      </c>
      <c r="AG69">
        <v>58</v>
      </c>
      <c r="DC69">
        <v>86</v>
      </c>
      <c r="DV69">
        <v>407</v>
      </c>
    </row>
    <row r="70" spans="1:126" x14ac:dyDescent="0.3">
      <c r="A70" s="9" t="s">
        <v>79</v>
      </c>
      <c r="B70">
        <v>108</v>
      </c>
      <c r="AB70">
        <v>75</v>
      </c>
      <c r="AN70">
        <v>65</v>
      </c>
      <c r="BJ70">
        <v>110</v>
      </c>
      <c r="DD70">
        <v>72</v>
      </c>
      <c r="DU70">
        <v>30</v>
      </c>
      <c r="DV70">
        <v>460</v>
      </c>
    </row>
    <row r="71" spans="1:126" x14ac:dyDescent="0.3">
      <c r="A71" s="9" t="s">
        <v>408</v>
      </c>
      <c r="AE71">
        <v>113</v>
      </c>
      <c r="AJ71">
        <v>115</v>
      </c>
      <c r="BI71">
        <v>85</v>
      </c>
      <c r="BN71">
        <v>100</v>
      </c>
      <c r="CO71">
        <v>92</v>
      </c>
      <c r="CQ71">
        <v>92</v>
      </c>
      <c r="DK71">
        <v>80</v>
      </c>
      <c r="DL71">
        <v>100</v>
      </c>
      <c r="DV71">
        <v>777</v>
      </c>
    </row>
    <row r="72" spans="1:126" x14ac:dyDescent="0.3">
      <c r="A72" s="9" t="s">
        <v>428</v>
      </c>
      <c r="N72">
        <v>95</v>
      </c>
      <c r="S72">
        <v>118</v>
      </c>
      <c r="AL72">
        <v>100</v>
      </c>
      <c r="AT72">
        <v>93</v>
      </c>
      <c r="BV72">
        <v>53</v>
      </c>
      <c r="CY72">
        <v>123</v>
      </c>
      <c r="DV72">
        <v>582</v>
      </c>
    </row>
    <row r="73" spans="1:126" x14ac:dyDescent="0.3">
      <c r="A73" s="9" t="s">
        <v>460</v>
      </c>
      <c r="AA73">
        <v>62</v>
      </c>
      <c r="AC73">
        <v>131</v>
      </c>
      <c r="BE73">
        <v>102</v>
      </c>
      <c r="BG73">
        <v>57</v>
      </c>
      <c r="CS73">
        <v>40</v>
      </c>
      <c r="DN73">
        <v>81</v>
      </c>
      <c r="DV73">
        <v>473</v>
      </c>
    </row>
    <row r="74" spans="1:126" x14ac:dyDescent="0.3">
      <c r="A74" s="9" t="s">
        <v>46</v>
      </c>
      <c r="CN74">
        <v>127</v>
      </c>
      <c r="CT74">
        <v>63</v>
      </c>
      <c r="DV74">
        <v>190</v>
      </c>
    </row>
    <row r="75" spans="1:126" x14ac:dyDescent="0.3">
      <c r="A75" s="9" t="s">
        <v>454</v>
      </c>
      <c r="P75">
        <v>87</v>
      </c>
      <c r="AO75">
        <v>53</v>
      </c>
      <c r="AZ75">
        <v>54</v>
      </c>
      <c r="DV75">
        <v>194</v>
      </c>
    </row>
    <row r="76" spans="1:126" x14ac:dyDescent="0.3">
      <c r="A76" s="9" t="s">
        <v>45</v>
      </c>
      <c r="AD76">
        <v>115</v>
      </c>
      <c r="AM76">
        <v>84</v>
      </c>
      <c r="AR76">
        <v>72</v>
      </c>
      <c r="BF76">
        <v>45</v>
      </c>
      <c r="BO76">
        <v>48</v>
      </c>
      <c r="BS76">
        <v>30</v>
      </c>
      <c r="CI76">
        <v>81</v>
      </c>
      <c r="DS76">
        <v>144</v>
      </c>
      <c r="DV76">
        <v>619</v>
      </c>
    </row>
    <row r="77" spans="1:126" x14ac:dyDescent="0.3">
      <c r="A77" s="9" t="s">
        <v>390</v>
      </c>
      <c r="BB77">
        <v>93</v>
      </c>
      <c r="CG77">
        <v>107</v>
      </c>
      <c r="CQ77">
        <v>116</v>
      </c>
      <c r="DL77">
        <v>41</v>
      </c>
      <c r="DV77">
        <v>357</v>
      </c>
    </row>
    <row r="78" spans="1:126" x14ac:dyDescent="0.3">
      <c r="A78" s="9" t="s">
        <v>37</v>
      </c>
      <c r="BY78">
        <v>111</v>
      </c>
      <c r="CV78">
        <v>40</v>
      </c>
      <c r="CZ78">
        <v>14</v>
      </c>
      <c r="DV78">
        <v>165</v>
      </c>
    </row>
    <row r="79" spans="1:126" x14ac:dyDescent="0.3">
      <c r="A79" s="9" t="s">
        <v>401</v>
      </c>
      <c r="AI79">
        <v>127</v>
      </c>
      <c r="AV79">
        <v>118</v>
      </c>
      <c r="BZ79">
        <v>57</v>
      </c>
      <c r="CJ79">
        <v>111</v>
      </c>
      <c r="CY79">
        <v>71</v>
      </c>
      <c r="DC79">
        <v>62</v>
      </c>
      <c r="DK79">
        <v>125</v>
      </c>
      <c r="DV79">
        <v>671</v>
      </c>
    </row>
    <row r="80" spans="1:126" x14ac:dyDescent="0.3">
      <c r="A80" s="9" t="s">
        <v>86</v>
      </c>
      <c r="V80">
        <v>60</v>
      </c>
      <c r="BF80">
        <v>0</v>
      </c>
      <c r="BS80">
        <v>135</v>
      </c>
      <c r="DV80">
        <v>195</v>
      </c>
    </row>
    <row r="81" spans="1:126" x14ac:dyDescent="0.3">
      <c r="A81" s="9" t="s">
        <v>402</v>
      </c>
      <c r="AQ81">
        <v>40</v>
      </c>
      <c r="BB81">
        <v>130</v>
      </c>
      <c r="DV81">
        <v>170</v>
      </c>
    </row>
    <row r="82" spans="1:126" x14ac:dyDescent="0.3">
      <c r="A82" s="9" t="s">
        <v>21</v>
      </c>
      <c r="T82">
        <v>90</v>
      </c>
      <c r="AU82">
        <v>100</v>
      </c>
      <c r="BA82">
        <v>148</v>
      </c>
      <c r="BH82">
        <v>118</v>
      </c>
      <c r="CH82">
        <v>104</v>
      </c>
      <c r="DV82">
        <v>560</v>
      </c>
    </row>
    <row r="83" spans="1:126" x14ac:dyDescent="0.3">
      <c r="A83" s="9" t="s">
        <v>448</v>
      </c>
      <c r="H83">
        <v>70</v>
      </c>
      <c r="S83">
        <v>92</v>
      </c>
      <c r="AG83">
        <v>137</v>
      </c>
      <c r="CC83">
        <v>104</v>
      </c>
      <c r="CJ83">
        <v>83</v>
      </c>
      <c r="DK83">
        <v>42</v>
      </c>
      <c r="DP83">
        <v>62</v>
      </c>
      <c r="DV83">
        <v>590</v>
      </c>
    </row>
    <row r="84" spans="1:126" x14ac:dyDescent="0.3">
      <c r="A84" s="9" t="s">
        <v>392</v>
      </c>
      <c r="AG84">
        <v>52</v>
      </c>
      <c r="AQ84">
        <v>47</v>
      </c>
      <c r="AZ84">
        <v>29</v>
      </c>
      <c r="CW84">
        <v>109</v>
      </c>
      <c r="DC84">
        <v>87</v>
      </c>
      <c r="DV84">
        <v>324</v>
      </c>
    </row>
    <row r="85" spans="1:126" x14ac:dyDescent="0.3">
      <c r="A85" s="9" t="s">
        <v>104</v>
      </c>
      <c r="AD85">
        <v>65</v>
      </c>
      <c r="AS85">
        <v>79</v>
      </c>
      <c r="CN85">
        <v>109</v>
      </c>
      <c r="DJ85">
        <v>118</v>
      </c>
      <c r="DV85">
        <v>371</v>
      </c>
    </row>
    <row r="86" spans="1:126" x14ac:dyDescent="0.3">
      <c r="A86" s="9" t="s">
        <v>444</v>
      </c>
      <c r="X86">
        <v>104</v>
      </c>
      <c r="AX86">
        <v>128</v>
      </c>
      <c r="CL86">
        <v>67</v>
      </c>
      <c r="CS86">
        <v>85</v>
      </c>
      <c r="DR86">
        <v>57</v>
      </c>
      <c r="DV86">
        <v>441</v>
      </c>
    </row>
    <row r="87" spans="1:126" x14ac:dyDescent="0.3">
      <c r="A87" s="9" t="s">
        <v>62</v>
      </c>
      <c r="B87">
        <v>104</v>
      </c>
      <c r="AM87">
        <v>104</v>
      </c>
      <c r="BU87">
        <v>75</v>
      </c>
      <c r="CR87">
        <v>102</v>
      </c>
      <c r="CV87">
        <v>73</v>
      </c>
      <c r="DV87">
        <v>458</v>
      </c>
    </row>
    <row r="88" spans="1:126" x14ac:dyDescent="0.3">
      <c r="A88" s="9" t="s">
        <v>414</v>
      </c>
      <c r="AA88">
        <v>87</v>
      </c>
      <c r="DP88">
        <v>54</v>
      </c>
      <c r="DV88">
        <v>141</v>
      </c>
    </row>
    <row r="89" spans="1:126" x14ac:dyDescent="0.3">
      <c r="A89" s="9" t="s">
        <v>33</v>
      </c>
      <c r="M89">
        <v>153</v>
      </c>
      <c r="Q89">
        <v>114</v>
      </c>
      <c r="W89">
        <v>157</v>
      </c>
      <c r="BM89">
        <v>111</v>
      </c>
      <c r="CI89">
        <v>115</v>
      </c>
      <c r="DF89">
        <v>138</v>
      </c>
      <c r="DJ89">
        <v>84</v>
      </c>
      <c r="DV89">
        <v>872</v>
      </c>
    </row>
    <row r="90" spans="1:126" x14ac:dyDescent="0.3">
      <c r="A90" s="9" t="s">
        <v>34</v>
      </c>
      <c r="AD90">
        <v>91</v>
      </c>
      <c r="BF90">
        <v>121</v>
      </c>
      <c r="DV90">
        <v>212</v>
      </c>
    </row>
    <row r="91" spans="1:126" x14ac:dyDescent="0.3">
      <c r="A91" s="9" t="s">
        <v>388</v>
      </c>
      <c r="C91">
        <v>65</v>
      </c>
      <c r="AI91">
        <v>92</v>
      </c>
      <c r="DV91">
        <v>157</v>
      </c>
    </row>
    <row r="92" spans="1:126" x14ac:dyDescent="0.3">
      <c r="A92" s="9" t="s">
        <v>52</v>
      </c>
      <c r="AP92">
        <v>45</v>
      </c>
      <c r="BH92">
        <v>106</v>
      </c>
      <c r="DM92">
        <v>100</v>
      </c>
      <c r="DV92">
        <v>251</v>
      </c>
    </row>
    <row r="93" spans="1:126" x14ac:dyDescent="0.3">
      <c r="A93" s="9" t="s">
        <v>458</v>
      </c>
      <c r="N93">
        <v>79</v>
      </c>
      <c r="BC93">
        <v>79</v>
      </c>
      <c r="BQ93">
        <v>129</v>
      </c>
      <c r="DV93">
        <v>287</v>
      </c>
    </row>
    <row r="94" spans="1:126" x14ac:dyDescent="0.3">
      <c r="A94" s="9" t="s">
        <v>51</v>
      </c>
      <c r="V94">
        <v>121</v>
      </c>
      <c r="AS94">
        <v>117</v>
      </c>
      <c r="BH94">
        <v>80</v>
      </c>
      <c r="CK94">
        <v>65</v>
      </c>
      <c r="DB94">
        <v>27</v>
      </c>
      <c r="DF94">
        <v>72</v>
      </c>
      <c r="DO94">
        <v>110</v>
      </c>
      <c r="DV94">
        <v>592</v>
      </c>
    </row>
    <row r="95" spans="1:126" x14ac:dyDescent="0.3">
      <c r="A95" s="9" t="s">
        <v>64</v>
      </c>
      <c r="K95">
        <v>26</v>
      </c>
      <c r="M95">
        <v>30</v>
      </c>
      <c r="T95">
        <v>103</v>
      </c>
      <c r="CT95">
        <v>87</v>
      </c>
      <c r="DV95">
        <v>246</v>
      </c>
    </row>
    <row r="96" spans="1:126" x14ac:dyDescent="0.3">
      <c r="A96" s="9" t="s">
        <v>427</v>
      </c>
      <c r="AH96">
        <v>174</v>
      </c>
      <c r="BK96">
        <v>87</v>
      </c>
      <c r="BZ96">
        <v>88</v>
      </c>
      <c r="CE96">
        <v>109</v>
      </c>
      <c r="DV96">
        <v>458</v>
      </c>
    </row>
    <row r="97" spans="1:126" x14ac:dyDescent="0.3">
      <c r="A97" s="9" t="s">
        <v>70</v>
      </c>
      <c r="I97">
        <v>80</v>
      </c>
      <c r="V97">
        <v>102</v>
      </c>
      <c r="AB97">
        <v>147</v>
      </c>
      <c r="BA97">
        <v>113</v>
      </c>
      <c r="CN97">
        <v>96</v>
      </c>
      <c r="DH97">
        <v>62</v>
      </c>
      <c r="DV97">
        <v>600</v>
      </c>
    </row>
    <row r="98" spans="1:126" x14ac:dyDescent="0.3">
      <c r="A98" s="9" t="s">
        <v>403</v>
      </c>
      <c r="C98">
        <v>75</v>
      </c>
      <c r="D98">
        <v>135</v>
      </c>
      <c r="AT98">
        <v>118</v>
      </c>
      <c r="CL98">
        <v>60</v>
      </c>
      <c r="DV98">
        <v>388</v>
      </c>
    </row>
    <row r="99" spans="1:126" x14ac:dyDescent="0.3">
      <c r="A99" s="9" t="s">
        <v>50</v>
      </c>
      <c r="Z99">
        <v>93</v>
      </c>
      <c r="CA99">
        <v>57</v>
      </c>
      <c r="CI99">
        <v>52</v>
      </c>
      <c r="DD99">
        <v>68</v>
      </c>
      <c r="DF99">
        <v>111</v>
      </c>
      <c r="DO99">
        <v>69</v>
      </c>
      <c r="DQ99">
        <v>88</v>
      </c>
      <c r="DV99">
        <v>538</v>
      </c>
    </row>
    <row r="100" spans="1:126" x14ac:dyDescent="0.3">
      <c r="A100" s="9" t="s">
        <v>397</v>
      </c>
      <c r="D100">
        <v>109</v>
      </c>
      <c r="U100">
        <v>96</v>
      </c>
      <c r="AA100">
        <v>92</v>
      </c>
      <c r="CB100">
        <v>82</v>
      </c>
      <c r="DT100">
        <v>45</v>
      </c>
      <c r="DV100">
        <v>424</v>
      </c>
    </row>
    <row r="101" spans="1:126" x14ac:dyDescent="0.3">
      <c r="A101" s="9" t="s">
        <v>68</v>
      </c>
      <c r="M101">
        <v>48</v>
      </c>
      <c r="T101">
        <v>78</v>
      </c>
      <c r="AU101">
        <v>82</v>
      </c>
      <c r="BJ101">
        <v>43</v>
      </c>
      <c r="BW101">
        <v>25</v>
      </c>
      <c r="DV101">
        <v>276</v>
      </c>
    </row>
    <row r="102" spans="1:126" x14ac:dyDescent="0.3">
      <c r="A102" s="9" t="s">
        <v>413</v>
      </c>
      <c r="F102">
        <v>120</v>
      </c>
      <c r="AI102">
        <v>62</v>
      </c>
      <c r="AO102">
        <v>39</v>
      </c>
      <c r="AZ102">
        <v>65</v>
      </c>
      <c r="CG102">
        <v>65</v>
      </c>
      <c r="DV102">
        <v>351</v>
      </c>
    </row>
    <row r="103" spans="1:126" x14ac:dyDescent="0.3">
      <c r="A103" s="9" t="s">
        <v>99</v>
      </c>
      <c r="AF103">
        <v>22</v>
      </c>
      <c r="BL103">
        <v>45</v>
      </c>
      <c r="CA103">
        <v>78</v>
      </c>
      <c r="DH103">
        <v>15</v>
      </c>
      <c r="DJ103">
        <v>73</v>
      </c>
      <c r="DV103">
        <v>233</v>
      </c>
    </row>
    <row r="104" spans="1:126" x14ac:dyDescent="0.3">
      <c r="A104" s="9" t="s">
        <v>393</v>
      </c>
      <c r="X104">
        <v>111</v>
      </c>
      <c r="AT104">
        <v>87</v>
      </c>
      <c r="AV104">
        <v>114</v>
      </c>
      <c r="BZ104">
        <v>70</v>
      </c>
      <c r="CG104">
        <v>95</v>
      </c>
      <c r="DC104">
        <v>27</v>
      </c>
      <c r="DI104">
        <v>83</v>
      </c>
      <c r="DV104">
        <v>587</v>
      </c>
    </row>
    <row r="105" spans="1:126" x14ac:dyDescent="0.3">
      <c r="A105" s="9" t="s">
        <v>11</v>
      </c>
      <c r="Q105">
        <v>113</v>
      </c>
      <c r="V105">
        <v>59</v>
      </c>
      <c r="Y105">
        <v>56</v>
      </c>
      <c r="AN105">
        <v>44</v>
      </c>
      <c r="BA105">
        <v>133</v>
      </c>
      <c r="DV105">
        <v>405</v>
      </c>
    </row>
    <row r="106" spans="1:126" x14ac:dyDescent="0.3">
      <c r="A106" s="9" t="s">
        <v>418</v>
      </c>
      <c r="J106">
        <v>107</v>
      </c>
      <c r="U106">
        <v>87</v>
      </c>
      <c r="AL106">
        <v>57</v>
      </c>
      <c r="BI106">
        <v>97</v>
      </c>
      <c r="DP106">
        <v>31</v>
      </c>
      <c r="DV106">
        <v>379</v>
      </c>
    </row>
    <row r="107" spans="1:126" x14ac:dyDescent="0.3">
      <c r="A107" s="9" t="s">
        <v>38</v>
      </c>
      <c r="Q107">
        <v>77</v>
      </c>
      <c r="T107">
        <v>43</v>
      </c>
      <c r="AD107">
        <v>63</v>
      </c>
      <c r="BY107">
        <v>40</v>
      </c>
      <c r="DV107">
        <v>223</v>
      </c>
    </row>
    <row r="108" spans="1:126" x14ac:dyDescent="0.3">
      <c r="A108" s="9" t="s">
        <v>439</v>
      </c>
      <c r="L108">
        <v>24</v>
      </c>
      <c r="AG108">
        <v>59</v>
      </c>
      <c r="BZ108">
        <v>22</v>
      </c>
      <c r="DL108">
        <v>56</v>
      </c>
      <c r="DR108">
        <v>39</v>
      </c>
      <c r="DV108">
        <v>200</v>
      </c>
    </row>
    <row r="109" spans="1:126" x14ac:dyDescent="0.3">
      <c r="A109" s="9" t="s">
        <v>55</v>
      </c>
      <c r="AY109">
        <v>66</v>
      </c>
      <c r="BA109">
        <v>78</v>
      </c>
      <c r="BF109">
        <v>115</v>
      </c>
      <c r="DV109">
        <v>259</v>
      </c>
    </row>
    <row r="110" spans="1:126" x14ac:dyDescent="0.3">
      <c r="A110" s="9" t="s">
        <v>451</v>
      </c>
      <c r="AQ110">
        <v>54</v>
      </c>
      <c r="DL110">
        <v>49</v>
      </c>
      <c r="DR110">
        <v>62</v>
      </c>
      <c r="DV110">
        <v>165</v>
      </c>
    </row>
    <row r="111" spans="1:126" x14ac:dyDescent="0.3">
      <c r="A111" s="9" t="s">
        <v>25</v>
      </c>
      <c r="BF111">
        <v>7</v>
      </c>
      <c r="CK111">
        <v>35</v>
      </c>
      <c r="DO111">
        <v>48</v>
      </c>
      <c r="DV111">
        <v>90</v>
      </c>
    </row>
    <row r="112" spans="1:126" x14ac:dyDescent="0.3">
      <c r="A112" s="9" t="s">
        <v>431</v>
      </c>
      <c r="C112">
        <v>70</v>
      </c>
      <c r="F112">
        <v>102</v>
      </c>
      <c r="L112">
        <v>41</v>
      </c>
      <c r="AG112">
        <v>48</v>
      </c>
      <c r="AQ112">
        <v>37</v>
      </c>
      <c r="BT112">
        <v>62</v>
      </c>
      <c r="CS112">
        <v>30</v>
      </c>
      <c r="DV112">
        <v>390</v>
      </c>
    </row>
    <row r="113" spans="1:126" x14ac:dyDescent="0.3">
      <c r="A113" s="9" t="s">
        <v>63</v>
      </c>
      <c r="CA113">
        <v>42</v>
      </c>
      <c r="CN113">
        <v>73</v>
      </c>
      <c r="DD113">
        <v>59</v>
      </c>
      <c r="DV113">
        <v>174</v>
      </c>
    </row>
    <row r="114" spans="1:126" x14ac:dyDescent="0.3">
      <c r="A114" s="9" t="s">
        <v>423</v>
      </c>
      <c r="X114">
        <v>105</v>
      </c>
      <c r="AI114">
        <v>80</v>
      </c>
      <c r="AJ114">
        <v>79</v>
      </c>
      <c r="AZ114">
        <v>42</v>
      </c>
      <c r="BK114">
        <v>85</v>
      </c>
      <c r="DA114">
        <v>106</v>
      </c>
      <c r="DC114">
        <v>48</v>
      </c>
      <c r="DV114">
        <v>545</v>
      </c>
    </row>
    <row r="115" spans="1:126" x14ac:dyDescent="0.3">
      <c r="A115" s="9" t="s">
        <v>100</v>
      </c>
      <c r="G115">
        <v>32</v>
      </c>
      <c r="K115">
        <v>54</v>
      </c>
      <c r="Q115">
        <v>60</v>
      </c>
      <c r="DV115">
        <v>146</v>
      </c>
    </row>
    <row r="116" spans="1:126" x14ac:dyDescent="0.3">
      <c r="A116" s="9" t="s">
        <v>398</v>
      </c>
      <c r="P116">
        <v>105</v>
      </c>
      <c r="AV116">
        <v>89</v>
      </c>
      <c r="BK116">
        <v>77</v>
      </c>
      <c r="BV116">
        <v>53</v>
      </c>
      <c r="CE116">
        <v>168</v>
      </c>
      <c r="CJ116">
        <v>74</v>
      </c>
      <c r="DK116">
        <v>86</v>
      </c>
      <c r="DV116">
        <v>652</v>
      </c>
    </row>
    <row r="117" spans="1:126" x14ac:dyDescent="0.3">
      <c r="A117" s="9" t="s">
        <v>40</v>
      </c>
      <c r="M117">
        <v>65</v>
      </c>
      <c r="V117">
        <v>55</v>
      </c>
      <c r="CI117">
        <v>125</v>
      </c>
      <c r="DF117">
        <v>104</v>
      </c>
      <c r="DV117">
        <v>349</v>
      </c>
    </row>
    <row r="118" spans="1:126" x14ac:dyDescent="0.3">
      <c r="A118" s="9" t="s">
        <v>422</v>
      </c>
      <c r="BG118">
        <v>80</v>
      </c>
      <c r="DV118">
        <v>80</v>
      </c>
    </row>
    <row r="119" spans="1:126" x14ac:dyDescent="0.3">
      <c r="A119" s="9" t="s">
        <v>434</v>
      </c>
      <c r="D119">
        <v>112</v>
      </c>
      <c r="CE119">
        <v>90</v>
      </c>
      <c r="CL119">
        <v>75</v>
      </c>
      <c r="DV119">
        <v>277</v>
      </c>
    </row>
    <row r="120" spans="1:126" x14ac:dyDescent="0.3">
      <c r="A120" s="9" t="s">
        <v>19</v>
      </c>
      <c r="E120">
        <v>89</v>
      </c>
      <c r="BL120">
        <v>69</v>
      </c>
      <c r="BS120">
        <v>72</v>
      </c>
      <c r="BW120">
        <v>106</v>
      </c>
      <c r="CZ120">
        <v>84</v>
      </c>
      <c r="DV120">
        <v>420</v>
      </c>
    </row>
    <row r="121" spans="1:126" x14ac:dyDescent="0.3">
      <c r="A121" s="9" t="s">
        <v>447</v>
      </c>
      <c r="AG121">
        <v>27</v>
      </c>
      <c r="CG121">
        <v>77</v>
      </c>
      <c r="CL121">
        <v>83</v>
      </c>
      <c r="DV121">
        <v>187</v>
      </c>
    </row>
    <row r="122" spans="1:126" x14ac:dyDescent="0.3">
      <c r="A122" s="9" t="s">
        <v>26</v>
      </c>
      <c r="K122">
        <v>40</v>
      </c>
      <c r="AK122">
        <v>102</v>
      </c>
      <c r="CN122">
        <v>90</v>
      </c>
      <c r="DF122">
        <v>40</v>
      </c>
      <c r="DS122">
        <v>106</v>
      </c>
      <c r="DV122">
        <v>378</v>
      </c>
    </row>
    <row r="123" spans="1:126" x14ac:dyDescent="0.3">
      <c r="A123" s="9" t="s">
        <v>449</v>
      </c>
      <c r="AH123">
        <v>112</v>
      </c>
      <c r="AZ123">
        <v>111</v>
      </c>
      <c r="BG123">
        <v>64</v>
      </c>
      <c r="BZ123">
        <v>51</v>
      </c>
      <c r="DV123">
        <v>338</v>
      </c>
    </row>
    <row r="124" spans="1:126" x14ac:dyDescent="0.3">
      <c r="A124" s="9" t="s">
        <v>81</v>
      </c>
      <c r="R124">
        <v>87</v>
      </c>
      <c r="Y124">
        <v>70</v>
      </c>
      <c r="BW124">
        <v>53</v>
      </c>
      <c r="CT124">
        <v>55</v>
      </c>
      <c r="DB124">
        <v>75</v>
      </c>
      <c r="DH124">
        <v>37</v>
      </c>
      <c r="DO124">
        <v>93</v>
      </c>
      <c r="DV124">
        <v>470</v>
      </c>
    </row>
    <row r="125" spans="1:126" x14ac:dyDescent="0.3">
      <c r="A125" s="9" t="s">
        <v>417</v>
      </c>
      <c r="AL125">
        <v>60</v>
      </c>
      <c r="DN125">
        <v>20</v>
      </c>
      <c r="DV125">
        <v>80</v>
      </c>
    </row>
    <row r="126" spans="1:126" x14ac:dyDescent="0.3">
      <c r="A126" s="9" t="s">
        <v>49</v>
      </c>
      <c r="E126">
        <v>95</v>
      </c>
      <c r="I126">
        <v>120</v>
      </c>
      <c r="AP126">
        <v>73</v>
      </c>
      <c r="CR126">
        <v>110</v>
      </c>
      <c r="DV126">
        <v>398</v>
      </c>
    </row>
    <row r="127" spans="1:126" x14ac:dyDescent="0.3">
      <c r="A127" s="9" t="s">
        <v>395</v>
      </c>
      <c r="D127">
        <v>87</v>
      </c>
      <c r="J127">
        <v>119</v>
      </c>
      <c r="S127">
        <v>80</v>
      </c>
      <c r="X127">
        <v>90</v>
      </c>
      <c r="AE127">
        <v>42</v>
      </c>
      <c r="DE127">
        <v>63</v>
      </c>
      <c r="DR127">
        <v>112</v>
      </c>
      <c r="DV127">
        <v>593</v>
      </c>
    </row>
    <row r="128" spans="1:126" x14ac:dyDescent="0.3">
      <c r="A128" s="9" t="s">
        <v>44</v>
      </c>
      <c r="V128">
        <v>63</v>
      </c>
      <c r="BW128">
        <v>86</v>
      </c>
      <c r="CP128">
        <v>79</v>
      </c>
      <c r="DV128">
        <v>228</v>
      </c>
    </row>
    <row r="129" spans="1:126" x14ac:dyDescent="0.3">
      <c r="A129" s="9" t="s">
        <v>588</v>
      </c>
      <c r="B129">
        <v>325</v>
      </c>
      <c r="C129">
        <v>313</v>
      </c>
      <c r="D129">
        <v>443</v>
      </c>
      <c r="E129">
        <v>473</v>
      </c>
      <c r="F129">
        <v>422</v>
      </c>
      <c r="G129">
        <v>349</v>
      </c>
      <c r="H129">
        <v>399</v>
      </c>
      <c r="I129">
        <v>240</v>
      </c>
      <c r="J129">
        <v>226</v>
      </c>
      <c r="K129">
        <v>360</v>
      </c>
      <c r="L129">
        <v>360</v>
      </c>
      <c r="M129">
        <v>426</v>
      </c>
      <c r="N129">
        <v>450</v>
      </c>
      <c r="O129">
        <v>401</v>
      </c>
      <c r="P129">
        <v>412</v>
      </c>
      <c r="Q129">
        <v>730</v>
      </c>
      <c r="R129">
        <v>364</v>
      </c>
      <c r="S129">
        <v>437</v>
      </c>
      <c r="T129">
        <v>581</v>
      </c>
      <c r="U129">
        <v>448</v>
      </c>
      <c r="V129">
        <v>700</v>
      </c>
      <c r="W129">
        <v>392</v>
      </c>
      <c r="X129">
        <v>410</v>
      </c>
      <c r="Y129">
        <v>271</v>
      </c>
      <c r="Z129">
        <v>186</v>
      </c>
      <c r="AA129">
        <v>338</v>
      </c>
      <c r="AB129">
        <v>543</v>
      </c>
      <c r="AC129">
        <v>603</v>
      </c>
      <c r="AD129">
        <v>504</v>
      </c>
      <c r="AE129">
        <v>271</v>
      </c>
      <c r="AF129">
        <v>22</v>
      </c>
      <c r="AG129">
        <v>448</v>
      </c>
      <c r="AH129">
        <v>652</v>
      </c>
      <c r="AI129">
        <v>576</v>
      </c>
      <c r="AJ129">
        <v>547</v>
      </c>
      <c r="AK129">
        <v>283</v>
      </c>
      <c r="AL129">
        <v>277</v>
      </c>
      <c r="AM129">
        <v>518</v>
      </c>
      <c r="AN129">
        <v>179</v>
      </c>
      <c r="AO129">
        <v>307</v>
      </c>
      <c r="AP129">
        <v>203</v>
      </c>
      <c r="AQ129">
        <v>423</v>
      </c>
      <c r="AR129">
        <v>119</v>
      </c>
      <c r="AS129">
        <v>513</v>
      </c>
      <c r="AT129">
        <v>358</v>
      </c>
      <c r="AU129">
        <v>365</v>
      </c>
      <c r="AV129">
        <v>563</v>
      </c>
      <c r="AW129">
        <v>135</v>
      </c>
      <c r="AX129">
        <v>248</v>
      </c>
      <c r="AY129">
        <v>201</v>
      </c>
      <c r="AZ129">
        <v>366</v>
      </c>
      <c r="BA129">
        <v>633</v>
      </c>
      <c r="BB129">
        <v>518</v>
      </c>
      <c r="BC129">
        <v>382</v>
      </c>
      <c r="BD129">
        <v>400</v>
      </c>
      <c r="BE129">
        <v>392</v>
      </c>
      <c r="BF129">
        <v>555</v>
      </c>
      <c r="BG129">
        <v>409</v>
      </c>
      <c r="BH129">
        <v>622</v>
      </c>
      <c r="BI129">
        <v>414</v>
      </c>
      <c r="BJ129">
        <v>322</v>
      </c>
      <c r="BK129">
        <v>295</v>
      </c>
      <c r="BL129">
        <v>270</v>
      </c>
      <c r="BM129">
        <v>484</v>
      </c>
      <c r="BN129">
        <v>314</v>
      </c>
      <c r="BO129">
        <v>266</v>
      </c>
      <c r="BP129">
        <v>93</v>
      </c>
      <c r="BQ129">
        <v>388</v>
      </c>
      <c r="BR129">
        <v>351</v>
      </c>
      <c r="BS129">
        <v>535</v>
      </c>
      <c r="BT129">
        <v>632</v>
      </c>
      <c r="BU129">
        <v>75</v>
      </c>
      <c r="BV129">
        <v>291</v>
      </c>
      <c r="BW129">
        <v>451</v>
      </c>
      <c r="BX129">
        <v>226</v>
      </c>
      <c r="BY129">
        <v>620</v>
      </c>
      <c r="BZ129">
        <v>461</v>
      </c>
      <c r="CA129">
        <v>233</v>
      </c>
      <c r="CB129">
        <v>160</v>
      </c>
      <c r="CC129">
        <v>377</v>
      </c>
      <c r="CD129">
        <v>476</v>
      </c>
      <c r="CE129">
        <v>457</v>
      </c>
      <c r="CF129">
        <v>324</v>
      </c>
      <c r="CG129">
        <v>635</v>
      </c>
      <c r="CH129">
        <v>236</v>
      </c>
      <c r="CI129">
        <v>688</v>
      </c>
      <c r="CJ129">
        <v>475</v>
      </c>
      <c r="CK129">
        <v>410</v>
      </c>
      <c r="CL129">
        <v>446</v>
      </c>
      <c r="CM129">
        <v>194</v>
      </c>
      <c r="CN129">
        <v>495</v>
      </c>
      <c r="CO129">
        <v>620</v>
      </c>
      <c r="CP129">
        <v>268</v>
      </c>
      <c r="CQ129">
        <v>428</v>
      </c>
      <c r="CR129">
        <v>212</v>
      </c>
      <c r="CS129">
        <v>286</v>
      </c>
      <c r="CT129">
        <v>258</v>
      </c>
      <c r="CU129">
        <v>385</v>
      </c>
      <c r="CV129">
        <v>240</v>
      </c>
      <c r="CW129">
        <v>199</v>
      </c>
      <c r="CX129">
        <v>431</v>
      </c>
      <c r="CY129">
        <v>300</v>
      </c>
      <c r="CZ129">
        <v>303</v>
      </c>
      <c r="DA129">
        <v>334</v>
      </c>
      <c r="DB129">
        <v>306</v>
      </c>
      <c r="DC129">
        <v>364</v>
      </c>
      <c r="DD129">
        <v>370</v>
      </c>
      <c r="DE129">
        <v>105</v>
      </c>
      <c r="DF129">
        <v>547</v>
      </c>
      <c r="DG129">
        <v>107</v>
      </c>
      <c r="DH129">
        <v>343</v>
      </c>
      <c r="DI129">
        <v>143</v>
      </c>
      <c r="DJ129">
        <v>483</v>
      </c>
      <c r="DK129">
        <v>755</v>
      </c>
      <c r="DL129">
        <v>393</v>
      </c>
      <c r="DM129">
        <v>365</v>
      </c>
      <c r="DN129">
        <v>491</v>
      </c>
      <c r="DO129">
        <v>320</v>
      </c>
      <c r="DP129">
        <v>269</v>
      </c>
      <c r="DQ129">
        <v>146</v>
      </c>
      <c r="DR129">
        <v>597</v>
      </c>
      <c r="DS129">
        <v>459</v>
      </c>
      <c r="DT129">
        <v>174</v>
      </c>
      <c r="DU129">
        <v>470</v>
      </c>
      <c r="DV129">
        <v>47156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8CB4B7-8CFE-4255-9FB7-E5ACB0992404}">
  <dimension ref="A3:G128"/>
  <sheetViews>
    <sheetView topLeftCell="A7" workbookViewId="0">
      <selection activeCell="I8" sqref="I8"/>
    </sheetView>
  </sheetViews>
  <sheetFormatPr defaultRowHeight="14.4" x14ac:dyDescent="0.3"/>
  <cols>
    <col min="1" max="1" width="12.5546875" bestFit="1" customWidth="1"/>
    <col min="2" max="2" width="11.88671875" bestFit="1" customWidth="1"/>
    <col min="3" max="3" width="15.109375" bestFit="1" customWidth="1"/>
    <col min="4" max="4" width="14.21875" bestFit="1" customWidth="1"/>
    <col min="5" max="5" width="11.44140625" bestFit="1" customWidth="1"/>
    <col min="6" max="6" width="11.77734375" bestFit="1" customWidth="1"/>
    <col min="7" max="7" width="14.88671875" bestFit="1" customWidth="1"/>
  </cols>
  <sheetData>
    <row r="3" spans="1:7" x14ac:dyDescent="0.3">
      <c r="A3" s="8" t="s">
        <v>587</v>
      </c>
      <c r="B3" t="s">
        <v>589</v>
      </c>
      <c r="C3" t="s">
        <v>590</v>
      </c>
      <c r="D3" t="s">
        <v>591</v>
      </c>
      <c r="E3" t="s">
        <v>592</v>
      </c>
      <c r="F3" t="s">
        <v>593</v>
      </c>
      <c r="G3" t="s">
        <v>609</v>
      </c>
    </row>
    <row r="4" spans="1:7" x14ac:dyDescent="0.3">
      <c r="A4" s="9" t="s">
        <v>446</v>
      </c>
      <c r="B4">
        <v>2155</v>
      </c>
      <c r="C4">
        <v>134.6875</v>
      </c>
      <c r="D4">
        <v>33.189795118379386</v>
      </c>
      <c r="E4">
        <v>79</v>
      </c>
      <c r="F4">
        <v>223</v>
      </c>
      <c r="G4">
        <f>GETPIVOTDATA("Average of score",$A$3,"team","229V")/GETPIVOTDATA("StdDev of score",$A$3,"team","229V")</f>
        <v>4.0580997719209968</v>
      </c>
    </row>
    <row r="5" spans="1:7" x14ac:dyDescent="0.3">
      <c r="A5" s="9" t="s">
        <v>33</v>
      </c>
      <c r="B5">
        <v>1378</v>
      </c>
      <c r="C5">
        <v>125.27272727272727</v>
      </c>
      <c r="D5">
        <v>22.588009691386763</v>
      </c>
      <c r="E5">
        <v>84</v>
      </c>
      <c r="F5">
        <v>157</v>
      </c>
      <c r="G5">
        <f>GETPIVOTDATA("Average of score",$A$3,"team","886N")/GETPIVOTDATA("StdDev of score",$A$3,"team","886N")</f>
        <v>5.5459834214829531</v>
      </c>
    </row>
    <row r="6" spans="1:7" x14ac:dyDescent="0.3">
      <c r="A6" s="9" t="s">
        <v>43</v>
      </c>
      <c r="B6">
        <v>2194</v>
      </c>
      <c r="C6">
        <v>121.88888888888889</v>
      </c>
      <c r="D6">
        <v>24.376673731709598</v>
      </c>
      <c r="E6">
        <v>77</v>
      </c>
      <c r="F6">
        <v>157</v>
      </c>
      <c r="G6">
        <f>GETPIVOTDATA("Average of score",$A$3,"team","11101B")/GETPIVOTDATA("StdDev of score",$A$3,"team","11101B")</f>
        <v>5.0002264554385745</v>
      </c>
    </row>
    <row r="7" spans="1:7" x14ac:dyDescent="0.3">
      <c r="A7" s="9" t="s">
        <v>56</v>
      </c>
      <c r="B7">
        <v>1337</v>
      </c>
      <c r="C7">
        <v>121.54545454545455</v>
      </c>
      <c r="D7">
        <v>27.215303181716099</v>
      </c>
      <c r="E7">
        <v>78</v>
      </c>
      <c r="F7">
        <v>161</v>
      </c>
      <c r="G7">
        <f>GETPIVOTDATA("Average of score",$A$3,"team","502X")/GETPIVOTDATA("StdDev of score",$A$3,"team","502X")</f>
        <v>4.4660702007946664</v>
      </c>
    </row>
    <row r="8" spans="1:7" x14ac:dyDescent="0.3">
      <c r="A8" s="9" t="s">
        <v>427</v>
      </c>
      <c r="B8">
        <v>1661</v>
      </c>
      <c r="C8">
        <v>118.64285714285714</v>
      </c>
      <c r="D8">
        <v>31.789226870984852</v>
      </c>
      <c r="E8">
        <v>87</v>
      </c>
      <c r="F8">
        <v>174</v>
      </c>
      <c r="G8">
        <f>GETPIVOTDATA("Average of score",$A$3,"team","9364C")/GETPIVOTDATA("StdDev of score",$A$3,"team","9364C")</f>
        <v>3.7321718336958569</v>
      </c>
    </row>
    <row r="9" spans="1:7" x14ac:dyDescent="0.3">
      <c r="A9" s="9" t="s">
        <v>421</v>
      </c>
      <c r="B9">
        <v>1642</v>
      </c>
      <c r="C9">
        <v>117.28571428571429</v>
      </c>
      <c r="D9">
        <v>30.663003444212364</v>
      </c>
      <c r="E9">
        <v>59</v>
      </c>
      <c r="F9">
        <v>168</v>
      </c>
      <c r="G9">
        <f>GETPIVOTDATA("Average of score",$A$3,"team","10012G")/GETPIVOTDATA("StdDev of score",$A$3,"team","10012G")</f>
        <v>3.8249910677896084</v>
      </c>
    </row>
    <row r="10" spans="1:7" x14ac:dyDescent="0.3">
      <c r="A10" s="9" t="s">
        <v>389</v>
      </c>
      <c r="B10">
        <v>1820</v>
      </c>
      <c r="C10">
        <v>113.75</v>
      </c>
      <c r="D10">
        <v>29.620938540161081</v>
      </c>
      <c r="E10">
        <v>65</v>
      </c>
      <c r="F10">
        <v>163</v>
      </c>
      <c r="G10">
        <f>GETPIVOTDATA("Average of score",$A$3,"team","10C")/GETPIVOTDATA("StdDev of score",$A$3,"team","10C")</f>
        <v>3.8401889206101241</v>
      </c>
    </row>
    <row r="11" spans="1:7" x14ac:dyDescent="0.3">
      <c r="A11" s="9" t="s">
        <v>27</v>
      </c>
      <c r="B11">
        <v>1931</v>
      </c>
      <c r="C11">
        <v>113.58823529411765</v>
      </c>
      <c r="D11">
        <v>26.426924772685464</v>
      </c>
      <c r="E11">
        <v>67</v>
      </c>
      <c r="F11">
        <v>152</v>
      </c>
      <c r="G11">
        <f>GETPIVOTDATA("Average of score",$A$3,"team","1010W")/GETPIVOTDATA("StdDev of score",$A$3,"team","1010W")</f>
        <v>4.2982010306216569</v>
      </c>
    </row>
    <row r="12" spans="1:7" x14ac:dyDescent="0.3">
      <c r="A12" s="9" t="s">
        <v>436</v>
      </c>
      <c r="B12">
        <v>1351</v>
      </c>
      <c r="C12">
        <v>112.58333333333333</v>
      </c>
      <c r="D12">
        <v>30.467444125084576</v>
      </c>
      <c r="E12">
        <v>83</v>
      </c>
      <c r="F12">
        <v>186</v>
      </c>
      <c r="G12">
        <f>GETPIVOTDATA("Average of score",$A$3,"team","1168A")/GETPIVOTDATA("StdDev of score",$A$3,"team","1168A")</f>
        <v>3.695201109457054</v>
      </c>
    </row>
    <row r="13" spans="1:7" x14ac:dyDescent="0.3">
      <c r="A13" s="9" t="s">
        <v>437</v>
      </c>
      <c r="B13">
        <v>1220</v>
      </c>
      <c r="C13">
        <v>110.90909090909091</v>
      </c>
      <c r="D13">
        <v>30.667424233067063</v>
      </c>
      <c r="E13">
        <v>80</v>
      </c>
      <c r="F13">
        <v>186</v>
      </c>
      <c r="G13">
        <f>GETPIVOTDATA("Average of score",$A$3,"team","16689A")/GETPIVOTDATA("StdDev of score",$A$3,"team","16689A")</f>
        <v>3.6165114509194254</v>
      </c>
    </row>
    <row r="14" spans="1:7" x14ac:dyDescent="0.3">
      <c r="A14" s="9" t="s">
        <v>32</v>
      </c>
      <c r="B14">
        <v>1088</v>
      </c>
      <c r="C14">
        <v>108.8</v>
      </c>
      <c r="D14">
        <v>25.913531428794336</v>
      </c>
      <c r="E14">
        <v>72</v>
      </c>
      <c r="F14">
        <v>150</v>
      </c>
      <c r="G14">
        <f>GETPIVOTDATA("Average of score",$A$3,"team","5327S")/GETPIVOTDATA("StdDev of score",$A$3,"team","5327S")</f>
        <v>4.1985786576006658</v>
      </c>
    </row>
    <row r="15" spans="1:7" x14ac:dyDescent="0.3">
      <c r="A15" s="9" t="s">
        <v>428</v>
      </c>
      <c r="B15">
        <v>1303</v>
      </c>
      <c r="C15">
        <v>108.58333333333333</v>
      </c>
      <c r="D15">
        <v>24.388739329055227</v>
      </c>
      <c r="E15">
        <v>53</v>
      </c>
      <c r="F15">
        <v>140</v>
      </c>
      <c r="G15">
        <f>GETPIVOTDATA("Average of score",$A$3,"team","652A")/GETPIVOTDATA("StdDev of score",$A$3,"team","652A")</f>
        <v>4.4521913112570726</v>
      </c>
    </row>
    <row r="16" spans="1:7" x14ac:dyDescent="0.3">
      <c r="A16" s="9" t="s">
        <v>28</v>
      </c>
      <c r="B16">
        <v>1294</v>
      </c>
      <c r="C16">
        <v>107.83333333333333</v>
      </c>
      <c r="D16">
        <v>30.249968695200415</v>
      </c>
      <c r="E16">
        <v>35</v>
      </c>
      <c r="F16">
        <v>155</v>
      </c>
      <c r="G16">
        <f>GETPIVOTDATA("Average of score",$A$3,"team","51581S")/GETPIVOTDATA("StdDev of score",$A$3,"team","51581S")</f>
        <v>3.5647419810534418</v>
      </c>
    </row>
    <row r="17" spans="1:7" x14ac:dyDescent="0.3">
      <c r="A17" s="9" t="s">
        <v>86</v>
      </c>
      <c r="B17">
        <v>1599</v>
      </c>
      <c r="C17">
        <v>106.6</v>
      </c>
      <c r="D17">
        <v>42.208326869740496</v>
      </c>
      <c r="E17">
        <v>0</v>
      </c>
      <c r="F17">
        <v>142</v>
      </c>
      <c r="G17">
        <f>GETPIVOTDATA("Average of score",$A$3,"team","80001B")/GETPIVOTDATA("StdDev of score",$A$3,"team","80001B")</f>
        <v>2.5255680076819731</v>
      </c>
    </row>
    <row r="18" spans="1:7" x14ac:dyDescent="0.3">
      <c r="A18" s="9" t="s">
        <v>13</v>
      </c>
      <c r="B18">
        <v>1587</v>
      </c>
      <c r="C18">
        <v>105.8</v>
      </c>
      <c r="D18">
        <v>31.278016013076748</v>
      </c>
      <c r="E18">
        <v>40</v>
      </c>
      <c r="F18">
        <v>142</v>
      </c>
      <c r="G18">
        <f>GETPIVOTDATA("Average of score",$A$3,"team","10B")/GETPIVOTDATA("StdDev of score",$A$3,"team","10B")</f>
        <v>3.3825674862423183</v>
      </c>
    </row>
    <row r="19" spans="1:7" x14ac:dyDescent="0.3">
      <c r="A19" s="9" t="s">
        <v>74</v>
      </c>
      <c r="B19">
        <v>1262</v>
      </c>
      <c r="C19">
        <v>105.16666666666667</v>
      </c>
      <c r="D19">
        <v>29.082432477148089</v>
      </c>
      <c r="E19">
        <v>59</v>
      </c>
      <c r="F19">
        <v>158</v>
      </c>
      <c r="G19">
        <f>GETPIVOTDATA("Average of score",$A$3,"team","1469A")/GETPIVOTDATA("StdDev of score",$A$3,"team","1469A")</f>
        <v>3.616157855753737</v>
      </c>
    </row>
    <row r="20" spans="1:7" x14ac:dyDescent="0.3">
      <c r="A20" s="9" t="s">
        <v>426</v>
      </c>
      <c r="B20">
        <v>1141</v>
      </c>
      <c r="C20">
        <v>103.72727272727273</v>
      </c>
      <c r="D20">
        <v>41.689545234005401</v>
      </c>
      <c r="E20">
        <v>47</v>
      </c>
      <c r="F20">
        <v>168</v>
      </c>
      <c r="G20">
        <f>GETPIVOTDATA("Average of score",$A$3,"team","1698Y")/GETPIVOTDATA("StdDev of score",$A$3,"team","1698Y")</f>
        <v>2.4880883719178661</v>
      </c>
    </row>
    <row r="21" spans="1:7" x14ac:dyDescent="0.3">
      <c r="A21" s="9" t="s">
        <v>416</v>
      </c>
      <c r="B21">
        <v>1117</v>
      </c>
      <c r="C21">
        <v>101.54545454545455</v>
      </c>
      <c r="D21">
        <v>37.006387655007991</v>
      </c>
      <c r="E21">
        <v>52</v>
      </c>
      <c r="F21">
        <v>174</v>
      </c>
      <c r="G21">
        <f>GETPIVOTDATA("Average of score",$A$3,"team","1687C")/GETPIVOTDATA("StdDev of score",$A$3,"team","1687C")</f>
        <v>2.7439980225065992</v>
      </c>
    </row>
    <row r="22" spans="1:7" x14ac:dyDescent="0.3">
      <c r="A22" s="9" t="s">
        <v>18</v>
      </c>
      <c r="B22">
        <v>1011</v>
      </c>
      <c r="C22">
        <v>101.1</v>
      </c>
      <c r="D22">
        <v>20.496341136895612</v>
      </c>
      <c r="E22">
        <v>64</v>
      </c>
      <c r="F22">
        <v>135</v>
      </c>
      <c r="G22">
        <f>GETPIVOTDATA("Average of score",$A$3,"team","10009A")/GETPIVOTDATA("StdDev of score",$A$3,"team","10009A")</f>
        <v>4.9325876908834791</v>
      </c>
    </row>
    <row r="23" spans="1:7" x14ac:dyDescent="0.3">
      <c r="A23" s="9" t="s">
        <v>34</v>
      </c>
      <c r="B23">
        <v>1008</v>
      </c>
      <c r="C23">
        <v>100.8</v>
      </c>
      <c r="D23">
        <v>30.853777006317333</v>
      </c>
      <c r="E23">
        <v>52</v>
      </c>
      <c r="F23">
        <v>155</v>
      </c>
      <c r="G23">
        <f>GETPIVOTDATA("Average of score",$A$3,"team","8931R")/GETPIVOTDATA("StdDev of score",$A$3,"team","8931R")</f>
        <v>3.2670230286347479</v>
      </c>
    </row>
    <row r="24" spans="1:7" x14ac:dyDescent="0.3">
      <c r="A24" s="9" t="s">
        <v>94</v>
      </c>
      <c r="B24">
        <v>1001</v>
      </c>
      <c r="C24">
        <v>100.1</v>
      </c>
      <c r="D24">
        <v>31.925085921749851</v>
      </c>
      <c r="E24">
        <v>34</v>
      </c>
      <c r="F24">
        <v>140</v>
      </c>
      <c r="G24">
        <f>GETPIVOTDATA("Average of score",$A$3,"team","10K")/GETPIVOTDATA("StdDev of score",$A$3,"team","10K")</f>
        <v>3.1354653279665596</v>
      </c>
    </row>
    <row r="25" spans="1:7" x14ac:dyDescent="0.3">
      <c r="A25" s="9" t="s">
        <v>70</v>
      </c>
      <c r="B25">
        <v>1101</v>
      </c>
      <c r="C25">
        <v>100.09090909090909</v>
      </c>
      <c r="D25">
        <v>25.645485159983011</v>
      </c>
      <c r="E25">
        <v>62</v>
      </c>
      <c r="F25">
        <v>147</v>
      </c>
      <c r="G25">
        <f>GETPIVOTDATA("Average of score",$A$3,"team","9364D")/GETPIVOTDATA("StdDev of score",$A$3,"team","9364D")</f>
        <v>3.902866663138433</v>
      </c>
    </row>
    <row r="26" spans="1:7" x14ac:dyDescent="0.3">
      <c r="A26" s="9" t="s">
        <v>444</v>
      </c>
      <c r="B26">
        <v>898</v>
      </c>
      <c r="C26">
        <v>99.777777777777771</v>
      </c>
      <c r="D26">
        <v>33.293309304490073</v>
      </c>
      <c r="E26">
        <v>57</v>
      </c>
      <c r="F26">
        <v>168</v>
      </c>
      <c r="G26">
        <f>GETPIVOTDATA("Average of score",$A$3,"team","8675V")/GETPIVOTDATA("StdDev of score",$A$3,"team","8675V")</f>
        <v>2.9969318118917463</v>
      </c>
    </row>
    <row r="27" spans="1:7" x14ac:dyDescent="0.3">
      <c r="A27" s="9" t="s">
        <v>453</v>
      </c>
      <c r="B27">
        <v>996</v>
      </c>
      <c r="C27">
        <v>99.6</v>
      </c>
      <c r="D27">
        <v>50.235445653442746</v>
      </c>
      <c r="E27">
        <v>0</v>
      </c>
      <c r="F27">
        <v>200</v>
      </c>
      <c r="G27">
        <f>GETPIVOTDATA("Average of score",$A$3,"team","5155A")/GETPIVOTDATA("StdDev of score",$A$3,"team","5155A")</f>
        <v>1.9826638084810977</v>
      </c>
    </row>
    <row r="28" spans="1:7" x14ac:dyDescent="0.3">
      <c r="A28" s="9" t="s">
        <v>88</v>
      </c>
      <c r="B28">
        <v>1092</v>
      </c>
      <c r="C28">
        <v>99.272727272727266</v>
      </c>
      <c r="D28">
        <v>30.815875483558511</v>
      </c>
      <c r="E28">
        <v>47</v>
      </c>
      <c r="F28">
        <v>170</v>
      </c>
      <c r="G28">
        <f>GETPIVOTDATA("Average of score",$A$3,"team","3583A")/GETPIVOTDATA("StdDev of score",$A$3,"team","3583A")</f>
        <v>3.2214800233630614</v>
      </c>
    </row>
    <row r="29" spans="1:7" x14ac:dyDescent="0.3">
      <c r="A29" s="9" t="s">
        <v>73</v>
      </c>
      <c r="B29">
        <v>1090</v>
      </c>
      <c r="C29">
        <v>99.090909090909093</v>
      </c>
      <c r="D29">
        <v>34.250414728743195</v>
      </c>
      <c r="E29">
        <v>32</v>
      </c>
      <c r="F29">
        <v>161</v>
      </c>
      <c r="G29">
        <f>GETPIVOTDATA("Average of score",$A$3,"team","1091A")/GETPIVOTDATA("StdDev of score",$A$3,"team","1091A")</f>
        <v>2.8931301963987983</v>
      </c>
    </row>
    <row r="30" spans="1:7" x14ac:dyDescent="0.3">
      <c r="A30" s="9" t="s">
        <v>58</v>
      </c>
      <c r="B30">
        <v>1188</v>
      </c>
      <c r="C30">
        <v>99</v>
      </c>
      <c r="D30">
        <v>27.366203443464549</v>
      </c>
      <c r="E30">
        <v>48</v>
      </c>
      <c r="F30">
        <v>158</v>
      </c>
      <c r="G30">
        <f>GETPIVOTDATA("Average of score",$A$3,"team","61002G")/GETPIVOTDATA("StdDev of score",$A$3,"team","61002G")</f>
        <v>3.6176008193654883</v>
      </c>
    </row>
    <row r="31" spans="1:7" x14ac:dyDescent="0.3">
      <c r="A31" s="9" t="s">
        <v>433</v>
      </c>
      <c r="B31">
        <v>1062</v>
      </c>
      <c r="C31">
        <v>96.545454545454547</v>
      </c>
      <c r="D31">
        <v>24.73201826120804</v>
      </c>
      <c r="E31">
        <v>55</v>
      </c>
      <c r="F31">
        <v>138</v>
      </c>
      <c r="G31">
        <f>GETPIVOTDATA("Average of score",$A$3,"team","10X")/GETPIVOTDATA("StdDev of score",$A$3,"team","10X")</f>
        <v>3.9036625933955933</v>
      </c>
    </row>
    <row r="32" spans="1:7" x14ac:dyDescent="0.3">
      <c r="A32" s="9" t="s">
        <v>457</v>
      </c>
      <c r="B32">
        <v>964</v>
      </c>
      <c r="C32">
        <v>96.4</v>
      </c>
      <c r="D32">
        <v>41.897228760119411</v>
      </c>
      <c r="E32">
        <v>0</v>
      </c>
      <c r="F32">
        <v>168</v>
      </c>
      <c r="G32">
        <f>GETPIVOTDATA("Average of score",$A$3,"team","1023E")/GETPIVOTDATA("StdDev of score",$A$3,"team","1023E")</f>
        <v>2.3008681684398176</v>
      </c>
    </row>
    <row r="33" spans="1:7" x14ac:dyDescent="0.3">
      <c r="A33" s="9" t="s">
        <v>51</v>
      </c>
      <c r="B33">
        <v>1056</v>
      </c>
      <c r="C33">
        <v>96</v>
      </c>
      <c r="D33">
        <v>38.374470680388541</v>
      </c>
      <c r="E33">
        <v>27</v>
      </c>
      <c r="F33">
        <v>148</v>
      </c>
      <c r="G33">
        <f>GETPIVOTDATA("Average of score",$A$3,"team","920B")/GETPIVOTDATA("StdDev of score",$A$3,"team","920B")</f>
        <v>2.5016631707981127</v>
      </c>
    </row>
    <row r="34" spans="1:7" x14ac:dyDescent="0.3">
      <c r="A34" s="9" t="s">
        <v>401</v>
      </c>
      <c r="B34">
        <v>952</v>
      </c>
      <c r="C34">
        <v>95.2</v>
      </c>
      <c r="D34">
        <v>31.247399891831012</v>
      </c>
      <c r="E34">
        <v>55</v>
      </c>
      <c r="F34">
        <v>132</v>
      </c>
      <c r="G34">
        <f>GETPIVOTDATA("Average of score",$A$3,"team","7899B")/GETPIVOTDATA("StdDev of score",$A$3,"team","7899B")</f>
        <v>3.0466534921162536</v>
      </c>
    </row>
    <row r="35" spans="1:7" x14ac:dyDescent="0.3">
      <c r="A35" s="9" t="s">
        <v>49</v>
      </c>
      <c r="B35">
        <v>947</v>
      </c>
      <c r="C35">
        <v>94.7</v>
      </c>
      <c r="D35">
        <v>30.492439864479351</v>
      </c>
      <c r="E35">
        <v>49</v>
      </c>
      <c r="F35">
        <v>144</v>
      </c>
      <c r="G35">
        <f>GETPIVOTDATA("Average of score",$A$3,"team","99621B")/GETPIVOTDATA("StdDev of score",$A$3,"team","99621B")</f>
        <v>3.105687849869831</v>
      </c>
    </row>
    <row r="36" spans="1:7" x14ac:dyDescent="0.3">
      <c r="A36" s="9" t="s">
        <v>408</v>
      </c>
      <c r="B36">
        <v>1029</v>
      </c>
      <c r="C36">
        <v>93.545454545454547</v>
      </c>
      <c r="D36">
        <v>13.002796901925675</v>
      </c>
      <c r="E36">
        <v>72</v>
      </c>
      <c r="F36">
        <v>115</v>
      </c>
      <c r="G36">
        <f>GETPIVOTDATA("Average of score",$A$3,"team","6526H")/GETPIVOTDATA("StdDev of score",$A$3,"team","6526H")</f>
        <v>7.1942563781489772</v>
      </c>
    </row>
    <row r="37" spans="1:7" x14ac:dyDescent="0.3">
      <c r="A37" s="9" t="s">
        <v>422</v>
      </c>
      <c r="B37">
        <v>935</v>
      </c>
      <c r="C37">
        <v>93.5</v>
      </c>
      <c r="D37">
        <v>29.748015806847427</v>
      </c>
      <c r="E37">
        <v>42</v>
      </c>
      <c r="F37">
        <v>134</v>
      </c>
      <c r="G37">
        <f>GETPIVOTDATA("Average of score",$A$3,"team","98040C")/GETPIVOTDATA("StdDev of score",$A$3,"team","98040C")</f>
        <v>3.1430667714812119</v>
      </c>
    </row>
    <row r="38" spans="1:7" x14ac:dyDescent="0.3">
      <c r="A38" s="9" t="s">
        <v>11</v>
      </c>
      <c r="B38">
        <v>836</v>
      </c>
      <c r="C38">
        <v>92.888888888888886</v>
      </c>
      <c r="D38">
        <v>40.513715098854007</v>
      </c>
      <c r="E38">
        <v>44</v>
      </c>
      <c r="F38">
        <v>143</v>
      </c>
      <c r="G38">
        <f>GETPIVOTDATA("Average of score",$A$3,"team","938G")/GETPIVOTDATA("StdDev of score",$A$3,"team","938G")</f>
        <v>2.2927763761540692</v>
      </c>
    </row>
    <row r="39" spans="1:7" x14ac:dyDescent="0.3">
      <c r="A39" s="9" t="s">
        <v>398</v>
      </c>
      <c r="B39">
        <v>1018</v>
      </c>
      <c r="C39">
        <v>92.545454545454547</v>
      </c>
      <c r="D39">
        <v>37.744837094266657</v>
      </c>
      <c r="E39">
        <v>53</v>
      </c>
      <c r="F39">
        <v>168</v>
      </c>
      <c r="G39">
        <f>GETPIVOTDATA("Average of score",$A$3,"team","938X")/GETPIVOTDATA("StdDev of score",$A$3,"team","938X")</f>
        <v>2.4518705515757002</v>
      </c>
    </row>
    <row r="40" spans="1:7" x14ac:dyDescent="0.3">
      <c r="A40" s="9" t="s">
        <v>40</v>
      </c>
      <c r="B40">
        <v>832</v>
      </c>
      <c r="C40">
        <v>92.444444444444443</v>
      </c>
      <c r="D40">
        <v>31.460733903991773</v>
      </c>
      <c r="E40">
        <v>55</v>
      </c>
      <c r="F40">
        <v>144</v>
      </c>
      <c r="G40">
        <f>GETPIVOTDATA("Average of score",$A$3,"team","949Z")/GETPIVOTDATA("StdDev of score",$A$3,"team","949Z")</f>
        <v>2.9384071181096951</v>
      </c>
    </row>
    <row r="41" spans="1:7" x14ac:dyDescent="0.3">
      <c r="A41" s="9" t="s">
        <v>454</v>
      </c>
      <c r="B41">
        <v>826</v>
      </c>
      <c r="C41">
        <v>91.777777777777771</v>
      </c>
      <c r="D41">
        <v>54.27655520060614</v>
      </c>
      <c r="E41">
        <v>37</v>
      </c>
      <c r="F41">
        <v>200</v>
      </c>
      <c r="G41">
        <f>GETPIVOTDATA("Average of score",$A$3,"team","7700H")/GETPIVOTDATA("StdDev of score",$A$3,"team","7700H")</f>
        <v>1.6909285683029647</v>
      </c>
    </row>
    <row r="42" spans="1:7" x14ac:dyDescent="0.3">
      <c r="A42" s="9" t="s">
        <v>429</v>
      </c>
      <c r="B42">
        <v>1007</v>
      </c>
      <c r="C42">
        <v>91.545454545454547</v>
      </c>
      <c r="D42">
        <v>25.897349811761202</v>
      </c>
      <c r="E42">
        <v>65</v>
      </c>
      <c r="F42">
        <v>150</v>
      </c>
      <c r="G42">
        <f>GETPIVOTDATA("Average of score",$A$3,"team","10T")/GETPIVOTDATA("StdDev of score",$A$3,"team","10T")</f>
        <v>3.5349352428285714</v>
      </c>
    </row>
    <row r="43" spans="1:7" x14ac:dyDescent="0.3">
      <c r="A43" s="9" t="s">
        <v>92</v>
      </c>
      <c r="B43">
        <v>1005</v>
      </c>
      <c r="C43">
        <v>91.36363636363636</v>
      </c>
      <c r="D43">
        <v>22.571099783895015</v>
      </c>
      <c r="E43">
        <v>60</v>
      </c>
      <c r="F43">
        <v>133</v>
      </c>
      <c r="G43">
        <f>GETPIVOTDATA("Average of score",$A$3,"team","10N")/GETPIVOTDATA("StdDev of score",$A$3,"team","10N")</f>
        <v>4.0478150040711069</v>
      </c>
    </row>
    <row r="44" spans="1:7" x14ac:dyDescent="0.3">
      <c r="A44" s="9" t="s">
        <v>460</v>
      </c>
      <c r="B44">
        <v>1096</v>
      </c>
      <c r="C44">
        <v>91.333333333333329</v>
      </c>
      <c r="D44">
        <v>30.362456881464457</v>
      </c>
      <c r="E44">
        <v>40</v>
      </c>
      <c r="F44">
        <v>148</v>
      </c>
      <c r="G44">
        <f>GETPIVOTDATA("Average of score",$A$3,"team","66475C")/GETPIVOTDATA("StdDev of score",$A$3,"team","66475C")</f>
        <v>3.0081008822803832</v>
      </c>
    </row>
    <row r="45" spans="1:7" x14ac:dyDescent="0.3">
      <c r="A45" s="9" t="s">
        <v>399</v>
      </c>
      <c r="B45">
        <v>819</v>
      </c>
      <c r="C45">
        <v>91</v>
      </c>
      <c r="D45">
        <v>37.735924528226413</v>
      </c>
      <c r="E45">
        <v>37</v>
      </c>
      <c r="F45">
        <v>136</v>
      </c>
      <c r="G45">
        <f>GETPIVOTDATA("Average of score",$A$3,"team","47000X")/GETPIVOTDATA("StdDev of score",$A$3,"team","47000X")</f>
        <v>2.4114951770144692</v>
      </c>
    </row>
    <row r="46" spans="1:7" x14ac:dyDescent="0.3">
      <c r="A46" s="9" t="s">
        <v>394</v>
      </c>
      <c r="B46">
        <v>905</v>
      </c>
      <c r="C46">
        <v>90.5</v>
      </c>
      <c r="D46">
        <v>25.452570269686582</v>
      </c>
      <c r="E46">
        <v>54</v>
      </c>
      <c r="F46">
        <v>129</v>
      </c>
      <c r="G46">
        <f>GETPIVOTDATA("Average of score",$A$3,"team","10M")/GETPIVOTDATA("StdDev of score",$A$3,"team","10M")</f>
        <v>3.5556330477076963</v>
      </c>
    </row>
    <row r="47" spans="1:7" x14ac:dyDescent="0.3">
      <c r="A47" s="9" t="s">
        <v>461</v>
      </c>
      <c r="B47">
        <v>992</v>
      </c>
      <c r="C47">
        <v>90.181818181818187</v>
      </c>
      <c r="D47">
        <v>22.261258642844901</v>
      </c>
      <c r="E47">
        <v>54</v>
      </c>
      <c r="F47">
        <v>130</v>
      </c>
      <c r="G47">
        <f>GETPIVOTDATA("Average of score",$A$3,"team","1258V")/GETPIVOTDATA("StdDev of score",$A$3,"team","1258V")</f>
        <v>4.0510655587214055</v>
      </c>
    </row>
    <row r="48" spans="1:7" x14ac:dyDescent="0.3">
      <c r="A48" s="9" t="s">
        <v>75</v>
      </c>
      <c r="B48">
        <v>900</v>
      </c>
      <c r="C48">
        <v>90</v>
      </c>
      <c r="D48">
        <v>30.474032661705056</v>
      </c>
      <c r="E48">
        <v>48</v>
      </c>
      <c r="F48">
        <v>144</v>
      </c>
      <c r="G48">
        <f>GETPIVOTDATA("Average of score",$A$3,"team","44244S")/GETPIVOTDATA("StdDev of score",$A$3,"team","44244S")</f>
        <v>2.9533341057646685</v>
      </c>
    </row>
    <row r="49" spans="1:7" x14ac:dyDescent="0.3">
      <c r="A49" s="9" t="s">
        <v>50</v>
      </c>
      <c r="B49">
        <v>1078</v>
      </c>
      <c r="C49">
        <v>89.833333333333329</v>
      </c>
      <c r="D49">
        <v>23.980421306987218</v>
      </c>
      <c r="E49">
        <v>52</v>
      </c>
      <c r="F49">
        <v>121</v>
      </c>
      <c r="G49">
        <f>GETPIVOTDATA("Average of score",$A$3,"team","9364H")/GETPIVOTDATA("StdDev of score",$A$3,"team","9364H")</f>
        <v>3.7461115542268821</v>
      </c>
    </row>
    <row r="50" spans="1:7" x14ac:dyDescent="0.3">
      <c r="A50" s="9" t="s">
        <v>39</v>
      </c>
      <c r="B50">
        <v>891</v>
      </c>
      <c r="C50">
        <v>89.1</v>
      </c>
      <c r="D50">
        <v>28.823023204838627</v>
      </c>
      <c r="E50">
        <v>38</v>
      </c>
      <c r="F50">
        <v>144</v>
      </c>
      <c r="G50">
        <f>GETPIVOTDATA("Average of score",$A$3,"team","47874R")/GETPIVOTDATA("StdDev of score",$A$3,"team","47874R")</f>
        <v>3.0912787797028334</v>
      </c>
    </row>
    <row r="51" spans="1:7" x14ac:dyDescent="0.3">
      <c r="A51" s="9" t="s">
        <v>403</v>
      </c>
      <c r="B51">
        <v>888</v>
      </c>
      <c r="C51">
        <v>88.8</v>
      </c>
      <c r="D51">
        <v>27.551164524692368</v>
      </c>
      <c r="E51">
        <v>52</v>
      </c>
      <c r="F51">
        <v>135</v>
      </c>
      <c r="G51">
        <f>GETPIVOTDATA("Average of score",$A$3,"team","9364G")/GETPIVOTDATA("StdDev of score",$A$3,"team","9364G")</f>
        <v>3.2230942514395053</v>
      </c>
    </row>
    <row r="52" spans="1:7" x14ac:dyDescent="0.3">
      <c r="A52" s="9" t="s">
        <v>57</v>
      </c>
      <c r="B52">
        <v>884</v>
      </c>
      <c r="C52">
        <v>88.4</v>
      </c>
      <c r="D52">
        <v>34.062687308353489</v>
      </c>
      <c r="E52">
        <v>43</v>
      </c>
      <c r="F52">
        <v>170</v>
      </c>
      <c r="G52">
        <f>GETPIVOTDATA("Average of score",$A$3,"team","10W")/GETPIVOTDATA("StdDev of score",$A$3,"team","10W")</f>
        <v>2.5952150868120412</v>
      </c>
    </row>
    <row r="53" spans="1:7" x14ac:dyDescent="0.3">
      <c r="A53" s="9" t="s">
        <v>21</v>
      </c>
      <c r="B53">
        <v>793</v>
      </c>
      <c r="C53">
        <v>88.111111111111114</v>
      </c>
      <c r="D53">
        <v>33.735902405465772</v>
      </c>
      <c r="E53">
        <v>42</v>
      </c>
      <c r="F53">
        <v>148</v>
      </c>
      <c r="G53">
        <f>GETPIVOTDATA("Average of score",$A$3,"team","84141B")/GETPIVOTDATA("StdDev of score",$A$3,"team","84141B")</f>
        <v>2.6117905503792205</v>
      </c>
    </row>
    <row r="54" spans="1:7" x14ac:dyDescent="0.3">
      <c r="A54" s="9" t="s">
        <v>97</v>
      </c>
      <c r="B54">
        <v>967</v>
      </c>
      <c r="C54">
        <v>87.909090909090907</v>
      </c>
      <c r="D54">
        <v>32.213210164324032</v>
      </c>
      <c r="E54">
        <v>39</v>
      </c>
      <c r="F54">
        <v>130</v>
      </c>
      <c r="G54">
        <f>GETPIVOTDATA("Average of score",$A$3,"team","39313Z")/GETPIVOTDATA("StdDev of score",$A$3,"team","39313Z")</f>
        <v>2.7289764187007286</v>
      </c>
    </row>
    <row r="55" spans="1:7" x14ac:dyDescent="0.3">
      <c r="A55" s="9" t="s">
        <v>441</v>
      </c>
      <c r="B55">
        <v>1051</v>
      </c>
      <c r="C55">
        <v>87.583333333333329</v>
      </c>
      <c r="D55">
        <v>26.575649597237543</v>
      </c>
      <c r="E55">
        <v>37</v>
      </c>
      <c r="F55">
        <v>140</v>
      </c>
      <c r="G55">
        <f>GETPIVOTDATA("Average of score",$A$3,"team","1000A")/GETPIVOTDATA("StdDev of score",$A$3,"team","1000A")</f>
        <v>3.295623424476418</v>
      </c>
    </row>
    <row r="56" spans="1:7" x14ac:dyDescent="0.3">
      <c r="A56" s="9" t="s">
        <v>62</v>
      </c>
      <c r="B56">
        <v>782</v>
      </c>
      <c r="C56">
        <v>86.888888888888886</v>
      </c>
      <c r="D56">
        <v>25.002222123465572</v>
      </c>
      <c r="E56">
        <v>47</v>
      </c>
      <c r="F56">
        <v>128</v>
      </c>
      <c r="G56">
        <f>GETPIVOTDATA("Average of score",$A$3,"team","884A")/GETPIVOTDATA("StdDev of score",$A$3,"team","884A")</f>
        <v>3.4752466584696182</v>
      </c>
    </row>
    <row r="57" spans="1:7" x14ac:dyDescent="0.3">
      <c r="A57" s="9" t="s">
        <v>438</v>
      </c>
      <c r="B57">
        <v>775</v>
      </c>
      <c r="C57">
        <v>86.111111111111114</v>
      </c>
      <c r="D57">
        <v>29.985181525398698</v>
      </c>
      <c r="E57">
        <v>47</v>
      </c>
      <c r="F57">
        <v>128</v>
      </c>
      <c r="G57">
        <f>GETPIVOTDATA("Average of score",$A$3,"team","47874J")/GETPIVOTDATA("StdDev of score",$A$3,"team","47874J")</f>
        <v>2.8717888880603044</v>
      </c>
    </row>
    <row r="58" spans="1:7" x14ac:dyDescent="0.3">
      <c r="A58" s="9" t="s">
        <v>393</v>
      </c>
      <c r="B58">
        <v>858</v>
      </c>
      <c r="C58">
        <v>85.8</v>
      </c>
      <c r="D58">
        <v>25.771646780479092</v>
      </c>
      <c r="E58">
        <v>27</v>
      </c>
      <c r="F58">
        <v>114</v>
      </c>
      <c r="G58">
        <f>GETPIVOTDATA("Average of score",$A$3,"team","938F")/GETPIVOTDATA("StdDev of score",$A$3,"team","938F")</f>
        <v>3.3292401037014749</v>
      </c>
    </row>
    <row r="59" spans="1:7" x14ac:dyDescent="0.3">
      <c r="A59" s="9" t="s">
        <v>19</v>
      </c>
      <c r="B59">
        <v>856</v>
      </c>
      <c r="C59">
        <v>85.6</v>
      </c>
      <c r="D59">
        <v>23.305697920370349</v>
      </c>
      <c r="E59">
        <v>53</v>
      </c>
      <c r="F59">
        <v>135</v>
      </c>
      <c r="G59">
        <f>GETPIVOTDATA("Average of score",$A$3,"team","98225F")/GETPIVOTDATA("StdDev of score",$A$3,"team","98225F")</f>
        <v>3.6729215444426275</v>
      </c>
    </row>
    <row r="60" spans="1:7" x14ac:dyDescent="0.3">
      <c r="A60" s="9" t="s">
        <v>12</v>
      </c>
      <c r="B60">
        <v>853</v>
      </c>
      <c r="C60">
        <v>85.3</v>
      </c>
      <c r="D60">
        <v>28.075493465535633</v>
      </c>
      <c r="E60">
        <v>55</v>
      </c>
      <c r="F60">
        <v>125</v>
      </c>
      <c r="G60">
        <f>GETPIVOTDATA("Average of score",$A$3,"team","10Z")/GETPIVOTDATA("StdDev of score",$A$3,"team","10Z")</f>
        <v>3.03823689171166</v>
      </c>
    </row>
    <row r="61" spans="1:7" x14ac:dyDescent="0.3">
      <c r="A61" s="9" t="s">
        <v>443</v>
      </c>
      <c r="B61">
        <v>766</v>
      </c>
      <c r="C61">
        <v>85.111111111111114</v>
      </c>
      <c r="D61">
        <v>17.294829028097137</v>
      </c>
      <c r="E61">
        <v>46</v>
      </c>
      <c r="F61">
        <v>106</v>
      </c>
      <c r="G61">
        <f>GETPIVOTDATA("Average of score",$A$3,"team","609A")/GETPIVOTDATA("StdDev of score",$A$3,"team","609A")</f>
        <v>4.9211883490053481</v>
      </c>
    </row>
    <row r="62" spans="1:7" x14ac:dyDescent="0.3">
      <c r="A62" s="9" t="s">
        <v>104</v>
      </c>
      <c r="B62">
        <v>847</v>
      </c>
      <c r="C62">
        <v>84.7</v>
      </c>
      <c r="D62">
        <v>37.635828083829324</v>
      </c>
      <c r="E62">
        <v>0</v>
      </c>
      <c r="F62">
        <v>140</v>
      </c>
      <c r="G62">
        <f>GETPIVOTDATA("Average of score",$A$3,"team","8675R")/GETPIVOTDATA("StdDev of score",$A$3,"team","8675R")</f>
        <v>2.2505151158449559</v>
      </c>
    </row>
    <row r="63" spans="1:7" x14ac:dyDescent="0.3">
      <c r="A63" s="9" t="s">
        <v>442</v>
      </c>
      <c r="B63">
        <v>750</v>
      </c>
      <c r="C63">
        <v>83.333333333333329</v>
      </c>
      <c r="D63">
        <v>19.05255888325765</v>
      </c>
      <c r="E63">
        <v>57</v>
      </c>
      <c r="F63">
        <v>113</v>
      </c>
      <c r="G63">
        <f>GETPIVOTDATA("Average of score",$A$3,"team","5327K")/GETPIVOTDATA("StdDev of score",$A$3,"team","5327K")</f>
        <v>4.3738656756789833</v>
      </c>
    </row>
    <row r="64" spans="1:7" x14ac:dyDescent="0.3">
      <c r="A64" s="9" t="s">
        <v>448</v>
      </c>
      <c r="B64">
        <v>750</v>
      </c>
      <c r="C64">
        <v>83.333333333333329</v>
      </c>
      <c r="D64">
        <v>26.818836663807772</v>
      </c>
      <c r="E64">
        <v>42</v>
      </c>
      <c r="F64">
        <v>137</v>
      </c>
      <c r="G64">
        <f>GETPIVOTDATA("Average of score",$A$3,"team","84141X")/GETPIVOTDATA("StdDev of score",$A$3,"team","84141X")</f>
        <v>3.1072687595652613</v>
      </c>
    </row>
    <row r="65" spans="1:7" x14ac:dyDescent="0.3">
      <c r="A65" s="9" t="s">
        <v>419</v>
      </c>
      <c r="B65">
        <v>826</v>
      </c>
      <c r="C65">
        <v>82.6</v>
      </c>
      <c r="D65">
        <v>32.173833398517417</v>
      </c>
      <c r="E65">
        <v>37</v>
      </c>
      <c r="F65">
        <v>130</v>
      </c>
      <c r="G65">
        <f>GETPIVOTDATA("Average of score",$A$3,"team","537K")/GETPIVOTDATA("StdDev of score",$A$3,"team","537K")</f>
        <v>2.5673036525329382</v>
      </c>
    </row>
    <row r="66" spans="1:7" x14ac:dyDescent="0.3">
      <c r="A66" s="9" t="s">
        <v>395</v>
      </c>
      <c r="B66">
        <v>821</v>
      </c>
      <c r="C66">
        <v>82.1</v>
      </c>
      <c r="D66">
        <v>31.06427029384222</v>
      </c>
      <c r="E66">
        <v>42</v>
      </c>
      <c r="F66">
        <v>129</v>
      </c>
      <c r="G66">
        <f>GETPIVOTDATA("Average of score",$A$3,"team","99621C")/GETPIVOTDATA("StdDev of score",$A$3,"team","99621C")</f>
        <v>2.6429077272185091</v>
      </c>
    </row>
    <row r="67" spans="1:7" x14ac:dyDescent="0.3">
      <c r="A67" s="9" t="s">
        <v>409</v>
      </c>
      <c r="B67">
        <v>737</v>
      </c>
      <c r="C67">
        <v>81.888888888888886</v>
      </c>
      <c r="D67">
        <v>26.421792352357766</v>
      </c>
      <c r="E67">
        <v>42</v>
      </c>
      <c r="F67">
        <v>116</v>
      </c>
      <c r="G67">
        <f>GETPIVOTDATA("Average of score",$A$3,"team","16689E")/GETPIVOTDATA("StdDev of score",$A$3,"team","16689E")</f>
        <v>3.0992934845913842</v>
      </c>
    </row>
    <row r="68" spans="1:7" x14ac:dyDescent="0.3">
      <c r="A68" s="9" t="s">
        <v>413</v>
      </c>
      <c r="B68">
        <v>736</v>
      </c>
      <c r="C68">
        <v>81.777777777777771</v>
      </c>
      <c r="D68">
        <v>31.332003517879993</v>
      </c>
      <c r="E68">
        <v>39</v>
      </c>
      <c r="F68">
        <v>123</v>
      </c>
      <c r="G68">
        <f>GETPIVOTDATA("Average of score",$A$3,"team","938C")/GETPIVOTDATA("StdDev of score",$A$3,"team","938C")</f>
        <v>2.6100398505033446</v>
      </c>
    </row>
    <row r="69" spans="1:7" x14ac:dyDescent="0.3">
      <c r="A69" s="9" t="s">
        <v>458</v>
      </c>
      <c r="B69">
        <v>733</v>
      </c>
      <c r="C69">
        <v>81.444444444444443</v>
      </c>
      <c r="D69">
        <v>19.787060867591663</v>
      </c>
      <c r="E69">
        <v>60</v>
      </c>
      <c r="F69">
        <v>129</v>
      </c>
      <c r="G69">
        <f>GETPIVOTDATA("Average of score",$A$3,"team","917A")/GETPIVOTDATA("StdDev of score",$A$3,"team","917A")</f>
        <v>4.1160455809704732</v>
      </c>
    </row>
    <row r="70" spans="1:7" x14ac:dyDescent="0.3">
      <c r="A70" s="9" t="s">
        <v>64</v>
      </c>
      <c r="B70">
        <v>808</v>
      </c>
      <c r="C70">
        <v>80.8</v>
      </c>
      <c r="D70">
        <v>32.679589280704789</v>
      </c>
      <c r="E70">
        <v>26</v>
      </c>
      <c r="F70">
        <v>127</v>
      </c>
      <c r="G70">
        <f>GETPIVOTDATA("Average of score",$A$3,"team","93199G")/GETPIVOTDATA("StdDev of score",$A$3,"team","93199G")</f>
        <v>2.4724912943660291</v>
      </c>
    </row>
    <row r="71" spans="1:7" x14ac:dyDescent="0.3">
      <c r="A71" s="9" t="s">
        <v>79</v>
      </c>
      <c r="B71">
        <v>726</v>
      </c>
      <c r="C71">
        <v>80.666666666666671</v>
      </c>
      <c r="D71">
        <v>37.802116342871599</v>
      </c>
      <c r="E71">
        <v>30</v>
      </c>
      <c r="F71">
        <v>155</v>
      </c>
      <c r="G71">
        <f>GETPIVOTDATA("Average of score",$A$3,"team","6526E")/GETPIVOTDATA("StdDev of score",$A$3,"team","6526E")</f>
        <v>2.1339193270293744</v>
      </c>
    </row>
    <row r="72" spans="1:7" x14ac:dyDescent="0.3">
      <c r="A72" s="9" t="s">
        <v>46</v>
      </c>
      <c r="B72">
        <v>725</v>
      </c>
      <c r="C72">
        <v>80.555555555555557</v>
      </c>
      <c r="D72">
        <v>37.606884712480202</v>
      </c>
      <c r="E72">
        <v>30</v>
      </c>
      <c r="F72">
        <v>135</v>
      </c>
      <c r="G72">
        <f>GETPIVOTDATA("Average of score",$A$3,"team","7700E")/GETPIVOTDATA("StdDev of score",$A$3,"team","7700E")</f>
        <v>2.142042771461536</v>
      </c>
    </row>
    <row r="73" spans="1:7" x14ac:dyDescent="0.3">
      <c r="A73" s="9" t="s">
        <v>406</v>
      </c>
      <c r="B73">
        <v>724</v>
      </c>
      <c r="C73">
        <v>80.444444444444443</v>
      </c>
      <c r="D73">
        <v>58.191732898907361</v>
      </c>
      <c r="E73">
        <v>22</v>
      </c>
      <c r="F73">
        <v>223</v>
      </c>
      <c r="G73">
        <f>GETPIVOTDATA("Average of score",$A$3,"team","2681A")/GETPIVOTDATA("StdDev of score",$A$3,"team","2681A")</f>
        <v>1.3824033146460037</v>
      </c>
    </row>
    <row r="74" spans="1:7" x14ac:dyDescent="0.3">
      <c r="A74" s="9" t="s">
        <v>404</v>
      </c>
      <c r="B74">
        <v>724</v>
      </c>
      <c r="C74">
        <v>80.444444444444443</v>
      </c>
      <c r="D74">
        <v>21.107528935850766</v>
      </c>
      <c r="E74">
        <v>47</v>
      </c>
      <c r="F74">
        <v>118</v>
      </c>
      <c r="G74">
        <f>GETPIVOTDATA("Average of score",$A$3,"team","44244N")/GETPIVOTDATA("StdDev of score",$A$3,"team","44244N")</f>
        <v>3.8111730031937072</v>
      </c>
    </row>
    <row r="75" spans="1:7" x14ac:dyDescent="0.3">
      <c r="A75" s="9" t="s">
        <v>85</v>
      </c>
      <c r="B75">
        <v>722</v>
      </c>
      <c r="C75">
        <v>80.222222222222229</v>
      </c>
      <c r="D75">
        <v>32.526057929673009</v>
      </c>
      <c r="E75">
        <v>39</v>
      </c>
      <c r="F75">
        <v>148</v>
      </c>
      <c r="G75">
        <f>GETPIVOTDATA("Average of score",$A$3,"team","299Y")/GETPIVOTDATA("StdDev of score",$A$3,"team","299Y")</f>
        <v>2.4663985532976858</v>
      </c>
    </row>
    <row r="76" spans="1:7" x14ac:dyDescent="0.3">
      <c r="A76" s="9" t="s">
        <v>412</v>
      </c>
      <c r="B76">
        <v>721</v>
      </c>
      <c r="C76">
        <v>80.111111111111114</v>
      </c>
      <c r="D76">
        <v>29.763419009097582</v>
      </c>
      <c r="E76">
        <v>22</v>
      </c>
      <c r="F76">
        <v>112</v>
      </c>
      <c r="G76">
        <f>GETPIVOTDATA("Average of score",$A$3,"team","6526D")/GETPIVOTDATA("StdDev of score",$A$3,"team","6526D")</f>
        <v>2.6915963883928824</v>
      </c>
    </row>
    <row r="77" spans="1:7" x14ac:dyDescent="0.3">
      <c r="A77" s="9" t="s">
        <v>455</v>
      </c>
      <c r="B77">
        <v>712</v>
      </c>
      <c r="C77">
        <v>79.111111111111114</v>
      </c>
      <c r="D77">
        <v>18.162078931419479</v>
      </c>
      <c r="E77">
        <v>60</v>
      </c>
      <c r="F77">
        <v>115</v>
      </c>
      <c r="G77">
        <f>GETPIVOTDATA("Average of score",$A$3,"team","10A")/GETPIVOTDATA("StdDev of score",$A$3,"team","10A")</f>
        <v>4.3558400670890647</v>
      </c>
    </row>
    <row r="78" spans="1:7" x14ac:dyDescent="0.3">
      <c r="A78" s="9" t="s">
        <v>63</v>
      </c>
      <c r="B78">
        <v>788</v>
      </c>
      <c r="C78">
        <v>78.8</v>
      </c>
      <c r="D78">
        <v>31.015408357065933</v>
      </c>
      <c r="E78">
        <v>40</v>
      </c>
      <c r="F78">
        <v>138</v>
      </c>
      <c r="G78">
        <f>GETPIVOTDATA("Average of score",$A$3,"team","938T")/GETPIVOTDATA("StdDev of score",$A$3,"team","938T")</f>
        <v>2.5406726583384729</v>
      </c>
    </row>
    <row r="79" spans="1:7" x14ac:dyDescent="0.3">
      <c r="A79" s="9" t="s">
        <v>44</v>
      </c>
      <c r="B79">
        <v>788</v>
      </c>
      <c r="C79">
        <v>78.8</v>
      </c>
      <c r="D79">
        <v>32.936976856482204</v>
      </c>
      <c r="E79">
        <v>27</v>
      </c>
      <c r="F79">
        <v>131</v>
      </c>
      <c r="G79">
        <f>GETPIVOTDATA("Average of score",$A$3,"team","99621H")/GETPIVOTDATA("StdDev of score",$A$3,"team","99621H")</f>
        <v>2.3924478662191384</v>
      </c>
    </row>
    <row r="80" spans="1:7" x14ac:dyDescent="0.3">
      <c r="A80" s="9" t="s">
        <v>411</v>
      </c>
      <c r="B80">
        <v>703</v>
      </c>
      <c r="C80">
        <v>78.111111111111114</v>
      </c>
      <c r="D80">
        <v>30.993726963873048</v>
      </c>
      <c r="E80">
        <v>22</v>
      </c>
      <c r="F80">
        <v>115</v>
      </c>
      <c r="G80">
        <f>GETPIVOTDATA("Average of score",$A$3,"team","10J")/GETPIVOTDATA("StdDev of score",$A$3,"team","10J")</f>
        <v>2.5202232439538199</v>
      </c>
    </row>
    <row r="81" spans="1:7" x14ac:dyDescent="0.3">
      <c r="A81" s="9" t="s">
        <v>414</v>
      </c>
      <c r="B81">
        <v>776</v>
      </c>
      <c r="C81">
        <v>77.599999999999994</v>
      </c>
      <c r="D81">
        <v>31.986802834224548</v>
      </c>
      <c r="E81">
        <v>0</v>
      </c>
      <c r="F81">
        <v>107</v>
      </c>
      <c r="G81">
        <f>GETPIVOTDATA("Average of score",$A$3,"team","884B")/GETPIVOTDATA("StdDev of score",$A$3,"team","884B")</f>
        <v>2.4260005103408218</v>
      </c>
    </row>
    <row r="82" spans="1:7" x14ac:dyDescent="0.3">
      <c r="A82" s="9" t="s">
        <v>26</v>
      </c>
      <c r="B82">
        <v>698</v>
      </c>
      <c r="C82">
        <v>77.555555555555557</v>
      </c>
      <c r="D82">
        <v>28.766782541288439</v>
      </c>
      <c r="E82">
        <v>40</v>
      </c>
      <c r="F82">
        <v>110</v>
      </c>
      <c r="G82">
        <f>GETPIVOTDATA("Average of score",$A$3,"team","98225J")/GETPIVOTDATA("StdDev of score",$A$3,"team","98225J")</f>
        <v>2.696010770208364</v>
      </c>
    </row>
    <row r="83" spans="1:7" x14ac:dyDescent="0.3">
      <c r="A83" s="9" t="s">
        <v>396</v>
      </c>
      <c r="B83">
        <v>773</v>
      </c>
      <c r="C83">
        <v>77.3</v>
      </c>
      <c r="D83">
        <v>17.120812545618914</v>
      </c>
      <c r="E83">
        <v>60</v>
      </c>
      <c r="F83">
        <v>110</v>
      </c>
      <c r="G83">
        <f>GETPIVOTDATA("Average of score",$A$3,"team","51777H")/GETPIVOTDATA("StdDev of score",$A$3,"team","51777H")</f>
        <v>4.514972627264731</v>
      </c>
    </row>
    <row r="84" spans="1:7" x14ac:dyDescent="0.3">
      <c r="A84" s="9" t="s">
        <v>45</v>
      </c>
      <c r="B84">
        <v>694</v>
      </c>
      <c r="C84">
        <v>77.111111111111114</v>
      </c>
      <c r="D84">
        <v>35.533239524579116</v>
      </c>
      <c r="E84">
        <v>30</v>
      </c>
      <c r="F84">
        <v>144</v>
      </c>
      <c r="G84">
        <f>GETPIVOTDATA("Average of score",$A$3,"team","7700P")/GETPIVOTDATA("StdDev of score",$A$3,"team","7700P")</f>
        <v>2.1701120455896423</v>
      </c>
    </row>
    <row r="85" spans="1:7" x14ac:dyDescent="0.3">
      <c r="A85" s="9" t="s">
        <v>80</v>
      </c>
      <c r="B85">
        <v>771</v>
      </c>
      <c r="C85">
        <v>77.099999999999994</v>
      </c>
      <c r="D85">
        <v>31.729586613548353</v>
      </c>
      <c r="E85">
        <v>39</v>
      </c>
      <c r="F85">
        <v>130</v>
      </c>
      <c r="G85">
        <f>GETPIVOTDATA("Average of score",$A$3,"team","604X")/GETPIVOTDATA("StdDev of score",$A$3,"team","604X")</f>
        <v>2.4299087453940773</v>
      </c>
    </row>
    <row r="86" spans="1:7" x14ac:dyDescent="0.3">
      <c r="A86" s="9" t="s">
        <v>103</v>
      </c>
      <c r="B86">
        <v>688</v>
      </c>
      <c r="C86">
        <v>76.444444444444443</v>
      </c>
      <c r="D86">
        <v>42.465018283026531</v>
      </c>
      <c r="E86">
        <v>22</v>
      </c>
      <c r="F86">
        <v>150</v>
      </c>
      <c r="G86">
        <f>GETPIVOTDATA("Average of score",$A$3,"team","16689X")/GETPIVOTDATA("StdDev of score",$A$3,"team","16689X")</f>
        <v>1.8001745327164889</v>
      </c>
    </row>
    <row r="87" spans="1:7" x14ac:dyDescent="0.3">
      <c r="A87" s="9" t="s">
        <v>418</v>
      </c>
      <c r="B87">
        <v>679</v>
      </c>
      <c r="C87">
        <v>75.444444444444443</v>
      </c>
      <c r="D87">
        <v>31.044770538333463</v>
      </c>
      <c r="E87">
        <v>31</v>
      </c>
      <c r="F87">
        <v>123</v>
      </c>
      <c r="G87">
        <f>GETPIVOTDATA("Average of score",$A$3,"team","938H")/GETPIVOTDATA("StdDev of score",$A$3,"team","938H")</f>
        <v>2.4301820608172044</v>
      </c>
    </row>
    <row r="88" spans="1:7" x14ac:dyDescent="0.3">
      <c r="A88" s="9" t="s">
        <v>447</v>
      </c>
      <c r="B88">
        <v>678</v>
      </c>
      <c r="C88">
        <v>75.333333333333329</v>
      </c>
      <c r="D88">
        <v>38.464269133833803</v>
      </c>
      <c r="E88">
        <v>20</v>
      </c>
      <c r="F88">
        <v>149</v>
      </c>
      <c r="G88">
        <f>GETPIVOTDATA("Average of score",$A$3,"team","98225H")/GETPIVOTDATA("StdDev of score",$A$3,"team","98225H")</f>
        <v>1.9585276161420391</v>
      </c>
    </row>
    <row r="89" spans="1:7" x14ac:dyDescent="0.3">
      <c r="A89" s="9" t="s">
        <v>91</v>
      </c>
      <c r="B89">
        <v>678</v>
      </c>
      <c r="C89">
        <v>75.333333333333329</v>
      </c>
      <c r="D89">
        <v>28.341665441536776</v>
      </c>
      <c r="E89">
        <v>38</v>
      </c>
      <c r="F89">
        <v>132</v>
      </c>
      <c r="G89">
        <f>GETPIVOTDATA("Average of score",$A$3,"team","1248X")/GETPIVOTDATA("StdDev of score",$A$3,"team","1248X")</f>
        <v>2.6580418673253705</v>
      </c>
    </row>
    <row r="90" spans="1:7" x14ac:dyDescent="0.3">
      <c r="A90" s="9" t="s">
        <v>417</v>
      </c>
      <c r="B90">
        <v>677</v>
      </c>
      <c r="C90">
        <v>75.222222222222229</v>
      </c>
      <c r="D90">
        <v>38.25499241202963</v>
      </c>
      <c r="E90">
        <v>20</v>
      </c>
      <c r="F90">
        <v>143</v>
      </c>
      <c r="G90">
        <f>GETPIVOTDATA("Average of score",$A$3,"team","99621A")/GETPIVOTDATA("StdDev of score",$A$3,"team","99621A")</f>
        <v>1.9663373975358029</v>
      </c>
    </row>
    <row r="91" spans="1:7" x14ac:dyDescent="0.3">
      <c r="A91" s="9" t="s">
        <v>434</v>
      </c>
      <c r="B91">
        <v>670</v>
      </c>
      <c r="C91">
        <v>74.444444444444443</v>
      </c>
      <c r="D91">
        <v>34.853662329485225</v>
      </c>
      <c r="E91">
        <v>22</v>
      </c>
      <c r="F91">
        <v>125</v>
      </c>
      <c r="G91">
        <f>GETPIVOTDATA("Average of score",$A$3,"team","9805A")/GETPIVOTDATA("StdDev of score",$A$3,"team","9805A")</f>
        <v>2.135914548683354</v>
      </c>
    </row>
    <row r="92" spans="1:7" x14ac:dyDescent="0.3">
      <c r="A92" s="9" t="s">
        <v>31</v>
      </c>
      <c r="B92">
        <v>663</v>
      </c>
      <c r="C92">
        <v>73.666666666666671</v>
      </c>
      <c r="D92">
        <v>32.905166767545794</v>
      </c>
      <c r="E92">
        <v>48</v>
      </c>
      <c r="F92">
        <v>148</v>
      </c>
      <c r="G92">
        <f>GETPIVOTDATA("Average of score",$A$3,"team","2605B")/GETPIVOTDATA("StdDev of score",$A$3,"team","2605B")</f>
        <v>2.2387568246371492</v>
      </c>
    </row>
    <row r="93" spans="1:7" x14ac:dyDescent="0.3">
      <c r="A93" s="9" t="s">
        <v>98</v>
      </c>
      <c r="B93">
        <v>662</v>
      </c>
      <c r="C93">
        <v>73.555555555555557</v>
      </c>
      <c r="D93">
        <v>28.583697762497025</v>
      </c>
      <c r="E93">
        <v>48</v>
      </c>
      <c r="F93">
        <v>122</v>
      </c>
      <c r="G93">
        <f>GETPIVOTDATA("Average of score",$A$3,"team","16689D")/GETPIVOTDATA("StdDev of score",$A$3,"team","16689D")</f>
        <v>2.5733393966984721</v>
      </c>
    </row>
    <row r="94" spans="1:7" x14ac:dyDescent="0.3">
      <c r="A94" s="9" t="s">
        <v>407</v>
      </c>
      <c r="B94">
        <v>735</v>
      </c>
      <c r="C94">
        <v>73.5</v>
      </c>
      <c r="D94">
        <v>29.16333314283537</v>
      </c>
      <c r="E94">
        <v>24</v>
      </c>
      <c r="F94">
        <v>114</v>
      </c>
      <c r="G94">
        <f>GETPIVOTDATA("Average of score",$A$3,"team","10F")/GETPIVOTDATA("StdDev of score",$A$3,"team","10F")</f>
        <v>2.5202880493808348</v>
      </c>
    </row>
    <row r="95" spans="1:7" x14ac:dyDescent="0.3">
      <c r="A95" s="9" t="s">
        <v>52</v>
      </c>
      <c r="B95">
        <v>732</v>
      </c>
      <c r="C95">
        <v>73.2</v>
      </c>
      <c r="D95">
        <v>24.796057034223089</v>
      </c>
      <c r="E95">
        <v>35</v>
      </c>
      <c r="F95">
        <v>108</v>
      </c>
      <c r="G95">
        <f>GETPIVOTDATA("Average of score",$A$3,"team","90385R")/GETPIVOTDATA("StdDev of score",$A$3,"team","90385R")</f>
        <v>2.9520822564236977</v>
      </c>
    </row>
    <row r="96" spans="1:7" x14ac:dyDescent="0.3">
      <c r="A96" s="9" t="s">
        <v>390</v>
      </c>
      <c r="B96">
        <v>648</v>
      </c>
      <c r="C96">
        <v>72</v>
      </c>
      <c r="D96">
        <v>27.294688127912362</v>
      </c>
      <c r="E96">
        <v>41</v>
      </c>
      <c r="F96">
        <v>116</v>
      </c>
      <c r="G96">
        <f>GETPIVOTDATA("Average of score",$A$3,"team","7784W")/GETPIVOTDATA("StdDev of score",$A$3,"team","7784W")</f>
        <v>2.637875899610322</v>
      </c>
    </row>
    <row r="97" spans="1:7" x14ac:dyDescent="0.3">
      <c r="A97" s="9" t="s">
        <v>424</v>
      </c>
      <c r="B97">
        <v>645</v>
      </c>
      <c r="C97">
        <v>71.666666666666671</v>
      </c>
      <c r="D97">
        <v>29.180472922829747</v>
      </c>
      <c r="E97">
        <v>29</v>
      </c>
      <c r="F97">
        <v>111</v>
      </c>
      <c r="G97">
        <f>GETPIVOTDATA("Average of score",$A$3,"team","502A")/GETPIVOTDATA("StdDev of score",$A$3,"team","502A")</f>
        <v>2.4559803008057921</v>
      </c>
    </row>
    <row r="98" spans="1:7" x14ac:dyDescent="0.3">
      <c r="A98" s="9" t="s">
        <v>61</v>
      </c>
      <c r="B98">
        <v>637</v>
      </c>
      <c r="C98">
        <v>70.777777777777771</v>
      </c>
      <c r="D98">
        <v>31.151957313216201</v>
      </c>
      <c r="E98">
        <v>36</v>
      </c>
      <c r="F98">
        <v>135</v>
      </c>
      <c r="G98">
        <f>GETPIVOTDATA("Average of score",$A$3,"team","47874A")/GETPIVOTDATA("StdDev of score",$A$3,"team","47874A")</f>
        <v>2.2720170378427662</v>
      </c>
    </row>
    <row r="99" spans="1:7" x14ac:dyDescent="0.3">
      <c r="A99" s="9" t="s">
        <v>76</v>
      </c>
      <c r="B99">
        <v>636</v>
      </c>
      <c r="C99">
        <v>70.666666666666671</v>
      </c>
      <c r="D99">
        <v>31.709619991415853</v>
      </c>
      <c r="E99">
        <v>27</v>
      </c>
      <c r="F99">
        <v>142</v>
      </c>
      <c r="G99">
        <f>GETPIVOTDATA("Average of score",$A$3,"team","3484X")/GETPIVOTDATA("StdDev of score",$A$3,"team","3484X")</f>
        <v>2.2285560875783728</v>
      </c>
    </row>
    <row r="100" spans="1:7" x14ac:dyDescent="0.3">
      <c r="A100" s="9" t="s">
        <v>388</v>
      </c>
      <c r="B100">
        <v>632</v>
      </c>
      <c r="C100">
        <v>70.222222222222229</v>
      </c>
      <c r="D100">
        <v>26.209625034411392</v>
      </c>
      <c r="E100">
        <v>17</v>
      </c>
      <c r="F100">
        <v>111</v>
      </c>
      <c r="G100">
        <f>GETPIVOTDATA("Average of score",$A$3,"team","90385G")/GETPIVOTDATA("StdDev of score",$A$3,"team","90385G")</f>
        <v>2.679253218236636</v>
      </c>
    </row>
    <row r="101" spans="1:7" x14ac:dyDescent="0.3">
      <c r="A101" s="9" t="s">
        <v>387</v>
      </c>
      <c r="B101">
        <v>772</v>
      </c>
      <c r="C101">
        <v>70.181818181818187</v>
      </c>
      <c r="D101">
        <v>26.502143995602243</v>
      </c>
      <c r="E101">
        <v>17</v>
      </c>
      <c r="F101">
        <v>106</v>
      </c>
      <c r="G101">
        <f>GETPIVOTDATA("Average of score",$A$3,"team","51581E")/GETPIVOTDATA("StdDev of score",$A$3,"team","51581E")</f>
        <v>2.6481562470366224</v>
      </c>
    </row>
    <row r="102" spans="1:7" x14ac:dyDescent="0.3">
      <c r="A102" s="9" t="s">
        <v>402</v>
      </c>
      <c r="B102">
        <v>631</v>
      </c>
      <c r="C102">
        <v>70.111111111111114</v>
      </c>
      <c r="D102">
        <v>32.044673677712986</v>
      </c>
      <c r="E102">
        <v>22</v>
      </c>
      <c r="F102">
        <v>130</v>
      </c>
      <c r="G102">
        <f>GETPIVOTDATA("Average of score",$A$3,"team","84141A")/GETPIVOTDATA("StdDev of score",$A$3,"team","84141A")</f>
        <v>2.1879177742999851</v>
      </c>
    </row>
    <row r="103" spans="1:7" x14ac:dyDescent="0.3">
      <c r="A103" s="9" t="s">
        <v>392</v>
      </c>
      <c r="B103">
        <v>701</v>
      </c>
      <c r="C103">
        <v>70.099999999999994</v>
      </c>
      <c r="D103">
        <v>37.825476423525281</v>
      </c>
      <c r="E103">
        <v>0</v>
      </c>
      <c r="F103">
        <v>110</v>
      </c>
      <c r="G103">
        <f>GETPIVOTDATA("Average of score",$A$3,"team","8675F")/GETPIVOTDATA("StdDev of score",$A$3,"team","8675F")</f>
        <v>1.8532483032097862</v>
      </c>
    </row>
    <row r="104" spans="1:7" x14ac:dyDescent="0.3">
      <c r="A104" s="9" t="s">
        <v>81</v>
      </c>
      <c r="B104">
        <v>616</v>
      </c>
      <c r="C104">
        <v>68.444444444444443</v>
      </c>
      <c r="D104">
        <v>19.013883816247994</v>
      </c>
      <c r="E104">
        <v>37</v>
      </c>
      <c r="F104">
        <v>93</v>
      </c>
      <c r="G104">
        <f>GETPIVOTDATA("Average of score",$A$3,"team","98548C")/GETPIVOTDATA("StdDev of score",$A$3,"team","98548C")</f>
        <v>3.5997087762762283</v>
      </c>
    </row>
    <row r="105" spans="1:7" x14ac:dyDescent="0.3">
      <c r="A105" s="9" t="s">
        <v>37</v>
      </c>
      <c r="B105">
        <v>616</v>
      </c>
      <c r="C105">
        <v>68.444444444444443</v>
      </c>
      <c r="D105">
        <v>36.128628229947751</v>
      </c>
      <c r="E105">
        <v>14</v>
      </c>
      <c r="F105">
        <v>111</v>
      </c>
      <c r="G105">
        <f>GETPIVOTDATA("Average of score",$A$3,"team","7899A")/GETPIVOTDATA("StdDev of score",$A$3,"team","7899A")</f>
        <v>1.8944656301040919</v>
      </c>
    </row>
    <row r="106" spans="1:7" x14ac:dyDescent="0.3">
      <c r="A106" s="9" t="s">
        <v>449</v>
      </c>
      <c r="B106">
        <v>607</v>
      </c>
      <c r="C106">
        <v>67.444444444444443</v>
      </c>
      <c r="D106">
        <v>32.361671430533022</v>
      </c>
      <c r="E106">
        <v>25</v>
      </c>
      <c r="F106">
        <v>112</v>
      </c>
      <c r="G106">
        <f>GETPIVOTDATA("Average of score",$A$3,"team","98225M")/GETPIVOTDATA("StdDev of score",$A$3,"team","98225M")</f>
        <v>2.0840840866090451</v>
      </c>
    </row>
    <row r="107" spans="1:7" x14ac:dyDescent="0.3">
      <c r="A107" s="9" t="s">
        <v>432</v>
      </c>
      <c r="B107">
        <v>603</v>
      </c>
      <c r="C107">
        <v>67</v>
      </c>
      <c r="D107">
        <v>31.368774282716245</v>
      </c>
      <c r="E107">
        <v>27</v>
      </c>
      <c r="F107">
        <v>137</v>
      </c>
      <c r="G107">
        <f>GETPIVOTDATA("Average of score",$A$3,"team","16689Z")/GETPIVOTDATA("StdDev of score",$A$3,"team","16689Z")</f>
        <v>2.1358819887621832</v>
      </c>
    </row>
    <row r="108" spans="1:7" x14ac:dyDescent="0.3">
      <c r="A108" s="9" t="s">
        <v>14</v>
      </c>
      <c r="B108">
        <v>663</v>
      </c>
      <c r="C108">
        <v>66.3</v>
      </c>
      <c r="D108">
        <v>49.324436134638169</v>
      </c>
      <c r="E108">
        <v>0</v>
      </c>
      <c r="F108">
        <v>121</v>
      </c>
      <c r="G108">
        <f>GETPIVOTDATA("Average of score",$A$3,"team","5233J")/GETPIVOTDATA("StdDev of score",$A$3,"team","5233J")</f>
        <v>1.3441613365639817</v>
      </c>
    </row>
    <row r="109" spans="1:7" x14ac:dyDescent="0.3">
      <c r="A109" s="9" t="s">
        <v>93</v>
      </c>
      <c r="B109">
        <v>596</v>
      </c>
      <c r="C109">
        <v>66.222222222222229</v>
      </c>
      <c r="D109">
        <v>37.738500824018494</v>
      </c>
      <c r="E109">
        <v>30</v>
      </c>
      <c r="F109">
        <v>153</v>
      </c>
      <c r="G109">
        <f>GETPIVOTDATA("Average of score",$A$3,"team","10G")/GETPIVOTDATA("StdDev of score",$A$3,"team","10G")</f>
        <v>1.754765578289093</v>
      </c>
    </row>
    <row r="110" spans="1:7" x14ac:dyDescent="0.3">
      <c r="A110" s="9" t="s">
        <v>82</v>
      </c>
      <c r="B110">
        <v>595</v>
      </c>
      <c r="C110">
        <v>66.111111111111114</v>
      </c>
      <c r="D110">
        <v>28.010910572687767</v>
      </c>
      <c r="E110">
        <v>30</v>
      </c>
      <c r="F110">
        <v>98</v>
      </c>
      <c r="G110">
        <f>GETPIVOTDATA("Average of score",$A$3,"team","10S")/GETPIVOTDATA("StdDev of score",$A$3,"team","10S")</f>
        <v>2.3601914311051786</v>
      </c>
    </row>
    <row r="111" spans="1:7" x14ac:dyDescent="0.3">
      <c r="A111" s="9" t="s">
        <v>423</v>
      </c>
      <c r="B111">
        <v>652</v>
      </c>
      <c r="C111">
        <v>65.2</v>
      </c>
      <c r="D111">
        <v>32.710175107381424</v>
      </c>
      <c r="E111">
        <v>0</v>
      </c>
      <c r="F111">
        <v>106</v>
      </c>
      <c r="G111">
        <f>GETPIVOTDATA("Average of score",$A$3,"team","938U")/GETPIVOTDATA("StdDev of score",$A$3,"team","938U")</f>
        <v>1.9932635574698248</v>
      </c>
    </row>
    <row r="112" spans="1:7" x14ac:dyDescent="0.3">
      <c r="A112" s="9" t="s">
        <v>397</v>
      </c>
      <c r="B112">
        <v>710</v>
      </c>
      <c r="C112">
        <v>64.545454545454547</v>
      </c>
      <c r="D112">
        <v>32.937406201349965</v>
      </c>
      <c r="E112">
        <v>0</v>
      </c>
      <c r="F112">
        <v>109</v>
      </c>
      <c r="G112">
        <f>GETPIVOTDATA("Average of score",$A$3,"team","938A")/GETPIVOTDATA("StdDev of score",$A$3,"team","938A")</f>
        <v>1.9596398742172085</v>
      </c>
    </row>
    <row r="113" spans="1:7" x14ac:dyDescent="0.3">
      <c r="A113" s="9" t="s">
        <v>452</v>
      </c>
      <c r="B113">
        <v>570</v>
      </c>
      <c r="C113">
        <v>63.333333333333336</v>
      </c>
      <c r="D113">
        <v>19.608671551127578</v>
      </c>
      <c r="E113">
        <v>37</v>
      </c>
      <c r="F113">
        <v>85</v>
      </c>
      <c r="G113">
        <f>GETPIVOTDATA("Average of score",$A$3,"team","3512E")/GETPIVOTDATA("StdDev of score",$A$3,"team","3512E")</f>
        <v>3.2298635411480188</v>
      </c>
    </row>
    <row r="114" spans="1:7" x14ac:dyDescent="0.3">
      <c r="A114" s="9" t="s">
        <v>55</v>
      </c>
      <c r="B114">
        <v>565</v>
      </c>
      <c r="C114">
        <v>62.777777777777779</v>
      </c>
      <c r="D114">
        <v>25.883285039663036</v>
      </c>
      <c r="E114">
        <v>27</v>
      </c>
      <c r="F114">
        <v>115</v>
      </c>
      <c r="G114">
        <f>GETPIVOTDATA("Average of score",$A$3,"team","938M")/GETPIVOTDATA("StdDev of score",$A$3,"team","938M")</f>
        <v>2.4254177041893388</v>
      </c>
    </row>
    <row r="115" spans="1:7" x14ac:dyDescent="0.3">
      <c r="A115" s="9" t="s">
        <v>69</v>
      </c>
      <c r="B115">
        <v>537</v>
      </c>
      <c r="C115">
        <v>59.666666666666664</v>
      </c>
      <c r="D115">
        <v>25.86986664055306</v>
      </c>
      <c r="E115">
        <v>27</v>
      </c>
      <c r="F115">
        <v>116</v>
      </c>
      <c r="G115">
        <f>GETPIVOTDATA("Average of score",$A$3,"team","3512D")/GETPIVOTDATA("StdDev of score",$A$3,"team","3512D")</f>
        <v>2.3064157034785193</v>
      </c>
    </row>
    <row r="116" spans="1:7" x14ac:dyDescent="0.3">
      <c r="A116" s="9" t="s">
        <v>439</v>
      </c>
      <c r="B116">
        <v>534</v>
      </c>
      <c r="C116">
        <v>59.333333333333336</v>
      </c>
      <c r="D116">
        <v>30.174492539229224</v>
      </c>
      <c r="E116">
        <v>22</v>
      </c>
      <c r="F116">
        <v>106</v>
      </c>
      <c r="G116">
        <f>GETPIVOTDATA("Average of score",$A$3,"team","938K")/GETPIVOTDATA("StdDev of score",$A$3,"team","938K")</f>
        <v>1.9663407182803594</v>
      </c>
    </row>
    <row r="117" spans="1:7" x14ac:dyDescent="0.3">
      <c r="A117" s="9" t="s">
        <v>68</v>
      </c>
      <c r="B117">
        <v>534</v>
      </c>
      <c r="C117">
        <v>59.333333333333336</v>
      </c>
      <c r="D117">
        <v>20.229928324143909</v>
      </c>
      <c r="E117">
        <v>25</v>
      </c>
      <c r="F117">
        <v>87</v>
      </c>
      <c r="G117">
        <f>GETPIVOTDATA("Average of score",$A$3,"team","938B")/GETPIVOTDATA("StdDev of score",$A$3,"team","938B")</f>
        <v>2.9329482726105609</v>
      </c>
    </row>
    <row r="118" spans="1:7" x14ac:dyDescent="0.3">
      <c r="A118" s="9" t="s">
        <v>451</v>
      </c>
      <c r="B118">
        <v>529</v>
      </c>
      <c r="C118">
        <v>58.777777777777779</v>
      </c>
      <c r="D118">
        <v>18.793468132424209</v>
      </c>
      <c r="E118">
        <v>27</v>
      </c>
      <c r="F118">
        <v>87</v>
      </c>
      <c r="G118">
        <f>GETPIVOTDATA("Average of score",$A$3,"team","938N")/GETPIVOTDATA("StdDev of score",$A$3,"team","938N")</f>
        <v>3.12756418153438</v>
      </c>
    </row>
    <row r="119" spans="1:7" x14ac:dyDescent="0.3">
      <c r="A119" s="9" t="s">
        <v>38</v>
      </c>
      <c r="B119">
        <v>526</v>
      </c>
      <c r="C119">
        <v>58.444444444444443</v>
      </c>
      <c r="D119">
        <v>27.600322059312603</v>
      </c>
      <c r="E119">
        <v>14</v>
      </c>
      <c r="F119">
        <v>91</v>
      </c>
      <c r="G119">
        <f>GETPIVOTDATA("Average of score",$A$3,"team","938J")/GETPIVOTDATA("StdDev of score",$A$3,"team","938J")</f>
        <v>2.1175276259040881</v>
      </c>
    </row>
    <row r="120" spans="1:7" x14ac:dyDescent="0.3">
      <c r="A120" s="9" t="s">
        <v>456</v>
      </c>
      <c r="B120">
        <v>525</v>
      </c>
      <c r="C120">
        <v>58.333333333333336</v>
      </c>
      <c r="D120">
        <v>17.406895185529212</v>
      </c>
      <c r="E120">
        <v>25</v>
      </c>
      <c r="F120">
        <v>80</v>
      </c>
      <c r="G120">
        <f>GETPIVOTDATA("Average of score",$A$3,"team","3512B")/GETPIVOTDATA("StdDev of score",$A$3,"team","3512B")</f>
        <v>3.3511624394583186</v>
      </c>
    </row>
    <row r="121" spans="1:7" x14ac:dyDescent="0.3">
      <c r="A121" s="9" t="s">
        <v>67</v>
      </c>
      <c r="B121">
        <v>514</v>
      </c>
      <c r="C121">
        <v>57.111111111111114</v>
      </c>
      <c r="D121">
        <v>25.290534021865007</v>
      </c>
      <c r="E121">
        <v>26</v>
      </c>
      <c r="F121">
        <v>117</v>
      </c>
      <c r="G121">
        <f>GETPIVOTDATA("Average of score",$A$3,"team","10E")/GETPIVOTDATA("StdDev of score",$A$3,"team","10E")</f>
        <v>2.2582010748264758</v>
      </c>
    </row>
    <row r="122" spans="1:7" x14ac:dyDescent="0.3">
      <c r="A122" s="9" t="s">
        <v>20</v>
      </c>
      <c r="B122">
        <v>499</v>
      </c>
      <c r="C122">
        <v>55.444444444444443</v>
      </c>
      <c r="D122">
        <v>22.633554245362742</v>
      </c>
      <c r="E122">
        <v>35</v>
      </c>
      <c r="F122">
        <v>93</v>
      </c>
      <c r="G122">
        <f>GETPIVOTDATA("Average of score",$A$3,"team","12516A")/GETPIVOTDATA("StdDev of score",$A$3,"team","12516A")</f>
        <v>2.4496569934792336</v>
      </c>
    </row>
    <row r="123" spans="1:7" x14ac:dyDescent="0.3">
      <c r="A123" s="9" t="s">
        <v>431</v>
      </c>
      <c r="B123">
        <v>495</v>
      </c>
      <c r="C123">
        <v>55</v>
      </c>
      <c r="D123">
        <v>22.107690969434145</v>
      </c>
      <c r="E123">
        <v>30</v>
      </c>
      <c r="F123">
        <v>102</v>
      </c>
      <c r="G123">
        <f>GETPIVOTDATA("Average of score",$A$3,"team","938R")/GETPIVOTDATA("StdDev of score",$A$3,"team","938R")</f>
        <v>2.4878220016754535</v>
      </c>
    </row>
    <row r="124" spans="1:7" x14ac:dyDescent="0.3">
      <c r="A124" s="9" t="s">
        <v>100</v>
      </c>
      <c r="B124">
        <v>489</v>
      </c>
      <c r="C124">
        <v>54.333333333333336</v>
      </c>
      <c r="D124">
        <v>28.674901917879335</v>
      </c>
      <c r="E124">
        <v>15</v>
      </c>
      <c r="F124">
        <v>98</v>
      </c>
      <c r="G124">
        <f>GETPIVOTDATA("Average of score",$A$3,"team","938W")/GETPIVOTDATA("StdDev of score",$A$3,"team","938W")</f>
        <v>1.8948045049617237</v>
      </c>
    </row>
    <row r="125" spans="1:7" x14ac:dyDescent="0.3">
      <c r="A125" s="9" t="s">
        <v>87</v>
      </c>
      <c r="B125">
        <v>479</v>
      </c>
      <c r="C125">
        <v>53.222222222222221</v>
      </c>
      <c r="D125">
        <v>15.2870678825092</v>
      </c>
      <c r="E125">
        <v>27</v>
      </c>
      <c r="F125">
        <v>77</v>
      </c>
      <c r="G125">
        <f>GETPIVOTDATA("Average of score",$A$3,"team","609B")/GETPIVOTDATA("StdDev of score",$A$3,"team","609B")</f>
        <v>3.4815193228203545</v>
      </c>
    </row>
    <row r="126" spans="1:7" x14ac:dyDescent="0.3">
      <c r="A126" s="9" t="s">
        <v>99</v>
      </c>
      <c r="B126">
        <v>473</v>
      </c>
      <c r="C126">
        <v>52.555555555555557</v>
      </c>
      <c r="D126">
        <v>23.436675911437991</v>
      </c>
      <c r="E126">
        <v>15</v>
      </c>
      <c r="F126">
        <v>78</v>
      </c>
      <c r="G126">
        <f>GETPIVOTDATA("Average of score",$A$3,"team","938E")/GETPIVOTDATA("StdDev of score",$A$3,"team","938E")</f>
        <v>2.2424492173784101</v>
      </c>
    </row>
    <row r="127" spans="1:7" x14ac:dyDescent="0.3">
      <c r="A127" s="9" t="s">
        <v>25</v>
      </c>
      <c r="B127">
        <v>460</v>
      </c>
      <c r="C127">
        <v>51.111111111111114</v>
      </c>
      <c r="D127">
        <v>25.954019170662399</v>
      </c>
      <c r="E127">
        <v>7</v>
      </c>
      <c r="F127">
        <v>96</v>
      </c>
      <c r="G127">
        <f>GETPIVOTDATA("Average of score",$A$3,"team","938P")/GETPIVOTDATA("StdDev of score",$A$3,"team","938P")</f>
        <v>1.9692946504750022</v>
      </c>
    </row>
    <row r="128" spans="1:7" x14ac:dyDescent="0.3">
      <c r="A128" s="9" t="s">
        <v>588</v>
      </c>
      <c r="B128">
        <v>108692</v>
      </c>
      <c r="C128">
        <v>86.263492063492066</v>
      </c>
      <c r="D128">
        <v>34.373647948107887</v>
      </c>
      <c r="E128">
        <v>0</v>
      </c>
      <c r="F128">
        <v>223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C947CF-A5AB-4919-A159-A85728A44134}">
  <dimension ref="A3:DV129"/>
  <sheetViews>
    <sheetView topLeftCell="AW1" workbookViewId="0">
      <selection activeCell="J39" sqref="J39"/>
    </sheetView>
  </sheetViews>
  <sheetFormatPr defaultRowHeight="14.4" x14ac:dyDescent="0.3"/>
  <cols>
    <col min="1" max="1" width="12.5546875" bestFit="1" customWidth="1"/>
    <col min="2" max="2" width="15.5546875" bestFit="1" customWidth="1"/>
    <col min="3" max="3" width="6.21875" bestFit="1" customWidth="1"/>
    <col min="4" max="4" width="7.21875" bestFit="1" customWidth="1"/>
    <col min="5" max="5" width="6.77734375" bestFit="1" customWidth="1"/>
    <col min="6" max="6" width="6" bestFit="1" customWidth="1"/>
    <col min="7" max="7" width="6.21875" bestFit="1" customWidth="1"/>
    <col min="8" max="8" width="4.21875" bestFit="1" customWidth="1"/>
    <col min="9" max="9" width="4.109375" bestFit="1" customWidth="1"/>
    <col min="10" max="10" width="5" bestFit="1" customWidth="1"/>
    <col min="11" max="12" width="4" bestFit="1" customWidth="1"/>
    <col min="13" max="13" width="4.21875" bestFit="1" customWidth="1"/>
    <col min="14" max="14" width="4" bestFit="1" customWidth="1"/>
    <col min="15" max="15" width="4.109375" bestFit="1" customWidth="1"/>
    <col min="16" max="16" width="4.77734375" bestFit="1" customWidth="1"/>
    <col min="17" max="17" width="4.33203125" bestFit="1" customWidth="1"/>
    <col min="18" max="19" width="4" bestFit="1" customWidth="1"/>
    <col min="20" max="20" width="4.77734375" bestFit="1" customWidth="1"/>
    <col min="21" max="21" width="4.109375" bestFit="1" customWidth="1"/>
    <col min="22" max="22" width="4" bestFit="1" customWidth="1"/>
    <col min="23" max="23" width="7.109375" bestFit="1" customWidth="1"/>
    <col min="24" max="24" width="6.21875" bestFit="1" customWidth="1"/>
    <col min="25" max="25" width="6.109375" bestFit="1" customWidth="1"/>
    <col min="26" max="26" width="7.21875" bestFit="1" customWidth="1"/>
    <col min="27" max="28" width="6.21875" bestFit="1" customWidth="1"/>
    <col min="29" max="30" width="7.21875" bestFit="1" customWidth="1"/>
    <col min="31" max="31" width="7" bestFit="1" customWidth="1"/>
    <col min="32" max="32" width="7.109375" bestFit="1" customWidth="1"/>
    <col min="33" max="33" width="7" bestFit="1" customWidth="1"/>
    <col min="34" max="34" width="6.109375" bestFit="1" customWidth="1"/>
    <col min="35" max="35" width="6" bestFit="1" customWidth="1"/>
    <col min="36" max="36" width="5.21875" bestFit="1" customWidth="1"/>
    <col min="37" max="37" width="6.109375" bestFit="1" customWidth="1"/>
    <col min="38" max="38" width="6.21875" bestFit="1" customWidth="1"/>
    <col min="39" max="39" width="5" bestFit="1" customWidth="1"/>
    <col min="40" max="41" width="6.109375" bestFit="1" customWidth="1"/>
    <col min="42" max="42" width="6.21875" bestFit="1" customWidth="1"/>
    <col min="43" max="43" width="6" bestFit="1" customWidth="1"/>
    <col min="44" max="44" width="6.21875" bestFit="1" customWidth="1"/>
    <col min="45" max="45" width="7" bestFit="1" customWidth="1"/>
    <col min="46" max="46" width="7.33203125" bestFit="1" customWidth="1"/>
    <col min="47" max="47" width="7" bestFit="1" customWidth="1"/>
    <col min="48" max="48" width="7.109375" bestFit="1" customWidth="1"/>
    <col min="49" max="49" width="7.21875" bestFit="1" customWidth="1"/>
    <col min="50" max="50" width="6.6640625" bestFit="1" customWidth="1"/>
    <col min="51" max="51" width="7.109375" bestFit="1" customWidth="1"/>
    <col min="52" max="52" width="5.21875" bestFit="1" customWidth="1"/>
    <col min="53" max="53" width="5.109375" bestFit="1" customWidth="1"/>
    <col min="54" max="54" width="6.21875" bestFit="1" customWidth="1"/>
    <col min="55" max="56" width="7" bestFit="1" customWidth="1"/>
    <col min="57" max="57" width="7.21875" bestFit="1" customWidth="1"/>
    <col min="58" max="58" width="5.6640625" bestFit="1" customWidth="1"/>
    <col min="59" max="59" width="6.109375" bestFit="1" customWidth="1"/>
    <col min="60" max="60" width="6" bestFit="1" customWidth="1"/>
    <col min="61" max="62" width="5.109375" bestFit="1" customWidth="1"/>
    <col min="63" max="63" width="5.21875" bestFit="1" customWidth="1"/>
    <col min="64" max="64" width="5.109375" bestFit="1" customWidth="1"/>
    <col min="65" max="65" width="7.21875" bestFit="1" customWidth="1"/>
    <col min="66" max="66" width="6.21875" bestFit="1" customWidth="1"/>
    <col min="67" max="67" width="6" bestFit="1" customWidth="1"/>
    <col min="68" max="68" width="6.21875" bestFit="1" customWidth="1"/>
    <col min="69" max="69" width="5.21875" bestFit="1" customWidth="1"/>
    <col min="70" max="70" width="7.109375" bestFit="1" customWidth="1"/>
    <col min="71" max="71" width="6" bestFit="1" customWidth="1"/>
    <col min="72" max="72" width="6.21875" bestFit="1" customWidth="1"/>
    <col min="73" max="73" width="6.109375" bestFit="1" customWidth="1"/>
    <col min="74" max="74" width="6.77734375" bestFit="1" customWidth="1"/>
    <col min="75" max="75" width="6.21875" bestFit="1" customWidth="1"/>
    <col min="76" max="76" width="6.109375" bestFit="1" customWidth="1"/>
    <col min="77" max="77" width="7.109375" bestFit="1" customWidth="1"/>
    <col min="78" max="78" width="7.21875" bestFit="1" customWidth="1"/>
    <col min="79" max="80" width="7.109375" bestFit="1" customWidth="1"/>
    <col min="81" max="81" width="5.88671875" bestFit="1" customWidth="1"/>
    <col min="82" max="82" width="6.109375" bestFit="1" customWidth="1"/>
    <col min="83" max="83" width="6.21875" bestFit="1" customWidth="1"/>
    <col min="84" max="84" width="5.21875" bestFit="1" customWidth="1"/>
    <col min="85" max="85" width="5.109375" bestFit="1" customWidth="1"/>
    <col min="86" max="86" width="5.33203125" bestFit="1" customWidth="1"/>
    <col min="87" max="87" width="6.109375" bestFit="1" customWidth="1"/>
    <col min="88" max="88" width="7.21875" bestFit="1" customWidth="1"/>
    <col min="89" max="89" width="7.109375" bestFit="1" customWidth="1"/>
    <col min="90" max="90" width="5.21875" bestFit="1" customWidth="1"/>
    <col min="91" max="91" width="5.109375" bestFit="1" customWidth="1"/>
    <col min="92" max="92" width="7.21875" bestFit="1" customWidth="1"/>
    <col min="93" max="93" width="6.109375" bestFit="1" customWidth="1"/>
    <col min="94" max="96" width="6.21875" bestFit="1" customWidth="1"/>
    <col min="97" max="97" width="5.21875" bestFit="1" customWidth="1"/>
    <col min="98" max="99" width="5.109375" bestFit="1" customWidth="1"/>
    <col min="100" max="100" width="5" bestFit="1" customWidth="1"/>
    <col min="101" max="101" width="4.88671875" bestFit="1" customWidth="1"/>
    <col min="102" max="103" width="5.21875" bestFit="1" customWidth="1"/>
    <col min="104" max="104" width="4.6640625" bestFit="1" customWidth="1"/>
    <col min="105" max="105" width="5.109375" bestFit="1" customWidth="1"/>
    <col min="106" max="106" width="5.77734375" bestFit="1" customWidth="1"/>
    <col min="107" max="107" width="5.33203125" bestFit="1" customWidth="1"/>
    <col min="108" max="109" width="5.109375" bestFit="1" customWidth="1"/>
    <col min="110" max="110" width="5" bestFit="1" customWidth="1"/>
    <col min="111" max="111" width="5.33203125" bestFit="1" customWidth="1"/>
    <col min="112" max="112" width="5.77734375" bestFit="1" customWidth="1"/>
    <col min="113" max="113" width="5.109375" bestFit="1" customWidth="1"/>
    <col min="114" max="114" width="5" bestFit="1" customWidth="1"/>
    <col min="115" max="115" width="7.109375" bestFit="1" customWidth="1"/>
    <col min="116" max="116" width="6.21875" bestFit="1" customWidth="1"/>
    <col min="117" max="117" width="6.88671875" bestFit="1" customWidth="1"/>
    <col min="118" max="118" width="7.21875" bestFit="1" customWidth="1"/>
    <col min="119" max="119" width="6.6640625" bestFit="1" customWidth="1"/>
    <col min="120" max="120" width="7.77734375" bestFit="1" customWidth="1"/>
    <col min="121" max="121" width="7.109375" bestFit="1" customWidth="1"/>
    <col min="122" max="122" width="7.21875" bestFit="1" customWidth="1"/>
    <col min="123" max="124" width="7.109375" bestFit="1" customWidth="1"/>
    <col min="125" max="125" width="7.21875" bestFit="1" customWidth="1"/>
    <col min="126" max="126" width="10.77734375" bestFit="1" customWidth="1"/>
  </cols>
  <sheetData>
    <row r="3" spans="1:126" x14ac:dyDescent="0.3">
      <c r="A3" s="8" t="s">
        <v>589</v>
      </c>
      <c r="B3" s="8" t="s">
        <v>598</v>
      </c>
    </row>
    <row r="4" spans="1:126" x14ac:dyDescent="0.3">
      <c r="A4" s="8" t="s">
        <v>587</v>
      </c>
      <c r="B4" t="s">
        <v>18</v>
      </c>
      <c r="C4" t="s">
        <v>441</v>
      </c>
      <c r="D4" t="s">
        <v>421</v>
      </c>
      <c r="E4" t="s">
        <v>27</v>
      </c>
      <c r="F4" t="s">
        <v>457</v>
      </c>
      <c r="G4" t="s">
        <v>73</v>
      </c>
      <c r="H4" t="s">
        <v>455</v>
      </c>
      <c r="I4" t="s">
        <v>13</v>
      </c>
      <c r="J4" t="s">
        <v>389</v>
      </c>
      <c r="K4" t="s">
        <v>67</v>
      </c>
      <c r="L4" t="s">
        <v>407</v>
      </c>
      <c r="M4" t="s">
        <v>93</v>
      </c>
      <c r="N4" t="s">
        <v>411</v>
      </c>
      <c r="O4" t="s">
        <v>94</v>
      </c>
      <c r="P4" t="s">
        <v>394</v>
      </c>
      <c r="Q4" t="s">
        <v>92</v>
      </c>
      <c r="R4" t="s">
        <v>82</v>
      </c>
      <c r="S4" t="s">
        <v>429</v>
      </c>
      <c r="T4" t="s">
        <v>57</v>
      </c>
      <c r="U4" t="s">
        <v>433</v>
      </c>
      <c r="V4" t="s">
        <v>12</v>
      </c>
      <c r="W4" t="s">
        <v>43</v>
      </c>
      <c r="X4" t="s">
        <v>436</v>
      </c>
      <c r="Y4" t="s">
        <v>91</v>
      </c>
      <c r="Z4" t="s">
        <v>20</v>
      </c>
      <c r="AA4" t="s">
        <v>461</v>
      </c>
      <c r="AB4" t="s">
        <v>74</v>
      </c>
      <c r="AC4" t="s">
        <v>437</v>
      </c>
      <c r="AD4" t="s">
        <v>98</v>
      </c>
      <c r="AE4" t="s">
        <v>409</v>
      </c>
      <c r="AF4" t="s">
        <v>103</v>
      </c>
      <c r="AG4" t="s">
        <v>432</v>
      </c>
      <c r="AH4" t="s">
        <v>416</v>
      </c>
      <c r="AI4" t="s">
        <v>426</v>
      </c>
      <c r="AJ4" t="s">
        <v>446</v>
      </c>
      <c r="AK4" t="s">
        <v>31</v>
      </c>
      <c r="AL4" t="s">
        <v>406</v>
      </c>
      <c r="AM4" t="s">
        <v>85</v>
      </c>
      <c r="AN4" t="s">
        <v>76</v>
      </c>
      <c r="AO4" t="s">
        <v>456</v>
      </c>
      <c r="AP4" t="s">
        <v>69</v>
      </c>
      <c r="AQ4" t="s">
        <v>452</v>
      </c>
      <c r="AR4" t="s">
        <v>88</v>
      </c>
      <c r="AS4" t="s">
        <v>97</v>
      </c>
      <c r="AT4" t="s">
        <v>404</v>
      </c>
      <c r="AU4" t="s">
        <v>75</v>
      </c>
      <c r="AV4" t="s">
        <v>399</v>
      </c>
      <c r="AW4" t="s">
        <v>61</v>
      </c>
      <c r="AX4" t="s">
        <v>438</v>
      </c>
      <c r="AY4" t="s">
        <v>39</v>
      </c>
      <c r="AZ4" t="s">
        <v>424</v>
      </c>
      <c r="BA4" t="s">
        <v>56</v>
      </c>
      <c r="BB4" t="s">
        <v>453</v>
      </c>
      <c r="BC4" t="s">
        <v>387</v>
      </c>
      <c r="BD4" t="s">
        <v>28</v>
      </c>
      <c r="BE4" t="s">
        <v>396</v>
      </c>
      <c r="BF4" t="s">
        <v>14</v>
      </c>
      <c r="BG4" t="s">
        <v>442</v>
      </c>
      <c r="BH4" t="s">
        <v>32</v>
      </c>
      <c r="BI4" t="s">
        <v>419</v>
      </c>
      <c r="BJ4" t="s">
        <v>80</v>
      </c>
      <c r="BK4" t="s">
        <v>443</v>
      </c>
      <c r="BL4" t="s">
        <v>87</v>
      </c>
      <c r="BM4" t="s">
        <v>58</v>
      </c>
      <c r="BN4" t="s">
        <v>412</v>
      </c>
      <c r="BO4" t="s">
        <v>79</v>
      </c>
      <c r="BP4" t="s">
        <v>408</v>
      </c>
      <c r="BQ4" t="s">
        <v>428</v>
      </c>
      <c r="BR4" t="s">
        <v>460</v>
      </c>
      <c r="BS4" t="s">
        <v>46</v>
      </c>
      <c r="BT4" t="s">
        <v>454</v>
      </c>
      <c r="BU4" t="s">
        <v>45</v>
      </c>
      <c r="BV4" t="s">
        <v>390</v>
      </c>
      <c r="BW4" t="s">
        <v>37</v>
      </c>
      <c r="BX4" t="s">
        <v>401</v>
      </c>
      <c r="BY4" t="s">
        <v>86</v>
      </c>
      <c r="BZ4" t="s">
        <v>402</v>
      </c>
      <c r="CA4" t="s">
        <v>21</v>
      </c>
      <c r="CB4" t="s">
        <v>448</v>
      </c>
      <c r="CC4" t="s">
        <v>392</v>
      </c>
      <c r="CD4" t="s">
        <v>104</v>
      </c>
      <c r="CE4" t="s">
        <v>444</v>
      </c>
      <c r="CF4" t="s">
        <v>62</v>
      </c>
      <c r="CG4" t="s">
        <v>414</v>
      </c>
      <c r="CH4" t="s">
        <v>33</v>
      </c>
      <c r="CI4" t="s">
        <v>34</v>
      </c>
      <c r="CJ4" t="s">
        <v>388</v>
      </c>
      <c r="CK4" t="s">
        <v>52</v>
      </c>
      <c r="CL4" t="s">
        <v>458</v>
      </c>
      <c r="CM4" t="s">
        <v>51</v>
      </c>
      <c r="CN4" t="s">
        <v>64</v>
      </c>
      <c r="CO4" t="s">
        <v>427</v>
      </c>
      <c r="CP4" t="s">
        <v>70</v>
      </c>
      <c r="CQ4" t="s">
        <v>403</v>
      </c>
      <c r="CR4" t="s">
        <v>50</v>
      </c>
      <c r="CS4" t="s">
        <v>397</v>
      </c>
      <c r="CT4" t="s">
        <v>68</v>
      </c>
      <c r="CU4" t="s">
        <v>413</v>
      </c>
      <c r="CV4" t="s">
        <v>99</v>
      </c>
      <c r="CW4" t="s">
        <v>393</v>
      </c>
      <c r="CX4" t="s">
        <v>11</v>
      </c>
      <c r="CY4" t="s">
        <v>418</v>
      </c>
      <c r="CZ4" t="s">
        <v>38</v>
      </c>
      <c r="DA4" t="s">
        <v>439</v>
      </c>
      <c r="DB4" t="s">
        <v>55</v>
      </c>
      <c r="DC4" t="s">
        <v>451</v>
      </c>
      <c r="DD4" t="s">
        <v>25</v>
      </c>
      <c r="DE4" t="s">
        <v>431</v>
      </c>
      <c r="DF4" t="s">
        <v>63</v>
      </c>
      <c r="DG4" t="s">
        <v>423</v>
      </c>
      <c r="DH4" t="s">
        <v>100</v>
      </c>
      <c r="DI4" t="s">
        <v>398</v>
      </c>
      <c r="DJ4" t="s">
        <v>40</v>
      </c>
      <c r="DK4" t="s">
        <v>422</v>
      </c>
      <c r="DL4" t="s">
        <v>434</v>
      </c>
      <c r="DM4" t="s">
        <v>19</v>
      </c>
      <c r="DN4" t="s">
        <v>447</v>
      </c>
      <c r="DO4" t="s">
        <v>26</v>
      </c>
      <c r="DP4" t="s">
        <v>449</v>
      </c>
      <c r="DQ4" t="s">
        <v>81</v>
      </c>
      <c r="DR4" t="s">
        <v>417</v>
      </c>
      <c r="DS4" t="s">
        <v>49</v>
      </c>
      <c r="DT4" t="s">
        <v>395</v>
      </c>
      <c r="DU4" t="s">
        <v>44</v>
      </c>
      <c r="DV4" t="s">
        <v>588</v>
      </c>
    </row>
    <row r="5" spans="1:126" x14ac:dyDescent="0.3">
      <c r="A5" s="9" t="s">
        <v>18</v>
      </c>
      <c r="T5">
        <v>97</v>
      </c>
      <c r="AB5">
        <v>119</v>
      </c>
      <c r="AS5">
        <v>88</v>
      </c>
      <c r="AY5">
        <v>78</v>
      </c>
      <c r="BL5">
        <v>64</v>
      </c>
      <c r="BY5">
        <v>105</v>
      </c>
      <c r="DM5">
        <v>135</v>
      </c>
      <c r="DV5">
        <v>686</v>
      </c>
    </row>
    <row r="6" spans="1:126" x14ac:dyDescent="0.3">
      <c r="A6" s="9" t="s">
        <v>441</v>
      </c>
      <c r="H6">
        <v>85</v>
      </c>
      <c r="BG6">
        <v>113</v>
      </c>
      <c r="BI6">
        <v>37</v>
      </c>
      <c r="CL6">
        <v>72</v>
      </c>
      <c r="CO6">
        <v>98</v>
      </c>
      <c r="DV6">
        <v>405</v>
      </c>
    </row>
    <row r="7" spans="1:126" x14ac:dyDescent="0.3">
      <c r="A7" s="9" t="s">
        <v>421</v>
      </c>
      <c r="N7">
        <v>115</v>
      </c>
      <c r="U7">
        <v>138</v>
      </c>
      <c r="AI7">
        <v>168</v>
      </c>
      <c r="AV7">
        <v>136</v>
      </c>
      <c r="CO7">
        <v>583</v>
      </c>
      <c r="DK7">
        <v>59</v>
      </c>
      <c r="DV7">
        <v>1199</v>
      </c>
    </row>
    <row r="8" spans="1:126" x14ac:dyDescent="0.3">
      <c r="A8" s="9" t="s">
        <v>27</v>
      </c>
      <c r="W8">
        <v>967</v>
      </c>
      <c r="AS8">
        <v>118</v>
      </c>
      <c r="BD8">
        <v>122</v>
      </c>
      <c r="BM8">
        <v>108</v>
      </c>
      <c r="CX8">
        <v>143</v>
      </c>
      <c r="DV8">
        <v>1458</v>
      </c>
    </row>
    <row r="9" spans="1:126" x14ac:dyDescent="0.3">
      <c r="A9" s="9" t="s">
        <v>457</v>
      </c>
      <c r="L9">
        <v>114</v>
      </c>
      <c r="BP9">
        <v>93</v>
      </c>
      <c r="CB9">
        <v>78</v>
      </c>
      <c r="CL9">
        <v>89</v>
      </c>
      <c r="CO9">
        <v>168</v>
      </c>
      <c r="DV9">
        <v>542</v>
      </c>
    </row>
    <row r="10" spans="1:126" x14ac:dyDescent="0.3">
      <c r="A10" s="9" t="s">
        <v>73</v>
      </c>
      <c r="W10">
        <v>93</v>
      </c>
      <c r="AB10">
        <v>118</v>
      </c>
      <c r="BA10">
        <v>372</v>
      </c>
      <c r="CX10">
        <v>86</v>
      </c>
      <c r="DU10">
        <v>72</v>
      </c>
      <c r="DV10">
        <v>741</v>
      </c>
    </row>
    <row r="11" spans="1:126" x14ac:dyDescent="0.3">
      <c r="A11" s="9" t="s">
        <v>455</v>
      </c>
      <c r="P11">
        <v>115</v>
      </c>
      <c r="AL11">
        <v>60</v>
      </c>
      <c r="AO11">
        <v>73</v>
      </c>
      <c r="BE11">
        <v>65</v>
      </c>
      <c r="DV11">
        <v>313</v>
      </c>
    </row>
    <row r="12" spans="1:126" x14ac:dyDescent="0.3">
      <c r="A12" s="9" t="s">
        <v>13</v>
      </c>
      <c r="R12">
        <v>94</v>
      </c>
      <c r="AU12">
        <v>72</v>
      </c>
      <c r="BF12">
        <v>107</v>
      </c>
      <c r="BY12">
        <v>924</v>
      </c>
      <c r="CK12">
        <v>68</v>
      </c>
      <c r="DF12">
        <v>82</v>
      </c>
      <c r="DV12">
        <v>1347</v>
      </c>
    </row>
    <row r="13" spans="1:126" x14ac:dyDescent="0.3">
      <c r="A13" s="9" t="s">
        <v>389</v>
      </c>
      <c r="F13">
        <v>95</v>
      </c>
      <c r="AX13">
        <v>120</v>
      </c>
      <c r="AZ13">
        <v>65</v>
      </c>
      <c r="BG13">
        <v>95</v>
      </c>
      <c r="BV13">
        <v>73</v>
      </c>
      <c r="CG13">
        <v>98</v>
      </c>
      <c r="CW13">
        <v>90</v>
      </c>
      <c r="DV13">
        <v>636</v>
      </c>
    </row>
    <row r="14" spans="1:126" x14ac:dyDescent="0.3">
      <c r="A14" s="9" t="s">
        <v>67</v>
      </c>
      <c r="AK14">
        <v>52</v>
      </c>
      <c r="BL14">
        <v>49</v>
      </c>
      <c r="CT14">
        <v>53</v>
      </c>
      <c r="DV14">
        <v>154</v>
      </c>
    </row>
    <row r="15" spans="1:126" x14ac:dyDescent="0.3">
      <c r="A15" s="9" t="s">
        <v>407</v>
      </c>
      <c r="AT15">
        <v>60</v>
      </c>
      <c r="BT15">
        <v>63</v>
      </c>
      <c r="BX15">
        <v>94</v>
      </c>
      <c r="CG15">
        <v>103</v>
      </c>
      <c r="DV15">
        <v>320</v>
      </c>
    </row>
    <row r="16" spans="1:126" x14ac:dyDescent="0.3">
      <c r="A16" s="9" t="s">
        <v>93</v>
      </c>
      <c r="O16">
        <v>78</v>
      </c>
      <c r="AS16">
        <v>48</v>
      </c>
      <c r="DB16">
        <v>44</v>
      </c>
      <c r="DV16">
        <v>170</v>
      </c>
    </row>
    <row r="17" spans="1:126" x14ac:dyDescent="0.3">
      <c r="A17" s="9" t="s">
        <v>411</v>
      </c>
      <c r="AQ17">
        <v>82</v>
      </c>
      <c r="BN17">
        <v>112</v>
      </c>
      <c r="CY17">
        <v>37</v>
      </c>
      <c r="DL17">
        <v>22</v>
      </c>
      <c r="DV17">
        <v>253</v>
      </c>
    </row>
    <row r="18" spans="1:126" x14ac:dyDescent="0.3">
      <c r="A18" s="9" t="s">
        <v>94</v>
      </c>
      <c r="B18">
        <v>113</v>
      </c>
      <c r="E18">
        <v>140</v>
      </c>
      <c r="BF18">
        <v>80</v>
      </c>
      <c r="CD18">
        <v>140</v>
      </c>
      <c r="DH18">
        <v>34</v>
      </c>
      <c r="DV18">
        <v>507</v>
      </c>
    </row>
    <row r="19" spans="1:126" x14ac:dyDescent="0.3">
      <c r="A19" s="9" t="s">
        <v>394</v>
      </c>
      <c r="AC19">
        <v>80</v>
      </c>
      <c r="CJ19">
        <v>60</v>
      </c>
      <c r="DG19">
        <v>64</v>
      </c>
      <c r="DK19">
        <v>106</v>
      </c>
      <c r="DT19">
        <v>129</v>
      </c>
      <c r="DV19">
        <v>439</v>
      </c>
    </row>
    <row r="20" spans="1:126" x14ac:dyDescent="0.3">
      <c r="A20" s="9" t="s">
        <v>92</v>
      </c>
      <c r="CD20">
        <v>83</v>
      </c>
      <c r="DV20">
        <v>83</v>
      </c>
    </row>
    <row r="21" spans="1:126" x14ac:dyDescent="0.3">
      <c r="A21" s="9" t="s">
        <v>82</v>
      </c>
      <c r="CI21">
        <v>62</v>
      </c>
      <c r="CZ21">
        <v>30</v>
      </c>
      <c r="DB21">
        <v>41</v>
      </c>
      <c r="DH21">
        <v>98</v>
      </c>
      <c r="DV21">
        <v>231</v>
      </c>
    </row>
    <row r="22" spans="1:126" x14ac:dyDescent="0.3">
      <c r="A22" s="9" t="s">
        <v>429</v>
      </c>
      <c r="AQ22">
        <v>83</v>
      </c>
      <c r="BI22">
        <v>86</v>
      </c>
      <c r="BT22">
        <v>150</v>
      </c>
      <c r="CS22">
        <v>71</v>
      </c>
      <c r="DV22">
        <v>390</v>
      </c>
    </row>
    <row r="23" spans="1:126" x14ac:dyDescent="0.3">
      <c r="A23" s="9" t="s">
        <v>57</v>
      </c>
      <c r="O23">
        <v>93</v>
      </c>
      <c r="AM23">
        <v>70</v>
      </c>
      <c r="AP23">
        <v>58</v>
      </c>
      <c r="BM23">
        <v>82</v>
      </c>
      <c r="DV23">
        <v>303</v>
      </c>
    </row>
    <row r="24" spans="1:126" x14ac:dyDescent="0.3">
      <c r="A24" s="9" t="s">
        <v>433</v>
      </c>
      <c r="F24">
        <v>105</v>
      </c>
      <c r="H24">
        <v>98</v>
      </c>
      <c r="AE24">
        <v>116</v>
      </c>
      <c r="DA24">
        <v>70</v>
      </c>
      <c r="DL24">
        <v>125</v>
      </c>
      <c r="DV24">
        <v>514</v>
      </c>
    </row>
    <row r="25" spans="1:126" x14ac:dyDescent="0.3">
      <c r="A25" s="9" t="s">
        <v>12</v>
      </c>
      <c r="CF25">
        <v>86</v>
      </c>
      <c r="DB25">
        <v>67</v>
      </c>
      <c r="DV25">
        <v>153</v>
      </c>
    </row>
    <row r="26" spans="1:126" x14ac:dyDescent="0.3">
      <c r="A26" s="9" t="s">
        <v>43</v>
      </c>
      <c r="K26">
        <v>117</v>
      </c>
      <c r="Q26">
        <v>133</v>
      </c>
      <c r="R26">
        <v>97</v>
      </c>
      <c r="V26">
        <v>125</v>
      </c>
      <c r="BW26">
        <v>95</v>
      </c>
      <c r="CI26">
        <v>155</v>
      </c>
      <c r="DU26">
        <v>113</v>
      </c>
      <c r="DV26">
        <v>835</v>
      </c>
    </row>
    <row r="27" spans="1:126" x14ac:dyDescent="0.3">
      <c r="A27" s="9" t="s">
        <v>436</v>
      </c>
      <c r="H27">
        <v>83</v>
      </c>
      <c r="AC27">
        <v>186</v>
      </c>
      <c r="BQ27">
        <v>129</v>
      </c>
      <c r="BR27">
        <v>420</v>
      </c>
      <c r="CU27">
        <v>123</v>
      </c>
      <c r="DV27">
        <v>941</v>
      </c>
    </row>
    <row r="28" spans="1:126" x14ac:dyDescent="0.3">
      <c r="A28" s="9" t="s">
        <v>91</v>
      </c>
      <c r="Q28">
        <v>80</v>
      </c>
      <c r="AB28">
        <v>84</v>
      </c>
      <c r="AY28">
        <v>38</v>
      </c>
      <c r="CH28">
        <v>132</v>
      </c>
      <c r="CP28">
        <v>73</v>
      </c>
      <c r="DV28">
        <v>407</v>
      </c>
    </row>
    <row r="29" spans="1:126" x14ac:dyDescent="0.3">
      <c r="A29" s="9" t="s">
        <v>20</v>
      </c>
      <c r="I29">
        <v>40</v>
      </c>
      <c r="M29">
        <v>40</v>
      </c>
      <c r="R29">
        <v>37</v>
      </c>
      <c r="BD29">
        <v>35</v>
      </c>
      <c r="CA29">
        <v>56</v>
      </c>
      <c r="CV29">
        <v>56</v>
      </c>
      <c r="DS29">
        <v>49</v>
      </c>
      <c r="DV29">
        <v>313</v>
      </c>
    </row>
    <row r="30" spans="1:126" x14ac:dyDescent="0.3">
      <c r="A30" s="9" t="s">
        <v>461</v>
      </c>
      <c r="AQ30">
        <v>80</v>
      </c>
      <c r="BB30">
        <v>97</v>
      </c>
      <c r="BC30">
        <v>92</v>
      </c>
      <c r="CO30">
        <v>130</v>
      </c>
      <c r="DC30">
        <v>54</v>
      </c>
      <c r="DV30">
        <v>453</v>
      </c>
    </row>
    <row r="31" spans="1:126" x14ac:dyDescent="0.3">
      <c r="A31" s="9" t="s">
        <v>74</v>
      </c>
      <c r="O31">
        <v>121</v>
      </c>
      <c r="AY31">
        <v>97</v>
      </c>
      <c r="CX31">
        <v>59</v>
      </c>
      <c r="CZ31">
        <v>84</v>
      </c>
      <c r="DV31">
        <v>361</v>
      </c>
    </row>
    <row r="32" spans="1:126" x14ac:dyDescent="0.3">
      <c r="A32" s="9" t="s">
        <v>437</v>
      </c>
      <c r="AA32">
        <v>201</v>
      </c>
      <c r="AJ32">
        <v>130</v>
      </c>
      <c r="BZ32">
        <v>89</v>
      </c>
      <c r="CC32">
        <v>99</v>
      </c>
      <c r="CQ32">
        <v>98</v>
      </c>
      <c r="DV32">
        <v>617</v>
      </c>
    </row>
    <row r="33" spans="1:126" x14ac:dyDescent="0.3">
      <c r="A33" s="9" t="s">
        <v>98</v>
      </c>
      <c r="K33">
        <v>54</v>
      </c>
      <c r="R33">
        <v>49</v>
      </c>
      <c r="CM33">
        <v>55</v>
      </c>
      <c r="DV33">
        <v>158</v>
      </c>
    </row>
    <row r="34" spans="1:126" x14ac:dyDescent="0.3">
      <c r="A34" s="9" t="s">
        <v>409</v>
      </c>
      <c r="AC34">
        <v>97</v>
      </c>
      <c r="AO34">
        <v>62</v>
      </c>
      <c r="BE34">
        <v>74</v>
      </c>
      <c r="BR34">
        <v>105</v>
      </c>
      <c r="BV34">
        <v>65</v>
      </c>
      <c r="DN34">
        <v>63</v>
      </c>
      <c r="DV34">
        <v>466</v>
      </c>
    </row>
    <row r="35" spans="1:126" x14ac:dyDescent="0.3">
      <c r="A35" s="9" t="s">
        <v>103</v>
      </c>
      <c r="E35">
        <v>82</v>
      </c>
      <c r="K35">
        <v>69</v>
      </c>
      <c r="Y35">
        <v>47</v>
      </c>
      <c r="AM35">
        <v>45</v>
      </c>
      <c r="BH35">
        <v>150</v>
      </c>
      <c r="CD35">
        <v>70</v>
      </c>
      <c r="CM35">
        <v>139</v>
      </c>
      <c r="DJ35">
        <v>64</v>
      </c>
      <c r="DV35">
        <v>666</v>
      </c>
    </row>
    <row r="36" spans="1:126" x14ac:dyDescent="0.3">
      <c r="A36" s="9" t="s">
        <v>432</v>
      </c>
      <c r="H36">
        <v>63</v>
      </c>
      <c r="L36">
        <v>92</v>
      </c>
      <c r="DV36">
        <v>155</v>
      </c>
    </row>
    <row r="37" spans="1:126" x14ac:dyDescent="0.3">
      <c r="A37" s="9" t="s">
        <v>416</v>
      </c>
      <c r="S37">
        <v>180</v>
      </c>
      <c r="CQ37">
        <v>52</v>
      </c>
      <c r="DK37">
        <v>134</v>
      </c>
      <c r="DR37">
        <v>99</v>
      </c>
      <c r="DV37">
        <v>465</v>
      </c>
    </row>
    <row r="38" spans="1:126" x14ac:dyDescent="0.3">
      <c r="A38" s="9" t="s">
        <v>426</v>
      </c>
      <c r="AH38">
        <v>135</v>
      </c>
      <c r="CO38">
        <v>132</v>
      </c>
      <c r="DN38">
        <v>75</v>
      </c>
      <c r="DV38">
        <v>342</v>
      </c>
    </row>
    <row r="39" spans="1:126" x14ac:dyDescent="0.3">
      <c r="A39" s="9" t="s">
        <v>446</v>
      </c>
      <c r="J39">
        <v>958</v>
      </c>
      <c r="BX39">
        <v>132</v>
      </c>
      <c r="DA39">
        <v>103</v>
      </c>
      <c r="DK39">
        <v>123</v>
      </c>
      <c r="DN39">
        <v>149</v>
      </c>
      <c r="DR39">
        <v>143</v>
      </c>
      <c r="DV39">
        <v>1608</v>
      </c>
    </row>
    <row r="40" spans="1:126" x14ac:dyDescent="0.3">
      <c r="A40" s="9" t="s">
        <v>31</v>
      </c>
      <c r="AD40">
        <v>48</v>
      </c>
      <c r="AM40">
        <v>148</v>
      </c>
      <c r="BH40">
        <v>72</v>
      </c>
      <c r="BO40">
        <v>63</v>
      </c>
      <c r="DS40">
        <v>49</v>
      </c>
      <c r="DV40">
        <v>380</v>
      </c>
    </row>
    <row r="41" spans="1:126" x14ac:dyDescent="0.3">
      <c r="A41" s="9" t="s">
        <v>406</v>
      </c>
      <c r="L41">
        <v>89</v>
      </c>
      <c r="AJ41">
        <v>223</v>
      </c>
      <c r="BN41">
        <v>22</v>
      </c>
      <c r="CQ41">
        <v>70</v>
      </c>
      <c r="DG41">
        <v>43</v>
      </c>
      <c r="DV41">
        <v>447</v>
      </c>
    </row>
    <row r="42" spans="1:126" x14ac:dyDescent="0.3">
      <c r="A42" s="9" t="s">
        <v>85</v>
      </c>
      <c r="BJ42">
        <v>39</v>
      </c>
      <c r="BY42">
        <v>88</v>
      </c>
      <c r="DM42">
        <v>77</v>
      </c>
      <c r="DV42">
        <v>204</v>
      </c>
    </row>
    <row r="43" spans="1:126" x14ac:dyDescent="0.3">
      <c r="A43" s="9" t="s">
        <v>76</v>
      </c>
      <c r="W43">
        <v>142</v>
      </c>
      <c r="AP43">
        <v>27</v>
      </c>
      <c r="BM43">
        <v>67</v>
      </c>
      <c r="BS43">
        <v>62</v>
      </c>
      <c r="CD43">
        <v>85</v>
      </c>
      <c r="CK43">
        <v>74</v>
      </c>
      <c r="DV43">
        <v>457</v>
      </c>
    </row>
    <row r="44" spans="1:126" x14ac:dyDescent="0.3">
      <c r="A44" s="9" t="s">
        <v>456</v>
      </c>
      <c r="BC44">
        <v>68</v>
      </c>
      <c r="CJ44">
        <v>56</v>
      </c>
      <c r="CY44">
        <v>69</v>
      </c>
      <c r="DP44">
        <v>25</v>
      </c>
      <c r="DV44">
        <v>218</v>
      </c>
    </row>
    <row r="45" spans="1:126" x14ac:dyDescent="0.3">
      <c r="A45" s="9" t="s">
        <v>69</v>
      </c>
      <c r="E45">
        <v>67</v>
      </c>
      <c r="AU45">
        <v>63</v>
      </c>
      <c r="BS45">
        <v>35</v>
      </c>
      <c r="CP45">
        <v>116</v>
      </c>
      <c r="DM45">
        <v>53</v>
      </c>
      <c r="DV45">
        <v>334</v>
      </c>
    </row>
    <row r="46" spans="1:126" x14ac:dyDescent="0.3">
      <c r="A46" s="9" t="s">
        <v>452</v>
      </c>
      <c r="AH46">
        <v>62</v>
      </c>
      <c r="DR46">
        <v>85</v>
      </c>
      <c r="DV46">
        <v>147</v>
      </c>
    </row>
    <row r="47" spans="1:126" x14ac:dyDescent="0.3">
      <c r="A47" s="9" t="s">
        <v>88</v>
      </c>
      <c r="G47">
        <v>118</v>
      </c>
      <c r="Q47">
        <v>192</v>
      </c>
      <c r="T47">
        <v>170</v>
      </c>
      <c r="Z47">
        <v>93</v>
      </c>
      <c r="BM47">
        <v>116</v>
      </c>
      <c r="BS47">
        <v>96</v>
      </c>
      <c r="CZ47">
        <v>91</v>
      </c>
      <c r="DH47">
        <v>97</v>
      </c>
      <c r="DV47">
        <v>973</v>
      </c>
    </row>
    <row r="48" spans="1:126" x14ac:dyDescent="0.3">
      <c r="A48" s="9" t="s">
        <v>97</v>
      </c>
      <c r="AD48">
        <v>122</v>
      </c>
      <c r="CK48">
        <v>60</v>
      </c>
      <c r="DD48">
        <v>39</v>
      </c>
      <c r="DV48">
        <v>221</v>
      </c>
    </row>
    <row r="49" spans="1:126" x14ac:dyDescent="0.3">
      <c r="A49" s="9" t="s">
        <v>404</v>
      </c>
      <c r="S49">
        <v>77</v>
      </c>
      <c r="AI49">
        <v>47</v>
      </c>
      <c r="BE49">
        <v>71</v>
      </c>
      <c r="CJ49">
        <v>74</v>
      </c>
      <c r="DP49">
        <v>97</v>
      </c>
      <c r="DV49">
        <v>366</v>
      </c>
    </row>
    <row r="50" spans="1:126" x14ac:dyDescent="0.3">
      <c r="A50" s="9" t="s">
        <v>75</v>
      </c>
      <c r="AN50">
        <v>70</v>
      </c>
      <c r="AW50">
        <v>135</v>
      </c>
      <c r="BD50">
        <v>144</v>
      </c>
      <c r="BH50">
        <v>96</v>
      </c>
      <c r="DV50">
        <v>445</v>
      </c>
    </row>
    <row r="51" spans="1:126" x14ac:dyDescent="0.3">
      <c r="A51" s="9" t="s">
        <v>399</v>
      </c>
      <c r="BB51">
        <v>123</v>
      </c>
      <c r="BC51">
        <v>37</v>
      </c>
      <c r="BT51">
        <v>37</v>
      </c>
      <c r="CU51">
        <v>59</v>
      </c>
      <c r="DV51">
        <v>256</v>
      </c>
    </row>
    <row r="52" spans="1:126" x14ac:dyDescent="0.3">
      <c r="A52" s="9" t="s">
        <v>61</v>
      </c>
      <c r="G52">
        <v>91</v>
      </c>
      <c r="AK52">
        <v>52</v>
      </c>
      <c r="AM52">
        <v>67</v>
      </c>
      <c r="BF52">
        <v>80</v>
      </c>
      <c r="BL52">
        <v>43</v>
      </c>
      <c r="BW52">
        <v>86</v>
      </c>
      <c r="CF52">
        <v>47</v>
      </c>
      <c r="DD52">
        <v>36</v>
      </c>
      <c r="DV52">
        <v>502</v>
      </c>
    </row>
    <row r="53" spans="1:126" x14ac:dyDescent="0.3">
      <c r="A53" s="9" t="s">
        <v>438</v>
      </c>
      <c r="N53">
        <v>77</v>
      </c>
      <c r="BB53">
        <v>75</v>
      </c>
      <c r="BV53">
        <v>47</v>
      </c>
      <c r="CC53">
        <v>64</v>
      </c>
      <c r="CG53">
        <v>90</v>
      </c>
      <c r="CU53">
        <v>119</v>
      </c>
      <c r="DA53">
        <v>55</v>
      </c>
      <c r="DV53">
        <v>527</v>
      </c>
    </row>
    <row r="54" spans="1:126" x14ac:dyDescent="0.3">
      <c r="A54" s="9" t="s">
        <v>39</v>
      </c>
      <c r="O54">
        <v>95</v>
      </c>
      <c r="Q54">
        <v>88</v>
      </c>
      <c r="V54">
        <v>115</v>
      </c>
      <c r="BD54">
        <v>99</v>
      </c>
      <c r="CV54">
        <v>71</v>
      </c>
      <c r="DJ54">
        <v>144</v>
      </c>
      <c r="DV54">
        <v>612</v>
      </c>
    </row>
    <row r="55" spans="1:126" x14ac:dyDescent="0.3">
      <c r="A55" s="9" t="s">
        <v>424</v>
      </c>
      <c r="S55">
        <v>70</v>
      </c>
      <c r="BC55">
        <v>106</v>
      </c>
      <c r="DN55">
        <v>103</v>
      </c>
      <c r="DV55">
        <v>279</v>
      </c>
    </row>
    <row r="56" spans="1:126" x14ac:dyDescent="0.3">
      <c r="A56" s="9" t="s">
        <v>56</v>
      </c>
      <c r="BJ56">
        <v>130</v>
      </c>
      <c r="BY56">
        <v>136</v>
      </c>
      <c r="DD56">
        <v>96</v>
      </c>
      <c r="DU56">
        <v>131</v>
      </c>
      <c r="DV56">
        <v>493</v>
      </c>
    </row>
    <row r="57" spans="1:126" x14ac:dyDescent="0.3">
      <c r="A57" s="9" t="s">
        <v>453</v>
      </c>
      <c r="AH57">
        <v>89</v>
      </c>
      <c r="BE57">
        <v>80</v>
      </c>
      <c r="BI57">
        <v>109</v>
      </c>
      <c r="BT57">
        <v>200</v>
      </c>
      <c r="CC57">
        <v>0</v>
      </c>
      <c r="DV57">
        <v>478</v>
      </c>
    </row>
    <row r="58" spans="1:126" x14ac:dyDescent="0.3">
      <c r="A58" s="9" t="s">
        <v>387</v>
      </c>
      <c r="N58">
        <v>84</v>
      </c>
      <c r="BK58">
        <v>46</v>
      </c>
      <c r="BZ58">
        <v>84</v>
      </c>
      <c r="CJ58">
        <v>17</v>
      </c>
      <c r="DV58">
        <v>231</v>
      </c>
    </row>
    <row r="59" spans="1:126" x14ac:dyDescent="0.3">
      <c r="A59" s="9" t="s">
        <v>28</v>
      </c>
      <c r="O59">
        <v>107</v>
      </c>
      <c r="Y59">
        <v>98</v>
      </c>
      <c r="BO59">
        <v>155</v>
      </c>
      <c r="CD59">
        <v>98</v>
      </c>
      <c r="CK59">
        <v>108</v>
      </c>
      <c r="CR59">
        <v>328</v>
      </c>
      <c r="DV59">
        <v>894</v>
      </c>
    </row>
    <row r="60" spans="1:126" x14ac:dyDescent="0.3">
      <c r="A60" s="9" t="s">
        <v>396</v>
      </c>
      <c r="AG60">
        <v>67</v>
      </c>
      <c r="CC60">
        <v>110</v>
      </c>
      <c r="CS60">
        <v>60</v>
      </c>
      <c r="CU60">
        <v>84</v>
      </c>
      <c r="DV60">
        <v>321</v>
      </c>
    </row>
    <row r="61" spans="1:126" x14ac:dyDescent="0.3">
      <c r="A61" s="9" t="s">
        <v>14</v>
      </c>
      <c r="G61">
        <v>108</v>
      </c>
      <c r="DV61">
        <v>108</v>
      </c>
    </row>
    <row r="62" spans="1:126" x14ac:dyDescent="0.3">
      <c r="A62" s="9" t="s">
        <v>442</v>
      </c>
      <c r="U62">
        <v>72</v>
      </c>
      <c r="AC62">
        <v>109</v>
      </c>
      <c r="AH62">
        <v>80</v>
      </c>
      <c r="AO62">
        <v>80</v>
      </c>
      <c r="DV62">
        <v>341</v>
      </c>
    </row>
    <row r="63" spans="1:126" x14ac:dyDescent="0.3">
      <c r="A63" s="9" t="s">
        <v>32</v>
      </c>
      <c r="AU63">
        <v>90</v>
      </c>
      <c r="BS63">
        <v>105</v>
      </c>
      <c r="CF63">
        <v>128</v>
      </c>
      <c r="CX63">
        <v>143</v>
      </c>
      <c r="DV63">
        <v>466</v>
      </c>
    </row>
    <row r="64" spans="1:126" x14ac:dyDescent="0.3">
      <c r="A64" s="9" t="s">
        <v>419</v>
      </c>
      <c r="BE64">
        <v>60</v>
      </c>
      <c r="BQ64">
        <v>130</v>
      </c>
      <c r="BT64">
        <v>120</v>
      </c>
      <c r="DE64">
        <v>42</v>
      </c>
      <c r="DI64">
        <v>60</v>
      </c>
      <c r="DV64">
        <v>412</v>
      </c>
    </row>
    <row r="65" spans="1:126" x14ac:dyDescent="0.3">
      <c r="A65" s="9" t="s">
        <v>80</v>
      </c>
      <c r="Q65">
        <v>65</v>
      </c>
      <c r="AS65">
        <v>63</v>
      </c>
      <c r="CF65">
        <v>63</v>
      </c>
      <c r="CI65">
        <v>98</v>
      </c>
      <c r="DB65">
        <v>52</v>
      </c>
      <c r="DV65">
        <v>341</v>
      </c>
    </row>
    <row r="66" spans="1:126" x14ac:dyDescent="0.3">
      <c r="A66" s="9" t="s">
        <v>443</v>
      </c>
      <c r="AA66">
        <v>97</v>
      </c>
      <c r="AV66">
        <v>106</v>
      </c>
      <c r="BN66">
        <v>80</v>
      </c>
      <c r="BR66">
        <v>98</v>
      </c>
      <c r="CE66">
        <v>90</v>
      </c>
      <c r="DV66">
        <v>471</v>
      </c>
    </row>
    <row r="67" spans="1:126" x14ac:dyDescent="0.3">
      <c r="A67" s="9" t="s">
        <v>87</v>
      </c>
      <c r="AK67">
        <v>77</v>
      </c>
      <c r="AR67">
        <v>47</v>
      </c>
      <c r="DQ67">
        <v>58</v>
      </c>
      <c r="DU67">
        <v>27</v>
      </c>
      <c r="DV67">
        <v>209</v>
      </c>
    </row>
    <row r="68" spans="1:126" x14ac:dyDescent="0.3">
      <c r="A68" s="9" t="s">
        <v>58</v>
      </c>
      <c r="M68">
        <v>90</v>
      </c>
      <c r="AB68">
        <v>358</v>
      </c>
      <c r="AU68">
        <v>48</v>
      </c>
      <c r="DS68">
        <v>111</v>
      </c>
      <c r="DU68">
        <v>97</v>
      </c>
      <c r="DV68">
        <v>704</v>
      </c>
    </row>
    <row r="69" spans="1:126" x14ac:dyDescent="0.3">
      <c r="A69" s="9" t="s">
        <v>412</v>
      </c>
      <c r="C69">
        <v>103</v>
      </c>
      <c r="P69">
        <v>105</v>
      </c>
      <c r="U69">
        <v>55</v>
      </c>
      <c r="AG69">
        <v>58</v>
      </c>
      <c r="DC69">
        <v>86</v>
      </c>
      <c r="DV69">
        <v>407</v>
      </c>
    </row>
    <row r="70" spans="1:126" x14ac:dyDescent="0.3">
      <c r="A70" s="9" t="s">
        <v>79</v>
      </c>
      <c r="B70">
        <v>108</v>
      </c>
      <c r="AB70">
        <v>75</v>
      </c>
      <c r="AN70">
        <v>65</v>
      </c>
      <c r="BJ70">
        <v>110</v>
      </c>
      <c r="DD70">
        <v>72</v>
      </c>
      <c r="DU70">
        <v>30</v>
      </c>
      <c r="DV70">
        <v>460</v>
      </c>
    </row>
    <row r="71" spans="1:126" x14ac:dyDescent="0.3">
      <c r="A71" s="9" t="s">
        <v>408</v>
      </c>
      <c r="AE71">
        <v>113</v>
      </c>
      <c r="AJ71">
        <v>115</v>
      </c>
      <c r="BC71">
        <v>159</v>
      </c>
      <c r="BI71">
        <v>85</v>
      </c>
      <c r="BN71">
        <v>100</v>
      </c>
      <c r="CO71">
        <v>92</v>
      </c>
      <c r="CQ71">
        <v>92</v>
      </c>
      <c r="DK71">
        <v>80</v>
      </c>
      <c r="DL71">
        <v>100</v>
      </c>
      <c r="DV71">
        <v>936</v>
      </c>
    </row>
    <row r="72" spans="1:126" x14ac:dyDescent="0.3">
      <c r="A72" s="9" t="s">
        <v>428</v>
      </c>
      <c r="C72">
        <v>333</v>
      </c>
      <c r="N72">
        <v>95</v>
      </c>
      <c r="S72">
        <v>118</v>
      </c>
      <c r="AL72">
        <v>100</v>
      </c>
      <c r="AT72">
        <v>93</v>
      </c>
      <c r="BV72">
        <v>53</v>
      </c>
      <c r="CY72">
        <v>123</v>
      </c>
      <c r="DV72">
        <v>915</v>
      </c>
    </row>
    <row r="73" spans="1:126" x14ac:dyDescent="0.3">
      <c r="A73" s="9" t="s">
        <v>460</v>
      </c>
      <c r="AA73">
        <v>62</v>
      </c>
      <c r="AC73">
        <v>131</v>
      </c>
      <c r="BE73">
        <v>102</v>
      </c>
      <c r="BG73">
        <v>57</v>
      </c>
      <c r="CS73">
        <v>40</v>
      </c>
      <c r="DN73">
        <v>81</v>
      </c>
      <c r="DV73">
        <v>473</v>
      </c>
    </row>
    <row r="74" spans="1:126" x14ac:dyDescent="0.3">
      <c r="A74" s="9" t="s">
        <v>46</v>
      </c>
      <c r="CN74">
        <v>127</v>
      </c>
      <c r="CT74">
        <v>63</v>
      </c>
      <c r="DV74">
        <v>190</v>
      </c>
    </row>
    <row r="75" spans="1:126" x14ac:dyDescent="0.3">
      <c r="A75" s="9" t="s">
        <v>454</v>
      </c>
      <c r="P75">
        <v>87</v>
      </c>
      <c r="AO75">
        <v>53</v>
      </c>
      <c r="AZ75">
        <v>54</v>
      </c>
      <c r="DV75">
        <v>194</v>
      </c>
    </row>
    <row r="76" spans="1:126" x14ac:dyDescent="0.3">
      <c r="A76" s="9" t="s">
        <v>45</v>
      </c>
      <c r="AD76">
        <v>115</v>
      </c>
      <c r="AM76">
        <v>84</v>
      </c>
      <c r="AR76">
        <v>72</v>
      </c>
      <c r="BF76">
        <v>45</v>
      </c>
      <c r="BO76">
        <v>48</v>
      </c>
      <c r="BS76">
        <v>30</v>
      </c>
      <c r="CI76">
        <v>81</v>
      </c>
      <c r="DS76">
        <v>144</v>
      </c>
      <c r="DV76">
        <v>619</v>
      </c>
    </row>
    <row r="77" spans="1:126" x14ac:dyDescent="0.3">
      <c r="A77" s="9" t="s">
        <v>390</v>
      </c>
      <c r="BB77">
        <v>93</v>
      </c>
      <c r="CG77">
        <v>107</v>
      </c>
      <c r="CQ77">
        <v>116</v>
      </c>
      <c r="DL77">
        <v>41</v>
      </c>
      <c r="DV77">
        <v>357</v>
      </c>
    </row>
    <row r="78" spans="1:126" x14ac:dyDescent="0.3">
      <c r="A78" s="9" t="s">
        <v>37</v>
      </c>
      <c r="BY78">
        <v>111</v>
      </c>
      <c r="CV78">
        <v>40</v>
      </c>
      <c r="CZ78">
        <v>14</v>
      </c>
      <c r="DV78">
        <v>165</v>
      </c>
    </row>
    <row r="79" spans="1:126" x14ac:dyDescent="0.3">
      <c r="A79" s="9" t="s">
        <v>401</v>
      </c>
      <c r="L79">
        <v>55</v>
      </c>
      <c r="AI79">
        <v>127</v>
      </c>
      <c r="AV79">
        <v>118</v>
      </c>
      <c r="BZ79">
        <v>57</v>
      </c>
      <c r="CJ79">
        <v>111</v>
      </c>
      <c r="CY79">
        <v>71</v>
      </c>
      <c r="DC79">
        <v>62</v>
      </c>
      <c r="DK79">
        <v>125</v>
      </c>
      <c r="DV79">
        <v>726</v>
      </c>
    </row>
    <row r="80" spans="1:126" x14ac:dyDescent="0.3">
      <c r="A80" s="9" t="s">
        <v>86</v>
      </c>
      <c r="V80">
        <v>60</v>
      </c>
      <c r="BF80">
        <v>0</v>
      </c>
      <c r="BS80">
        <v>135</v>
      </c>
      <c r="DV80">
        <v>195</v>
      </c>
    </row>
    <row r="81" spans="1:126" x14ac:dyDescent="0.3">
      <c r="A81" s="9" t="s">
        <v>402</v>
      </c>
      <c r="AQ81">
        <v>40</v>
      </c>
      <c r="BB81">
        <v>130</v>
      </c>
      <c r="DV81">
        <v>170</v>
      </c>
    </row>
    <row r="82" spans="1:126" x14ac:dyDescent="0.3">
      <c r="A82" s="9" t="s">
        <v>21</v>
      </c>
      <c r="T82">
        <v>90</v>
      </c>
      <c r="AU82">
        <v>100</v>
      </c>
      <c r="BA82">
        <v>148</v>
      </c>
      <c r="BH82">
        <v>118</v>
      </c>
      <c r="CH82">
        <v>104</v>
      </c>
      <c r="DV82">
        <v>560</v>
      </c>
    </row>
    <row r="83" spans="1:126" x14ac:dyDescent="0.3">
      <c r="A83" s="9" t="s">
        <v>448</v>
      </c>
      <c r="H83">
        <v>70</v>
      </c>
      <c r="S83">
        <v>92</v>
      </c>
      <c r="AG83">
        <v>137</v>
      </c>
      <c r="CC83">
        <v>104</v>
      </c>
      <c r="CJ83">
        <v>83</v>
      </c>
      <c r="DK83">
        <v>42</v>
      </c>
      <c r="DP83">
        <v>62</v>
      </c>
      <c r="DV83">
        <v>590</v>
      </c>
    </row>
    <row r="84" spans="1:126" x14ac:dyDescent="0.3">
      <c r="A84" s="9" t="s">
        <v>392</v>
      </c>
      <c r="AG84">
        <v>52</v>
      </c>
      <c r="AQ84">
        <v>47</v>
      </c>
      <c r="AZ84">
        <v>29</v>
      </c>
      <c r="CW84">
        <v>109</v>
      </c>
      <c r="DC84">
        <v>87</v>
      </c>
      <c r="DV84">
        <v>324</v>
      </c>
    </row>
    <row r="85" spans="1:126" x14ac:dyDescent="0.3">
      <c r="A85" s="9" t="s">
        <v>104</v>
      </c>
      <c r="AD85">
        <v>65</v>
      </c>
      <c r="AS85">
        <v>79</v>
      </c>
      <c r="BF85">
        <v>0</v>
      </c>
      <c r="CN85">
        <v>109</v>
      </c>
      <c r="DJ85">
        <v>118</v>
      </c>
      <c r="DV85">
        <v>371</v>
      </c>
    </row>
    <row r="86" spans="1:126" x14ac:dyDescent="0.3">
      <c r="A86" s="9" t="s">
        <v>444</v>
      </c>
      <c r="X86">
        <v>104</v>
      </c>
      <c r="AX86">
        <v>128</v>
      </c>
      <c r="CL86">
        <v>67</v>
      </c>
      <c r="CS86">
        <v>85</v>
      </c>
      <c r="DR86">
        <v>57</v>
      </c>
      <c r="DV86">
        <v>441</v>
      </c>
    </row>
    <row r="87" spans="1:126" x14ac:dyDescent="0.3">
      <c r="A87" s="9" t="s">
        <v>62</v>
      </c>
      <c r="B87">
        <v>104</v>
      </c>
      <c r="AM87">
        <v>104</v>
      </c>
      <c r="BU87">
        <v>75</v>
      </c>
      <c r="CR87">
        <v>102</v>
      </c>
      <c r="CV87">
        <v>73</v>
      </c>
      <c r="DV87">
        <v>458</v>
      </c>
    </row>
    <row r="88" spans="1:126" x14ac:dyDescent="0.3">
      <c r="A88" s="9" t="s">
        <v>414</v>
      </c>
      <c r="F88">
        <v>0</v>
      </c>
      <c r="AA88">
        <v>87</v>
      </c>
      <c r="DP88">
        <v>54</v>
      </c>
      <c r="DV88">
        <v>141</v>
      </c>
    </row>
    <row r="89" spans="1:126" x14ac:dyDescent="0.3">
      <c r="A89" s="9" t="s">
        <v>33</v>
      </c>
      <c r="M89">
        <v>153</v>
      </c>
      <c r="Q89">
        <v>114</v>
      </c>
      <c r="W89">
        <v>157</v>
      </c>
      <c r="BM89">
        <v>111</v>
      </c>
      <c r="CI89">
        <v>115</v>
      </c>
      <c r="CM89">
        <v>270</v>
      </c>
      <c r="DF89">
        <v>138</v>
      </c>
      <c r="DJ89">
        <v>84</v>
      </c>
      <c r="DV89">
        <v>1142</v>
      </c>
    </row>
    <row r="90" spans="1:126" x14ac:dyDescent="0.3">
      <c r="A90" s="9" t="s">
        <v>34</v>
      </c>
      <c r="AD90">
        <v>91</v>
      </c>
      <c r="BF90">
        <v>121</v>
      </c>
      <c r="BJ90">
        <v>108</v>
      </c>
      <c r="DV90">
        <v>320</v>
      </c>
    </row>
    <row r="91" spans="1:126" x14ac:dyDescent="0.3">
      <c r="A91" s="9" t="s">
        <v>388</v>
      </c>
      <c r="C91">
        <v>65</v>
      </c>
      <c r="AI91">
        <v>92</v>
      </c>
      <c r="DV91">
        <v>157</v>
      </c>
    </row>
    <row r="92" spans="1:126" x14ac:dyDescent="0.3">
      <c r="A92" s="9" t="s">
        <v>52</v>
      </c>
      <c r="AP92">
        <v>45</v>
      </c>
      <c r="BH92">
        <v>106</v>
      </c>
      <c r="DM92">
        <v>171</v>
      </c>
      <c r="DV92">
        <v>322</v>
      </c>
    </row>
    <row r="93" spans="1:126" x14ac:dyDescent="0.3">
      <c r="A93" s="9" t="s">
        <v>458</v>
      </c>
      <c r="N93">
        <v>79</v>
      </c>
      <c r="BC93">
        <v>79</v>
      </c>
      <c r="BQ93">
        <v>129</v>
      </c>
      <c r="DV93">
        <v>287</v>
      </c>
    </row>
    <row r="94" spans="1:126" x14ac:dyDescent="0.3">
      <c r="A94" s="9" t="s">
        <v>51</v>
      </c>
      <c r="V94">
        <v>121</v>
      </c>
      <c r="AS94">
        <v>117</v>
      </c>
      <c r="BH94">
        <v>80</v>
      </c>
      <c r="CK94">
        <v>65</v>
      </c>
      <c r="DB94">
        <v>27</v>
      </c>
      <c r="DF94">
        <v>72</v>
      </c>
      <c r="DO94">
        <v>110</v>
      </c>
      <c r="DV94">
        <v>592</v>
      </c>
    </row>
    <row r="95" spans="1:126" x14ac:dyDescent="0.3">
      <c r="A95" s="9" t="s">
        <v>64</v>
      </c>
      <c r="K95">
        <v>26</v>
      </c>
      <c r="M95">
        <v>30</v>
      </c>
      <c r="T95">
        <v>103</v>
      </c>
      <c r="CT95">
        <v>87</v>
      </c>
      <c r="DV95">
        <v>246</v>
      </c>
    </row>
    <row r="96" spans="1:126" x14ac:dyDescent="0.3">
      <c r="A96" s="9" t="s">
        <v>427</v>
      </c>
      <c r="AH96">
        <v>174</v>
      </c>
      <c r="BK96">
        <v>87</v>
      </c>
      <c r="BZ96">
        <v>88</v>
      </c>
      <c r="CE96">
        <v>109</v>
      </c>
      <c r="DV96">
        <v>458</v>
      </c>
    </row>
    <row r="97" spans="1:126" x14ac:dyDescent="0.3">
      <c r="A97" s="9" t="s">
        <v>70</v>
      </c>
      <c r="I97">
        <v>80</v>
      </c>
      <c r="V97">
        <v>102</v>
      </c>
      <c r="AB97">
        <v>147</v>
      </c>
      <c r="AS97">
        <v>233</v>
      </c>
      <c r="BA97">
        <v>113</v>
      </c>
      <c r="CN97">
        <v>96</v>
      </c>
      <c r="DH97">
        <v>62</v>
      </c>
      <c r="DV97">
        <v>833</v>
      </c>
    </row>
    <row r="98" spans="1:126" x14ac:dyDescent="0.3">
      <c r="A98" s="9" t="s">
        <v>403</v>
      </c>
      <c r="C98">
        <v>75</v>
      </c>
      <c r="D98">
        <v>135</v>
      </c>
      <c r="AT98">
        <v>118</v>
      </c>
      <c r="CL98">
        <v>60</v>
      </c>
      <c r="CW98">
        <v>72</v>
      </c>
      <c r="DV98">
        <v>460</v>
      </c>
    </row>
    <row r="99" spans="1:126" x14ac:dyDescent="0.3">
      <c r="A99" s="9" t="s">
        <v>50</v>
      </c>
      <c r="Z99">
        <v>93</v>
      </c>
      <c r="CA99">
        <v>57</v>
      </c>
      <c r="CI99">
        <v>52</v>
      </c>
      <c r="DD99">
        <v>68</v>
      </c>
      <c r="DF99">
        <v>111</v>
      </c>
      <c r="DO99">
        <v>69</v>
      </c>
      <c r="DQ99">
        <v>88</v>
      </c>
      <c r="DV99">
        <v>538</v>
      </c>
    </row>
    <row r="100" spans="1:126" x14ac:dyDescent="0.3">
      <c r="A100" s="9" t="s">
        <v>397</v>
      </c>
      <c r="D100">
        <v>109</v>
      </c>
      <c r="U100">
        <v>96</v>
      </c>
      <c r="AA100">
        <v>92</v>
      </c>
      <c r="CB100">
        <v>82</v>
      </c>
      <c r="DT100">
        <v>45</v>
      </c>
      <c r="DV100">
        <v>424</v>
      </c>
    </row>
    <row r="101" spans="1:126" x14ac:dyDescent="0.3">
      <c r="A101" s="9" t="s">
        <v>68</v>
      </c>
      <c r="M101">
        <v>48</v>
      </c>
      <c r="T101">
        <v>78</v>
      </c>
      <c r="AU101">
        <v>82</v>
      </c>
      <c r="BJ101">
        <v>43</v>
      </c>
      <c r="BW101">
        <v>25</v>
      </c>
      <c r="DV101">
        <v>276</v>
      </c>
    </row>
    <row r="102" spans="1:126" x14ac:dyDescent="0.3">
      <c r="A102" s="9" t="s">
        <v>413</v>
      </c>
      <c r="F102">
        <v>120</v>
      </c>
      <c r="AI102">
        <v>62</v>
      </c>
      <c r="AO102">
        <v>39</v>
      </c>
      <c r="AZ102">
        <v>65</v>
      </c>
      <c r="CG102">
        <v>65</v>
      </c>
      <c r="DV102">
        <v>351</v>
      </c>
    </row>
    <row r="103" spans="1:126" x14ac:dyDescent="0.3">
      <c r="A103" s="9" t="s">
        <v>99</v>
      </c>
      <c r="AF103">
        <v>22</v>
      </c>
      <c r="BL103">
        <v>45</v>
      </c>
      <c r="CA103">
        <v>78</v>
      </c>
      <c r="DH103">
        <v>15</v>
      </c>
      <c r="DJ103">
        <v>73</v>
      </c>
      <c r="DV103">
        <v>233</v>
      </c>
    </row>
    <row r="104" spans="1:126" x14ac:dyDescent="0.3">
      <c r="A104" s="9" t="s">
        <v>393</v>
      </c>
      <c r="X104">
        <v>111</v>
      </c>
      <c r="AT104">
        <v>87</v>
      </c>
      <c r="AV104">
        <v>114</v>
      </c>
      <c r="BZ104">
        <v>70</v>
      </c>
      <c r="CG104">
        <v>95</v>
      </c>
      <c r="DC104">
        <v>27</v>
      </c>
      <c r="DI104">
        <v>83</v>
      </c>
      <c r="DV104">
        <v>587</v>
      </c>
    </row>
    <row r="105" spans="1:126" x14ac:dyDescent="0.3">
      <c r="A105" s="9" t="s">
        <v>11</v>
      </c>
      <c r="Q105">
        <v>113</v>
      </c>
      <c r="V105">
        <v>59</v>
      </c>
      <c r="Y105">
        <v>56</v>
      </c>
      <c r="AN105">
        <v>44</v>
      </c>
      <c r="BA105">
        <v>133</v>
      </c>
      <c r="DV105">
        <v>405</v>
      </c>
    </row>
    <row r="106" spans="1:126" x14ac:dyDescent="0.3">
      <c r="A106" s="9" t="s">
        <v>418</v>
      </c>
      <c r="J106">
        <v>107</v>
      </c>
      <c r="U106">
        <v>87</v>
      </c>
      <c r="AL106">
        <v>57</v>
      </c>
      <c r="BI106">
        <v>97</v>
      </c>
      <c r="DP106">
        <v>31</v>
      </c>
      <c r="DV106">
        <v>379</v>
      </c>
    </row>
    <row r="107" spans="1:126" x14ac:dyDescent="0.3">
      <c r="A107" s="9" t="s">
        <v>38</v>
      </c>
      <c r="Q107">
        <v>77</v>
      </c>
      <c r="T107">
        <v>43</v>
      </c>
      <c r="AD107">
        <v>63</v>
      </c>
      <c r="BY107">
        <v>40</v>
      </c>
      <c r="DV107">
        <v>223</v>
      </c>
    </row>
    <row r="108" spans="1:126" x14ac:dyDescent="0.3">
      <c r="A108" s="9" t="s">
        <v>439</v>
      </c>
      <c r="L108">
        <v>24</v>
      </c>
      <c r="AG108">
        <v>59</v>
      </c>
      <c r="BZ108">
        <v>22</v>
      </c>
      <c r="DL108">
        <v>56</v>
      </c>
      <c r="DR108">
        <v>39</v>
      </c>
      <c r="DV108">
        <v>200</v>
      </c>
    </row>
    <row r="109" spans="1:126" x14ac:dyDescent="0.3">
      <c r="A109" s="9" t="s">
        <v>55</v>
      </c>
      <c r="AY109">
        <v>66</v>
      </c>
      <c r="BA109">
        <v>78</v>
      </c>
      <c r="BF109">
        <v>115</v>
      </c>
      <c r="DV109">
        <v>259</v>
      </c>
    </row>
    <row r="110" spans="1:126" x14ac:dyDescent="0.3">
      <c r="A110" s="9" t="s">
        <v>451</v>
      </c>
      <c r="AQ110">
        <v>54</v>
      </c>
      <c r="DL110">
        <v>49</v>
      </c>
      <c r="DR110">
        <v>62</v>
      </c>
      <c r="DV110">
        <v>165</v>
      </c>
    </row>
    <row r="111" spans="1:126" x14ac:dyDescent="0.3">
      <c r="A111" s="9" t="s">
        <v>25</v>
      </c>
      <c r="BF111">
        <v>7</v>
      </c>
      <c r="CK111">
        <v>35</v>
      </c>
      <c r="DO111">
        <v>48</v>
      </c>
      <c r="DV111">
        <v>90</v>
      </c>
    </row>
    <row r="112" spans="1:126" x14ac:dyDescent="0.3">
      <c r="A112" s="9" t="s">
        <v>431</v>
      </c>
      <c r="C112">
        <v>70</v>
      </c>
      <c r="F112">
        <v>102</v>
      </c>
      <c r="L112">
        <v>41</v>
      </c>
      <c r="AG112">
        <v>48</v>
      </c>
      <c r="AQ112">
        <v>37</v>
      </c>
      <c r="BT112">
        <v>62</v>
      </c>
      <c r="CS112">
        <v>30</v>
      </c>
      <c r="DV112">
        <v>390</v>
      </c>
    </row>
    <row r="113" spans="1:126" x14ac:dyDescent="0.3">
      <c r="A113" s="9" t="s">
        <v>63</v>
      </c>
      <c r="CA113">
        <v>42</v>
      </c>
      <c r="CN113">
        <v>140</v>
      </c>
      <c r="DD113">
        <v>59</v>
      </c>
      <c r="DV113">
        <v>241</v>
      </c>
    </row>
    <row r="114" spans="1:126" x14ac:dyDescent="0.3">
      <c r="A114" s="9" t="s">
        <v>423</v>
      </c>
      <c r="X114">
        <v>105</v>
      </c>
      <c r="AI114">
        <v>80</v>
      </c>
      <c r="AJ114">
        <v>79</v>
      </c>
      <c r="AZ114">
        <v>42</v>
      </c>
      <c r="BK114">
        <v>85</v>
      </c>
      <c r="CS114">
        <v>0</v>
      </c>
      <c r="DA114">
        <v>106</v>
      </c>
      <c r="DC114">
        <v>48</v>
      </c>
      <c r="DV114">
        <v>545</v>
      </c>
    </row>
    <row r="115" spans="1:126" x14ac:dyDescent="0.3">
      <c r="A115" s="9" t="s">
        <v>100</v>
      </c>
      <c r="G115">
        <v>32</v>
      </c>
      <c r="K115">
        <v>54</v>
      </c>
      <c r="Q115">
        <v>60</v>
      </c>
      <c r="DV115">
        <v>146</v>
      </c>
    </row>
    <row r="116" spans="1:126" x14ac:dyDescent="0.3">
      <c r="A116" s="9" t="s">
        <v>398</v>
      </c>
      <c r="P116">
        <v>105</v>
      </c>
      <c r="AI116">
        <v>223</v>
      </c>
      <c r="AV116">
        <v>89</v>
      </c>
      <c r="BK116">
        <v>77</v>
      </c>
      <c r="BV116">
        <v>53</v>
      </c>
      <c r="CE116">
        <v>168</v>
      </c>
      <c r="CJ116">
        <v>74</v>
      </c>
      <c r="DK116">
        <v>86</v>
      </c>
      <c r="DV116">
        <v>875</v>
      </c>
    </row>
    <row r="117" spans="1:126" x14ac:dyDescent="0.3">
      <c r="A117" s="9" t="s">
        <v>40</v>
      </c>
      <c r="M117">
        <v>65</v>
      </c>
      <c r="V117">
        <v>55</v>
      </c>
      <c r="CI117">
        <v>125</v>
      </c>
      <c r="DF117">
        <v>104</v>
      </c>
      <c r="DV117">
        <v>349</v>
      </c>
    </row>
    <row r="118" spans="1:126" x14ac:dyDescent="0.3">
      <c r="A118" s="9" t="s">
        <v>422</v>
      </c>
      <c r="U118">
        <v>100</v>
      </c>
      <c r="BG118">
        <v>80</v>
      </c>
      <c r="DV118">
        <v>180</v>
      </c>
    </row>
    <row r="119" spans="1:126" x14ac:dyDescent="0.3">
      <c r="A119" s="9" t="s">
        <v>434</v>
      </c>
      <c r="D119">
        <v>112</v>
      </c>
      <c r="CE119">
        <v>90</v>
      </c>
      <c r="CL119">
        <v>75</v>
      </c>
      <c r="DV119">
        <v>277</v>
      </c>
    </row>
    <row r="120" spans="1:126" x14ac:dyDescent="0.3">
      <c r="A120" s="9" t="s">
        <v>19</v>
      </c>
      <c r="E120">
        <v>89</v>
      </c>
      <c r="BL120">
        <v>69</v>
      </c>
      <c r="BS120">
        <v>72</v>
      </c>
      <c r="BW120">
        <v>106</v>
      </c>
      <c r="CZ120">
        <v>84</v>
      </c>
      <c r="DV120">
        <v>420</v>
      </c>
    </row>
    <row r="121" spans="1:126" x14ac:dyDescent="0.3">
      <c r="A121" s="9" t="s">
        <v>447</v>
      </c>
      <c r="AG121">
        <v>27</v>
      </c>
      <c r="CG121">
        <v>77</v>
      </c>
      <c r="CL121">
        <v>83</v>
      </c>
      <c r="DV121">
        <v>187</v>
      </c>
    </row>
    <row r="122" spans="1:126" x14ac:dyDescent="0.3">
      <c r="A122" s="9" t="s">
        <v>26</v>
      </c>
      <c r="K122">
        <v>40</v>
      </c>
      <c r="AK122">
        <v>102</v>
      </c>
      <c r="CN122">
        <v>90</v>
      </c>
      <c r="DF122">
        <v>40</v>
      </c>
      <c r="DS122">
        <v>106</v>
      </c>
      <c r="DV122">
        <v>378</v>
      </c>
    </row>
    <row r="123" spans="1:126" x14ac:dyDescent="0.3">
      <c r="A123" s="9" t="s">
        <v>449</v>
      </c>
      <c r="AH123">
        <v>112</v>
      </c>
      <c r="AZ123">
        <v>111</v>
      </c>
      <c r="BG123">
        <v>64</v>
      </c>
      <c r="BZ123">
        <v>51</v>
      </c>
      <c r="DV123">
        <v>338</v>
      </c>
    </row>
    <row r="124" spans="1:126" x14ac:dyDescent="0.3">
      <c r="A124" s="9" t="s">
        <v>81</v>
      </c>
      <c r="R124">
        <v>87</v>
      </c>
      <c r="Y124">
        <v>70</v>
      </c>
      <c r="BW124">
        <v>53</v>
      </c>
      <c r="CT124">
        <v>55</v>
      </c>
      <c r="DB124">
        <v>75</v>
      </c>
      <c r="DH124">
        <v>37</v>
      </c>
      <c r="DO124">
        <v>93</v>
      </c>
      <c r="DV124">
        <v>470</v>
      </c>
    </row>
    <row r="125" spans="1:126" x14ac:dyDescent="0.3">
      <c r="A125" s="9" t="s">
        <v>417</v>
      </c>
      <c r="AL125">
        <v>60</v>
      </c>
      <c r="DN125">
        <v>20</v>
      </c>
      <c r="DV125">
        <v>80</v>
      </c>
    </row>
    <row r="126" spans="1:126" x14ac:dyDescent="0.3">
      <c r="A126" s="9" t="s">
        <v>49</v>
      </c>
      <c r="E126">
        <v>95</v>
      </c>
      <c r="I126">
        <v>120</v>
      </c>
      <c r="AP126">
        <v>73</v>
      </c>
      <c r="CR126">
        <v>110</v>
      </c>
      <c r="DV126">
        <v>398</v>
      </c>
    </row>
    <row r="127" spans="1:126" x14ac:dyDescent="0.3">
      <c r="A127" s="9" t="s">
        <v>395</v>
      </c>
      <c r="D127">
        <v>87</v>
      </c>
      <c r="J127">
        <v>119</v>
      </c>
      <c r="P127">
        <v>54</v>
      </c>
      <c r="S127">
        <v>80</v>
      </c>
      <c r="X127">
        <v>90</v>
      </c>
      <c r="AE127">
        <v>42</v>
      </c>
      <c r="DE127">
        <v>63</v>
      </c>
      <c r="DR127">
        <v>112</v>
      </c>
      <c r="DV127">
        <v>647</v>
      </c>
    </row>
    <row r="128" spans="1:126" x14ac:dyDescent="0.3">
      <c r="A128" s="9" t="s">
        <v>44</v>
      </c>
      <c r="V128">
        <v>63</v>
      </c>
      <c r="BW128">
        <v>86</v>
      </c>
      <c r="CP128">
        <v>79</v>
      </c>
      <c r="DS128">
        <v>90</v>
      </c>
      <c r="DV128">
        <v>318</v>
      </c>
    </row>
    <row r="129" spans="1:126" x14ac:dyDescent="0.3">
      <c r="A129" s="9" t="s">
        <v>588</v>
      </c>
      <c r="B129">
        <v>325</v>
      </c>
      <c r="C129">
        <v>646</v>
      </c>
      <c r="D129">
        <v>443</v>
      </c>
      <c r="E129">
        <v>473</v>
      </c>
      <c r="F129">
        <v>422</v>
      </c>
      <c r="G129">
        <v>349</v>
      </c>
      <c r="H129">
        <v>399</v>
      </c>
      <c r="I129">
        <v>240</v>
      </c>
      <c r="J129">
        <v>1184</v>
      </c>
      <c r="K129">
        <v>360</v>
      </c>
      <c r="L129">
        <v>415</v>
      </c>
      <c r="M129">
        <v>426</v>
      </c>
      <c r="N129">
        <v>450</v>
      </c>
      <c r="O129">
        <v>494</v>
      </c>
      <c r="P129">
        <v>466</v>
      </c>
      <c r="Q129">
        <v>922</v>
      </c>
      <c r="R129">
        <v>364</v>
      </c>
      <c r="S129">
        <v>617</v>
      </c>
      <c r="T129">
        <v>581</v>
      </c>
      <c r="U129">
        <v>548</v>
      </c>
      <c r="V129">
        <v>700</v>
      </c>
      <c r="W129">
        <v>1359</v>
      </c>
      <c r="X129">
        <v>410</v>
      </c>
      <c r="Y129">
        <v>271</v>
      </c>
      <c r="Z129">
        <v>186</v>
      </c>
      <c r="AA129">
        <v>539</v>
      </c>
      <c r="AB129">
        <v>901</v>
      </c>
      <c r="AC129">
        <v>603</v>
      </c>
      <c r="AD129">
        <v>504</v>
      </c>
      <c r="AE129">
        <v>271</v>
      </c>
      <c r="AF129">
        <v>22</v>
      </c>
      <c r="AG129">
        <v>448</v>
      </c>
      <c r="AH129">
        <v>652</v>
      </c>
      <c r="AI129">
        <v>799</v>
      </c>
      <c r="AJ129">
        <v>547</v>
      </c>
      <c r="AK129">
        <v>283</v>
      </c>
      <c r="AL129">
        <v>277</v>
      </c>
      <c r="AM129">
        <v>518</v>
      </c>
      <c r="AN129">
        <v>179</v>
      </c>
      <c r="AO129">
        <v>307</v>
      </c>
      <c r="AP129">
        <v>203</v>
      </c>
      <c r="AQ129">
        <v>423</v>
      </c>
      <c r="AR129">
        <v>119</v>
      </c>
      <c r="AS129">
        <v>746</v>
      </c>
      <c r="AT129">
        <v>358</v>
      </c>
      <c r="AU129">
        <v>455</v>
      </c>
      <c r="AV129">
        <v>563</v>
      </c>
      <c r="AW129">
        <v>135</v>
      </c>
      <c r="AX129">
        <v>248</v>
      </c>
      <c r="AY129">
        <v>279</v>
      </c>
      <c r="AZ129">
        <v>366</v>
      </c>
      <c r="BA129">
        <v>844</v>
      </c>
      <c r="BB129">
        <v>518</v>
      </c>
      <c r="BC129">
        <v>541</v>
      </c>
      <c r="BD129">
        <v>400</v>
      </c>
      <c r="BE129">
        <v>452</v>
      </c>
      <c r="BF129">
        <v>555</v>
      </c>
      <c r="BG129">
        <v>409</v>
      </c>
      <c r="BH129">
        <v>622</v>
      </c>
      <c r="BI129">
        <v>414</v>
      </c>
      <c r="BJ129">
        <v>430</v>
      </c>
      <c r="BK129">
        <v>295</v>
      </c>
      <c r="BL129">
        <v>270</v>
      </c>
      <c r="BM129">
        <v>484</v>
      </c>
      <c r="BN129">
        <v>314</v>
      </c>
      <c r="BO129">
        <v>266</v>
      </c>
      <c r="BP129">
        <v>93</v>
      </c>
      <c r="BQ129">
        <v>388</v>
      </c>
      <c r="BR129">
        <v>623</v>
      </c>
      <c r="BS129">
        <v>535</v>
      </c>
      <c r="BT129">
        <v>632</v>
      </c>
      <c r="BU129">
        <v>75</v>
      </c>
      <c r="BV129">
        <v>291</v>
      </c>
      <c r="BW129">
        <v>451</v>
      </c>
      <c r="BX129">
        <v>226</v>
      </c>
      <c r="BY129">
        <v>1404</v>
      </c>
      <c r="BZ129">
        <v>461</v>
      </c>
      <c r="CA129">
        <v>233</v>
      </c>
      <c r="CB129">
        <v>160</v>
      </c>
      <c r="CC129">
        <v>377</v>
      </c>
      <c r="CD129">
        <v>476</v>
      </c>
      <c r="CE129">
        <v>457</v>
      </c>
      <c r="CF129">
        <v>324</v>
      </c>
      <c r="CG129">
        <v>635</v>
      </c>
      <c r="CH129">
        <v>236</v>
      </c>
      <c r="CI129">
        <v>688</v>
      </c>
      <c r="CJ129">
        <v>475</v>
      </c>
      <c r="CK129">
        <v>410</v>
      </c>
      <c r="CL129">
        <v>446</v>
      </c>
      <c r="CM129">
        <v>464</v>
      </c>
      <c r="CN129">
        <v>562</v>
      </c>
      <c r="CO129">
        <v>1203</v>
      </c>
      <c r="CP129">
        <v>268</v>
      </c>
      <c r="CQ129">
        <v>428</v>
      </c>
      <c r="CR129">
        <v>540</v>
      </c>
      <c r="CS129">
        <v>286</v>
      </c>
      <c r="CT129">
        <v>258</v>
      </c>
      <c r="CU129">
        <v>385</v>
      </c>
      <c r="CV129">
        <v>240</v>
      </c>
      <c r="CW129">
        <v>271</v>
      </c>
      <c r="CX129">
        <v>431</v>
      </c>
      <c r="CY129">
        <v>300</v>
      </c>
      <c r="CZ129">
        <v>303</v>
      </c>
      <c r="DA129">
        <v>334</v>
      </c>
      <c r="DB129">
        <v>306</v>
      </c>
      <c r="DC129">
        <v>364</v>
      </c>
      <c r="DD129">
        <v>370</v>
      </c>
      <c r="DE129">
        <v>105</v>
      </c>
      <c r="DF129">
        <v>547</v>
      </c>
      <c r="DG129">
        <v>107</v>
      </c>
      <c r="DH129">
        <v>343</v>
      </c>
      <c r="DI129">
        <v>143</v>
      </c>
      <c r="DJ129">
        <v>483</v>
      </c>
      <c r="DK129">
        <v>755</v>
      </c>
      <c r="DL129">
        <v>393</v>
      </c>
      <c r="DM129">
        <v>436</v>
      </c>
      <c r="DN129">
        <v>491</v>
      </c>
      <c r="DO129">
        <v>320</v>
      </c>
      <c r="DP129">
        <v>269</v>
      </c>
      <c r="DQ129">
        <v>146</v>
      </c>
      <c r="DR129">
        <v>597</v>
      </c>
      <c r="DS129">
        <v>549</v>
      </c>
      <c r="DT129">
        <v>174</v>
      </c>
      <c r="DU129">
        <v>470</v>
      </c>
      <c r="DV129">
        <v>54346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DD92F0-2DF4-4EE2-8F59-161A835D62E4}">
  <dimension ref="A1:J316"/>
  <sheetViews>
    <sheetView topLeftCell="A34" workbookViewId="0">
      <selection activeCell="L8" sqref="L8"/>
    </sheetView>
  </sheetViews>
  <sheetFormatPr defaultRowHeight="14.4" x14ac:dyDescent="0.3"/>
  <cols>
    <col min="7" max="7" width="10.21875" customWidth="1"/>
    <col min="9" max="9" width="11.5546875" customWidth="1"/>
    <col min="10" max="10" width="12.21875" customWidth="1"/>
  </cols>
  <sheetData>
    <row r="1" spans="1:10" x14ac:dyDescent="0.3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594</v>
      </c>
      <c r="H1" s="1" t="s">
        <v>595</v>
      </c>
      <c r="I1" s="1" t="s">
        <v>596</v>
      </c>
      <c r="J1" s="1" t="s">
        <v>597</v>
      </c>
    </row>
    <row r="2" spans="1:10" x14ac:dyDescent="0.3">
      <c r="A2" s="2" t="s">
        <v>11</v>
      </c>
      <c r="B2" s="2" t="s">
        <v>12</v>
      </c>
      <c r="C2" s="2" t="s">
        <v>13</v>
      </c>
      <c r="D2" s="2" t="s">
        <v>14</v>
      </c>
      <c r="E2" s="2">
        <v>59</v>
      </c>
      <c r="F2" s="2">
        <v>107</v>
      </c>
      <c r="G2">
        <f>E2+F2</f>
        <v>166</v>
      </c>
      <c r="H2">
        <f>IF(E2&gt;F2,E2/F2,F2/E2)</f>
        <v>1.8135593220338984</v>
      </c>
      <c r="I2">
        <f>ROUND(E2/G2*100, 2)</f>
        <v>35.54</v>
      </c>
      <c r="J2">
        <f>ROUND(F2/G2*100, 2)</f>
        <v>64.459999999999994</v>
      </c>
    </row>
    <row r="3" spans="1:10" x14ac:dyDescent="0.3">
      <c r="A3" s="2" t="s">
        <v>18</v>
      </c>
      <c r="B3" s="2" t="s">
        <v>19</v>
      </c>
      <c r="C3" s="2" t="s">
        <v>20</v>
      </c>
      <c r="D3" s="2" t="s">
        <v>21</v>
      </c>
      <c r="E3" s="2">
        <v>135</v>
      </c>
      <c r="F3" s="2">
        <v>56</v>
      </c>
      <c r="G3">
        <f t="shared" ref="G3:G66" si="0">E3+F3</f>
        <v>191</v>
      </c>
      <c r="H3">
        <f t="shared" ref="H3:H66" si="1">IF(E3&gt;F3,E3/F3,F3/E3)</f>
        <v>2.4107142857142856</v>
      </c>
      <c r="I3">
        <f t="shared" ref="I3:I66" si="2">ROUND(E3/G3*100, 2)</f>
        <v>70.680000000000007</v>
      </c>
      <c r="J3">
        <f t="shared" ref="J3:J66" si="3">ROUND(F3/G3*100, 2)</f>
        <v>29.32</v>
      </c>
    </row>
    <row r="4" spans="1:10" x14ac:dyDescent="0.3">
      <c r="A4" s="2" t="s">
        <v>25</v>
      </c>
      <c r="B4" s="2" t="s">
        <v>26</v>
      </c>
      <c r="C4" s="2" t="s">
        <v>27</v>
      </c>
      <c r="D4" s="2" t="s">
        <v>28</v>
      </c>
      <c r="E4" s="2">
        <v>48</v>
      </c>
      <c r="F4" s="2">
        <v>122</v>
      </c>
      <c r="G4">
        <f t="shared" si="0"/>
        <v>170</v>
      </c>
      <c r="H4">
        <f t="shared" si="1"/>
        <v>2.5416666666666665</v>
      </c>
      <c r="I4">
        <f t="shared" si="2"/>
        <v>28.24</v>
      </c>
      <c r="J4">
        <f t="shared" si="3"/>
        <v>71.760000000000005</v>
      </c>
    </row>
    <row r="5" spans="1:10" x14ac:dyDescent="0.3">
      <c r="A5" s="2" t="s">
        <v>31</v>
      </c>
      <c r="B5" s="2" t="s">
        <v>32</v>
      </c>
      <c r="C5" s="2" t="s">
        <v>33</v>
      </c>
      <c r="D5" s="2" t="s">
        <v>34</v>
      </c>
      <c r="E5" s="2">
        <v>72</v>
      </c>
      <c r="F5" s="2">
        <v>115</v>
      </c>
      <c r="G5">
        <f t="shared" si="0"/>
        <v>187</v>
      </c>
      <c r="H5">
        <f t="shared" si="1"/>
        <v>1.5972222222222223</v>
      </c>
      <c r="I5">
        <f t="shared" si="2"/>
        <v>38.5</v>
      </c>
      <c r="J5">
        <f t="shared" si="3"/>
        <v>61.5</v>
      </c>
    </row>
    <row r="6" spans="1:10" x14ac:dyDescent="0.3">
      <c r="A6" s="2" t="s">
        <v>37</v>
      </c>
      <c r="B6" s="2" t="s">
        <v>38</v>
      </c>
      <c r="C6" s="2" t="s">
        <v>39</v>
      </c>
      <c r="D6" s="2" t="s">
        <v>40</v>
      </c>
      <c r="E6" s="2">
        <v>14</v>
      </c>
      <c r="F6" s="2">
        <v>144</v>
      </c>
      <c r="G6">
        <f t="shared" si="0"/>
        <v>158</v>
      </c>
      <c r="H6">
        <f t="shared" si="1"/>
        <v>10.285714285714286</v>
      </c>
      <c r="I6">
        <f t="shared" si="2"/>
        <v>8.86</v>
      </c>
      <c r="J6">
        <f t="shared" si="3"/>
        <v>91.14</v>
      </c>
    </row>
    <row r="7" spans="1:10" x14ac:dyDescent="0.3">
      <c r="A7" s="2" t="s">
        <v>43</v>
      </c>
      <c r="B7" s="2" t="s">
        <v>44</v>
      </c>
      <c r="C7" s="2" t="s">
        <v>45</v>
      </c>
      <c r="D7" s="2" t="s">
        <v>46</v>
      </c>
      <c r="E7" s="2">
        <v>113</v>
      </c>
      <c r="F7" s="2">
        <v>30</v>
      </c>
      <c r="G7">
        <f t="shared" si="0"/>
        <v>143</v>
      </c>
      <c r="H7">
        <f t="shared" si="1"/>
        <v>3.7666666666666666</v>
      </c>
      <c r="I7">
        <f t="shared" si="2"/>
        <v>79.02</v>
      </c>
      <c r="J7">
        <f t="shared" si="3"/>
        <v>20.98</v>
      </c>
    </row>
    <row r="8" spans="1:10" x14ac:dyDescent="0.3">
      <c r="A8" s="2" t="s">
        <v>49</v>
      </c>
      <c r="B8" s="2" t="s">
        <v>50</v>
      </c>
      <c r="C8" s="2" t="s">
        <v>51</v>
      </c>
      <c r="D8" s="2" t="s">
        <v>52</v>
      </c>
      <c r="E8" s="2">
        <v>110</v>
      </c>
      <c r="F8" s="2">
        <v>65</v>
      </c>
      <c r="G8">
        <f t="shared" si="0"/>
        <v>175</v>
      </c>
      <c r="H8">
        <f t="shared" si="1"/>
        <v>1.6923076923076923</v>
      </c>
      <c r="I8">
        <f t="shared" si="2"/>
        <v>62.86</v>
      </c>
      <c r="J8">
        <f t="shared" si="3"/>
        <v>37.14</v>
      </c>
    </row>
    <row r="9" spans="1:10" x14ac:dyDescent="0.3">
      <c r="A9" s="2" t="s">
        <v>55</v>
      </c>
      <c r="B9" s="2" t="s">
        <v>56</v>
      </c>
      <c r="C9" s="2" t="s">
        <v>57</v>
      </c>
      <c r="D9" s="2" t="s">
        <v>58</v>
      </c>
      <c r="E9" s="2">
        <v>78</v>
      </c>
      <c r="F9" s="2">
        <v>82</v>
      </c>
      <c r="G9">
        <f t="shared" si="0"/>
        <v>160</v>
      </c>
      <c r="H9">
        <f t="shared" si="1"/>
        <v>1.0512820512820513</v>
      </c>
      <c r="I9">
        <f t="shared" si="2"/>
        <v>48.75</v>
      </c>
      <c r="J9">
        <f t="shared" si="3"/>
        <v>51.25</v>
      </c>
    </row>
    <row r="10" spans="1:10" x14ac:dyDescent="0.3">
      <c r="A10" s="2" t="s">
        <v>61</v>
      </c>
      <c r="B10" s="2" t="s">
        <v>62</v>
      </c>
      <c r="C10" s="2" t="s">
        <v>63</v>
      </c>
      <c r="D10" s="2" t="s">
        <v>64</v>
      </c>
      <c r="E10" s="2">
        <v>47</v>
      </c>
      <c r="F10" s="2">
        <v>73</v>
      </c>
      <c r="G10">
        <f t="shared" si="0"/>
        <v>120</v>
      </c>
      <c r="H10">
        <f t="shared" si="1"/>
        <v>1.553191489361702</v>
      </c>
      <c r="I10">
        <f t="shared" si="2"/>
        <v>39.17</v>
      </c>
      <c r="J10">
        <f t="shared" si="3"/>
        <v>60.83</v>
      </c>
    </row>
    <row r="11" spans="1:10" x14ac:dyDescent="0.3">
      <c r="A11" s="2" t="s">
        <v>67</v>
      </c>
      <c r="B11" s="2" t="s">
        <v>68</v>
      </c>
      <c r="C11" s="2" t="s">
        <v>69</v>
      </c>
      <c r="D11" s="2" t="s">
        <v>70</v>
      </c>
      <c r="E11" s="2">
        <v>53</v>
      </c>
      <c r="F11" s="2">
        <v>116</v>
      </c>
      <c r="G11">
        <f t="shared" si="0"/>
        <v>169</v>
      </c>
      <c r="H11">
        <f t="shared" si="1"/>
        <v>2.1886792452830188</v>
      </c>
      <c r="I11">
        <f t="shared" si="2"/>
        <v>31.36</v>
      </c>
      <c r="J11">
        <f t="shared" si="3"/>
        <v>68.64</v>
      </c>
    </row>
    <row r="12" spans="1:10" x14ac:dyDescent="0.3">
      <c r="A12" s="2" t="s">
        <v>73</v>
      </c>
      <c r="B12" s="2" t="s">
        <v>74</v>
      </c>
      <c r="C12" s="2" t="s">
        <v>75</v>
      </c>
      <c r="D12" s="2" t="s">
        <v>76</v>
      </c>
      <c r="E12" s="2">
        <v>118</v>
      </c>
      <c r="F12" s="2">
        <v>70</v>
      </c>
      <c r="G12">
        <f t="shared" si="0"/>
        <v>188</v>
      </c>
      <c r="H12">
        <f t="shared" si="1"/>
        <v>1.6857142857142857</v>
      </c>
      <c r="I12">
        <f t="shared" si="2"/>
        <v>62.77</v>
      </c>
      <c r="J12">
        <f t="shared" si="3"/>
        <v>37.229999999999997</v>
      </c>
    </row>
    <row r="13" spans="1:10" x14ac:dyDescent="0.3">
      <c r="A13" s="2" t="s">
        <v>79</v>
      </c>
      <c r="B13" s="2" t="s">
        <v>80</v>
      </c>
      <c r="C13" s="2" t="s">
        <v>81</v>
      </c>
      <c r="D13" s="2" t="s">
        <v>82</v>
      </c>
      <c r="E13" s="2">
        <v>110</v>
      </c>
      <c r="F13" s="2">
        <v>87</v>
      </c>
      <c r="G13">
        <f t="shared" si="0"/>
        <v>197</v>
      </c>
      <c r="H13">
        <f t="shared" si="1"/>
        <v>1.264367816091954</v>
      </c>
      <c r="I13">
        <f t="shared" si="2"/>
        <v>55.84</v>
      </c>
      <c r="J13">
        <f t="shared" si="3"/>
        <v>44.16</v>
      </c>
    </row>
    <row r="14" spans="1:10" x14ac:dyDescent="0.3">
      <c r="A14" s="2" t="s">
        <v>85</v>
      </c>
      <c r="B14" s="2" t="s">
        <v>86</v>
      </c>
      <c r="C14" s="2" t="s">
        <v>87</v>
      </c>
      <c r="D14" s="2" t="s">
        <v>88</v>
      </c>
      <c r="E14" s="2">
        <v>88</v>
      </c>
      <c r="F14" s="2">
        <v>47</v>
      </c>
      <c r="G14">
        <f t="shared" si="0"/>
        <v>135</v>
      </c>
      <c r="H14">
        <f t="shared" si="1"/>
        <v>1.8723404255319149</v>
      </c>
      <c r="I14">
        <f t="shared" si="2"/>
        <v>65.19</v>
      </c>
      <c r="J14">
        <f t="shared" si="3"/>
        <v>34.81</v>
      </c>
    </row>
    <row r="15" spans="1:10" x14ac:dyDescent="0.3">
      <c r="A15" s="2" t="s">
        <v>91</v>
      </c>
      <c r="B15" s="2" t="s">
        <v>92</v>
      </c>
      <c r="C15" s="2" t="s">
        <v>93</v>
      </c>
      <c r="D15" s="2" t="s">
        <v>94</v>
      </c>
      <c r="E15" s="2">
        <v>80</v>
      </c>
      <c r="F15" s="2">
        <v>78</v>
      </c>
      <c r="G15">
        <f t="shared" si="0"/>
        <v>158</v>
      </c>
      <c r="H15">
        <f t="shared" si="1"/>
        <v>1.0256410256410255</v>
      </c>
      <c r="I15">
        <f t="shared" si="2"/>
        <v>50.63</v>
      </c>
      <c r="J15">
        <f t="shared" si="3"/>
        <v>49.37</v>
      </c>
    </row>
    <row r="16" spans="1:10" x14ac:dyDescent="0.3">
      <c r="A16" s="2" t="s">
        <v>97</v>
      </c>
      <c r="B16" s="2" t="s">
        <v>98</v>
      </c>
      <c r="C16" s="2" t="s">
        <v>99</v>
      </c>
      <c r="D16" s="2" t="s">
        <v>100</v>
      </c>
      <c r="E16" s="2">
        <v>122</v>
      </c>
      <c r="F16" s="2">
        <v>15</v>
      </c>
      <c r="G16">
        <f t="shared" si="0"/>
        <v>137</v>
      </c>
      <c r="H16">
        <f t="shared" si="1"/>
        <v>8.1333333333333329</v>
      </c>
      <c r="I16">
        <f t="shared" si="2"/>
        <v>89.05</v>
      </c>
      <c r="J16">
        <f t="shared" si="3"/>
        <v>10.95</v>
      </c>
    </row>
    <row r="17" spans="1:10" x14ac:dyDescent="0.3">
      <c r="A17" s="2" t="s">
        <v>103</v>
      </c>
      <c r="B17" s="2" t="s">
        <v>104</v>
      </c>
      <c r="C17" s="2" t="s">
        <v>49</v>
      </c>
      <c r="D17" s="2" t="s">
        <v>13</v>
      </c>
      <c r="E17" s="2">
        <v>70</v>
      </c>
      <c r="F17" s="2">
        <v>120</v>
      </c>
      <c r="G17">
        <f t="shared" si="0"/>
        <v>190</v>
      </c>
      <c r="H17">
        <f t="shared" si="1"/>
        <v>1.7142857142857142</v>
      </c>
      <c r="I17">
        <f t="shared" si="2"/>
        <v>36.840000000000003</v>
      </c>
      <c r="J17">
        <f t="shared" si="3"/>
        <v>63.16</v>
      </c>
    </row>
    <row r="18" spans="1:10" x14ac:dyDescent="0.3">
      <c r="A18" s="2" t="s">
        <v>27</v>
      </c>
      <c r="B18" s="2" t="s">
        <v>58</v>
      </c>
      <c r="C18" s="2" t="s">
        <v>68</v>
      </c>
      <c r="D18" s="2" t="s">
        <v>37</v>
      </c>
      <c r="E18" s="2">
        <v>108</v>
      </c>
      <c r="F18" s="2">
        <v>25</v>
      </c>
      <c r="G18">
        <f t="shared" si="0"/>
        <v>133</v>
      </c>
      <c r="H18">
        <f t="shared" si="1"/>
        <v>4.32</v>
      </c>
      <c r="I18">
        <f t="shared" si="2"/>
        <v>81.2</v>
      </c>
      <c r="J18">
        <f t="shared" si="3"/>
        <v>18.8</v>
      </c>
    </row>
    <row r="19" spans="1:10" x14ac:dyDescent="0.3">
      <c r="A19" s="2" t="s">
        <v>69</v>
      </c>
      <c r="B19" s="2" t="s">
        <v>75</v>
      </c>
      <c r="C19" s="2" t="s">
        <v>50</v>
      </c>
      <c r="D19" s="2" t="s">
        <v>63</v>
      </c>
      <c r="E19" s="2">
        <v>63</v>
      </c>
      <c r="F19" s="2">
        <v>111</v>
      </c>
      <c r="G19">
        <f t="shared" si="0"/>
        <v>174</v>
      </c>
      <c r="H19">
        <f t="shared" si="1"/>
        <v>1.7619047619047619</v>
      </c>
      <c r="I19">
        <f t="shared" si="2"/>
        <v>36.21</v>
      </c>
      <c r="J19">
        <f t="shared" si="3"/>
        <v>63.79</v>
      </c>
    </row>
    <row r="20" spans="1:10" x14ac:dyDescent="0.3">
      <c r="A20" s="2" t="s">
        <v>51</v>
      </c>
      <c r="B20" s="2" t="s">
        <v>55</v>
      </c>
      <c r="C20" s="2" t="s">
        <v>43</v>
      </c>
      <c r="D20" s="2" t="s">
        <v>67</v>
      </c>
      <c r="E20" s="2">
        <v>27</v>
      </c>
      <c r="F20" s="2">
        <v>117</v>
      </c>
      <c r="G20">
        <f t="shared" si="0"/>
        <v>144</v>
      </c>
      <c r="H20">
        <f t="shared" si="1"/>
        <v>4.333333333333333</v>
      </c>
      <c r="I20">
        <f t="shared" si="2"/>
        <v>18.75</v>
      </c>
      <c r="J20">
        <f t="shared" si="3"/>
        <v>81.25</v>
      </c>
    </row>
    <row r="21" spans="1:10" x14ac:dyDescent="0.3">
      <c r="A21" s="2" t="s">
        <v>32</v>
      </c>
      <c r="B21" s="2" t="s">
        <v>62</v>
      </c>
      <c r="C21" s="2" t="s">
        <v>73</v>
      </c>
      <c r="D21" s="2" t="s">
        <v>44</v>
      </c>
      <c r="E21" s="2">
        <v>128</v>
      </c>
      <c r="F21" s="2">
        <v>72</v>
      </c>
      <c r="G21">
        <f t="shared" si="0"/>
        <v>200</v>
      </c>
      <c r="H21">
        <f t="shared" si="1"/>
        <v>1.7777777777777777</v>
      </c>
      <c r="I21">
        <f t="shared" si="2"/>
        <v>64</v>
      </c>
      <c r="J21">
        <f t="shared" si="3"/>
        <v>36</v>
      </c>
    </row>
    <row r="22" spans="1:10" x14ac:dyDescent="0.3">
      <c r="A22" s="2" t="s">
        <v>45</v>
      </c>
      <c r="B22" s="2" t="s">
        <v>85</v>
      </c>
      <c r="C22" s="2" t="s">
        <v>38</v>
      </c>
      <c r="D22" s="2" t="s">
        <v>92</v>
      </c>
      <c r="E22" s="2">
        <v>84</v>
      </c>
      <c r="F22" s="2">
        <v>77</v>
      </c>
      <c r="G22">
        <f t="shared" si="0"/>
        <v>161</v>
      </c>
      <c r="H22">
        <f t="shared" si="1"/>
        <v>1.0909090909090908</v>
      </c>
      <c r="I22">
        <f t="shared" si="2"/>
        <v>52.17</v>
      </c>
      <c r="J22">
        <f t="shared" si="3"/>
        <v>47.83</v>
      </c>
    </row>
    <row r="23" spans="1:10" x14ac:dyDescent="0.3">
      <c r="A23" s="2" t="s">
        <v>40</v>
      </c>
      <c r="B23" s="2" t="s">
        <v>34</v>
      </c>
      <c r="C23" s="2" t="s">
        <v>74</v>
      </c>
      <c r="D23" s="2" t="s">
        <v>11</v>
      </c>
      <c r="E23" s="2">
        <v>125</v>
      </c>
      <c r="F23" s="2">
        <v>59</v>
      </c>
      <c r="G23">
        <f t="shared" si="0"/>
        <v>184</v>
      </c>
      <c r="H23">
        <f t="shared" si="1"/>
        <v>2.1186440677966103</v>
      </c>
      <c r="I23">
        <f t="shared" si="2"/>
        <v>67.930000000000007</v>
      </c>
      <c r="J23">
        <f t="shared" si="3"/>
        <v>32.07</v>
      </c>
    </row>
    <row r="24" spans="1:10" x14ac:dyDescent="0.3">
      <c r="A24" s="2" t="s">
        <v>76</v>
      </c>
      <c r="B24" s="2" t="s">
        <v>46</v>
      </c>
      <c r="C24" s="2" t="s">
        <v>99</v>
      </c>
      <c r="D24" s="2" t="s">
        <v>21</v>
      </c>
      <c r="E24" s="2">
        <v>62</v>
      </c>
      <c r="F24" s="2">
        <v>78</v>
      </c>
      <c r="G24">
        <f t="shared" si="0"/>
        <v>140</v>
      </c>
      <c r="H24">
        <f t="shared" si="1"/>
        <v>1.2580645161290323</v>
      </c>
      <c r="I24">
        <f t="shared" si="2"/>
        <v>44.29</v>
      </c>
      <c r="J24">
        <f t="shared" si="3"/>
        <v>55.71</v>
      </c>
    </row>
    <row r="25" spans="1:10" x14ac:dyDescent="0.3">
      <c r="A25" s="2" t="s">
        <v>70</v>
      </c>
      <c r="B25" s="2" t="s">
        <v>64</v>
      </c>
      <c r="C25" s="2" t="s">
        <v>87</v>
      </c>
      <c r="D25" s="2" t="s">
        <v>81</v>
      </c>
      <c r="E25" s="2">
        <v>96</v>
      </c>
      <c r="F25" s="2">
        <v>58</v>
      </c>
      <c r="G25">
        <f t="shared" si="0"/>
        <v>154</v>
      </c>
      <c r="H25">
        <f t="shared" si="1"/>
        <v>1.6551724137931034</v>
      </c>
      <c r="I25">
        <f t="shared" si="2"/>
        <v>62.34</v>
      </c>
      <c r="J25">
        <f t="shared" si="3"/>
        <v>37.659999999999997</v>
      </c>
    </row>
    <row r="26" spans="1:10" x14ac:dyDescent="0.3">
      <c r="A26" s="2" t="s">
        <v>94</v>
      </c>
      <c r="B26" s="2" t="s">
        <v>14</v>
      </c>
      <c r="C26" s="2" t="s">
        <v>26</v>
      </c>
      <c r="D26" s="2" t="s">
        <v>31</v>
      </c>
      <c r="E26" s="2">
        <v>80</v>
      </c>
      <c r="F26" s="2">
        <v>102</v>
      </c>
      <c r="G26">
        <f t="shared" si="0"/>
        <v>182</v>
      </c>
      <c r="H26">
        <f t="shared" si="1"/>
        <v>1.2749999999999999</v>
      </c>
      <c r="I26">
        <f t="shared" si="2"/>
        <v>43.96</v>
      </c>
      <c r="J26">
        <f t="shared" si="3"/>
        <v>56.04</v>
      </c>
    </row>
    <row r="27" spans="1:10" x14ac:dyDescent="0.3">
      <c r="A27" s="2" t="s">
        <v>33</v>
      </c>
      <c r="B27" s="2" t="s">
        <v>93</v>
      </c>
      <c r="C27" s="2" t="s">
        <v>61</v>
      </c>
      <c r="D27" s="2" t="s">
        <v>25</v>
      </c>
      <c r="E27" s="2">
        <v>153</v>
      </c>
      <c r="F27" s="2">
        <v>36</v>
      </c>
      <c r="G27">
        <f t="shared" si="0"/>
        <v>189</v>
      </c>
      <c r="H27">
        <f t="shared" si="1"/>
        <v>4.25</v>
      </c>
      <c r="I27">
        <f t="shared" si="2"/>
        <v>80.95</v>
      </c>
      <c r="J27">
        <f t="shared" si="3"/>
        <v>19.05</v>
      </c>
    </row>
    <row r="28" spans="1:10" x14ac:dyDescent="0.3">
      <c r="A28" s="2" t="s">
        <v>52</v>
      </c>
      <c r="B28" s="2" t="s">
        <v>19</v>
      </c>
      <c r="C28" s="2" t="s">
        <v>103</v>
      </c>
      <c r="D28" s="2" t="s">
        <v>91</v>
      </c>
      <c r="E28" s="2">
        <v>100</v>
      </c>
      <c r="F28" s="2">
        <v>47</v>
      </c>
      <c r="G28">
        <f t="shared" si="0"/>
        <v>147</v>
      </c>
      <c r="H28">
        <f t="shared" si="1"/>
        <v>2.1276595744680851</v>
      </c>
      <c r="I28">
        <f t="shared" si="2"/>
        <v>68.03</v>
      </c>
      <c r="J28">
        <f t="shared" si="3"/>
        <v>31.97</v>
      </c>
    </row>
    <row r="29" spans="1:10" x14ac:dyDescent="0.3">
      <c r="A29" s="2" t="s">
        <v>88</v>
      </c>
      <c r="B29" s="2" t="s">
        <v>57</v>
      </c>
      <c r="C29" s="2" t="s">
        <v>104</v>
      </c>
      <c r="D29" s="2" t="s">
        <v>98</v>
      </c>
      <c r="E29" s="2">
        <v>170</v>
      </c>
      <c r="F29" s="2">
        <v>65</v>
      </c>
      <c r="G29">
        <f t="shared" si="0"/>
        <v>235</v>
      </c>
      <c r="H29">
        <f t="shared" si="1"/>
        <v>2.6153846153846154</v>
      </c>
      <c r="I29">
        <f t="shared" si="2"/>
        <v>72.34</v>
      </c>
      <c r="J29">
        <f t="shared" si="3"/>
        <v>27.66</v>
      </c>
    </row>
    <row r="30" spans="1:10" x14ac:dyDescent="0.3">
      <c r="A30" s="2" t="s">
        <v>39</v>
      </c>
      <c r="B30" s="2" t="s">
        <v>12</v>
      </c>
      <c r="C30" s="2" t="s">
        <v>79</v>
      </c>
      <c r="D30" s="2" t="s">
        <v>18</v>
      </c>
      <c r="E30" s="2">
        <v>115</v>
      </c>
      <c r="F30" s="2">
        <v>108</v>
      </c>
      <c r="G30">
        <f t="shared" si="0"/>
        <v>223</v>
      </c>
      <c r="H30">
        <f t="shared" si="1"/>
        <v>1.0648148148148149</v>
      </c>
      <c r="I30">
        <f t="shared" si="2"/>
        <v>51.57</v>
      </c>
      <c r="J30">
        <f t="shared" si="3"/>
        <v>48.43</v>
      </c>
    </row>
    <row r="31" spans="1:10" x14ac:dyDescent="0.3">
      <c r="A31" s="2" t="s">
        <v>82</v>
      </c>
      <c r="B31" s="2" t="s">
        <v>100</v>
      </c>
      <c r="C31" s="2" t="s">
        <v>56</v>
      </c>
      <c r="D31" s="2" t="s">
        <v>86</v>
      </c>
      <c r="E31" s="2">
        <v>98</v>
      </c>
      <c r="F31" s="2">
        <v>136</v>
      </c>
      <c r="G31">
        <f t="shared" si="0"/>
        <v>234</v>
      </c>
      <c r="H31">
        <f t="shared" si="1"/>
        <v>1.3877551020408163</v>
      </c>
      <c r="I31">
        <f t="shared" si="2"/>
        <v>41.88</v>
      </c>
      <c r="J31">
        <f t="shared" si="3"/>
        <v>58.12</v>
      </c>
    </row>
    <row r="32" spans="1:10" x14ac:dyDescent="0.3">
      <c r="A32" s="2" t="s">
        <v>20</v>
      </c>
      <c r="B32" s="2" t="s">
        <v>28</v>
      </c>
      <c r="C32" s="2" t="s">
        <v>80</v>
      </c>
      <c r="D32" s="2" t="s">
        <v>97</v>
      </c>
      <c r="E32" s="2">
        <v>35</v>
      </c>
      <c r="F32" s="2">
        <v>63</v>
      </c>
      <c r="G32">
        <f t="shared" si="0"/>
        <v>98</v>
      </c>
      <c r="H32">
        <f t="shared" si="1"/>
        <v>1.8</v>
      </c>
      <c r="I32">
        <f t="shared" si="2"/>
        <v>35.71</v>
      </c>
      <c r="J32">
        <f t="shared" si="3"/>
        <v>64.290000000000006</v>
      </c>
    </row>
    <row r="33" spans="1:10" x14ac:dyDescent="0.3">
      <c r="A33" s="2" t="s">
        <v>63</v>
      </c>
      <c r="B33" s="2" t="s">
        <v>21</v>
      </c>
      <c r="C33" s="2" t="s">
        <v>43</v>
      </c>
      <c r="D33" s="2" t="s">
        <v>92</v>
      </c>
      <c r="E33" s="2">
        <v>42</v>
      </c>
      <c r="F33" s="2">
        <v>133</v>
      </c>
      <c r="G33">
        <f t="shared" si="0"/>
        <v>175</v>
      </c>
      <c r="H33">
        <f t="shared" si="1"/>
        <v>3.1666666666666665</v>
      </c>
      <c r="I33">
        <f t="shared" si="2"/>
        <v>24</v>
      </c>
      <c r="J33">
        <f t="shared" si="3"/>
        <v>76</v>
      </c>
    </row>
    <row r="34" spans="1:10" x14ac:dyDescent="0.3">
      <c r="A34" s="2" t="s">
        <v>68</v>
      </c>
      <c r="B34" s="2" t="s">
        <v>75</v>
      </c>
      <c r="C34" s="2" t="s">
        <v>62</v>
      </c>
      <c r="D34" s="2" t="s">
        <v>45</v>
      </c>
      <c r="E34" s="2">
        <v>82</v>
      </c>
      <c r="F34" s="2">
        <v>75</v>
      </c>
      <c r="G34">
        <f t="shared" si="0"/>
        <v>157</v>
      </c>
      <c r="H34">
        <f t="shared" si="1"/>
        <v>1.0933333333333333</v>
      </c>
      <c r="I34">
        <f t="shared" si="2"/>
        <v>52.23</v>
      </c>
      <c r="J34">
        <f t="shared" si="3"/>
        <v>47.77</v>
      </c>
    </row>
    <row r="35" spans="1:10" x14ac:dyDescent="0.3">
      <c r="A35" s="2" t="s">
        <v>26</v>
      </c>
      <c r="B35" s="2" t="s">
        <v>67</v>
      </c>
      <c r="C35" s="2" t="s">
        <v>76</v>
      </c>
      <c r="D35" s="2" t="s">
        <v>52</v>
      </c>
      <c r="E35" s="2">
        <v>40</v>
      </c>
      <c r="F35" s="2">
        <v>74</v>
      </c>
      <c r="G35">
        <f t="shared" si="0"/>
        <v>114</v>
      </c>
      <c r="H35">
        <f t="shared" si="1"/>
        <v>1.85</v>
      </c>
      <c r="I35">
        <f t="shared" si="2"/>
        <v>35.090000000000003</v>
      </c>
      <c r="J35">
        <f t="shared" si="3"/>
        <v>64.91</v>
      </c>
    </row>
    <row r="36" spans="1:10" x14ac:dyDescent="0.3">
      <c r="A36" s="2" t="s">
        <v>57</v>
      </c>
      <c r="B36" s="2" t="s">
        <v>69</v>
      </c>
      <c r="C36" s="2" t="s">
        <v>61</v>
      </c>
      <c r="D36" s="2" t="s">
        <v>73</v>
      </c>
      <c r="E36" s="2">
        <v>58</v>
      </c>
      <c r="F36" s="2">
        <v>91</v>
      </c>
      <c r="G36">
        <f t="shared" si="0"/>
        <v>149</v>
      </c>
      <c r="H36">
        <f t="shared" si="1"/>
        <v>1.5689655172413792</v>
      </c>
      <c r="I36">
        <f t="shared" si="2"/>
        <v>38.93</v>
      </c>
      <c r="J36">
        <f t="shared" si="3"/>
        <v>61.07</v>
      </c>
    </row>
    <row r="37" spans="1:10" x14ac:dyDescent="0.3">
      <c r="A37" s="2" t="s">
        <v>70</v>
      </c>
      <c r="B37" s="2" t="s">
        <v>74</v>
      </c>
      <c r="C37" s="2" t="s">
        <v>25</v>
      </c>
      <c r="D37" s="2" t="s">
        <v>14</v>
      </c>
      <c r="E37" s="2">
        <v>147</v>
      </c>
      <c r="F37" s="2">
        <v>7</v>
      </c>
      <c r="G37">
        <f t="shared" si="0"/>
        <v>154</v>
      </c>
      <c r="H37">
        <f t="shared" si="1"/>
        <v>21</v>
      </c>
      <c r="I37">
        <f t="shared" si="2"/>
        <v>95.45</v>
      </c>
      <c r="J37">
        <f t="shared" si="3"/>
        <v>4.55</v>
      </c>
    </row>
    <row r="38" spans="1:10" x14ac:dyDescent="0.3">
      <c r="A38" s="2" t="s">
        <v>82</v>
      </c>
      <c r="B38" s="2" t="s">
        <v>34</v>
      </c>
      <c r="C38" s="2" t="s">
        <v>91</v>
      </c>
      <c r="D38" s="2" t="s">
        <v>39</v>
      </c>
      <c r="E38" s="2">
        <v>62</v>
      </c>
      <c r="F38" s="2">
        <v>38</v>
      </c>
      <c r="G38">
        <f t="shared" si="0"/>
        <v>100</v>
      </c>
      <c r="H38">
        <f t="shared" si="1"/>
        <v>1.631578947368421</v>
      </c>
      <c r="I38">
        <f t="shared" si="2"/>
        <v>62</v>
      </c>
      <c r="J38">
        <f t="shared" si="3"/>
        <v>38</v>
      </c>
    </row>
    <row r="39" spans="1:10" x14ac:dyDescent="0.3">
      <c r="A39" s="2" t="s">
        <v>13</v>
      </c>
      <c r="B39" s="2" t="s">
        <v>86</v>
      </c>
      <c r="C39" s="2" t="s">
        <v>64</v>
      </c>
      <c r="D39" s="2" t="s">
        <v>93</v>
      </c>
      <c r="E39" s="2">
        <v>140</v>
      </c>
      <c r="F39" s="2">
        <v>30</v>
      </c>
      <c r="G39">
        <f t="shared" si="0"/>
        <v>170</v>
      </c>
      <c r="H39">
        <f t="shared" si="1"/>
        <v>4.666666666666667</v>
      </c>
      <c r="I39">
        <f t="shared" si="2"/>
        <v>82.35</v>
      </c>
      <c r="J39">
        <f t="shared" si="3"/>
        <v>17.649999999999999</v>
      </c>
    </row>
    <row r="40" spans="1:10" x14ac:dyDescent="0.3">
      <c r="A40" s="2" t="s">
        <v>33</v>
      </c>
      <c r="B40" s="2" t="s">
        <v>58</v>
      </c>
      <c r="C40" s="2" t="s">
        <v>85</v>
      </c>
      <c r="D40" s="2" t="s">
        <v>80</v>
      </c>
      <c r="E40" s="2">
        <v>111</v>
      </c>
      <c r="F40" s="2">
        <v>39</v>
      </c>
      <c r="G40">
        <f t="shared" si="0"/>
        <v>150</v>
      </c>
      <c r="H40">
        <f t="shared" si="1"/>
        <v>2.8461538461538463</v>
      </c>
      <c r="I40">
        <f t="shared" si="2"/>
        <v>74</v>
      </c>
      <c r="J40">
        <f t="shared" si="3"/>
        <v>26</v>
      </c>
    </row>
    <row r="41" spans="1:10" x14ac:dyDescent="0.3">
      <c r="A41" s="2" t="s">
        <v>98</v>
      </c>
      <c r="B41" s="2" t="s">
        <v>51</v>
      </c>
      <c r="C41" s="2" t="s">
        <v>28</v>
      </c>
      <c r="D41" s="2" t="s">
        <v>94</v>
      </c>
      <c r="E41" s="2">
        <v>55</v>
      </c>
      <c r="F41" s="2">
        <v>107</v>
      </c>
      <c r="G41">
        <f t="shared" si="0"/>
        <v>162</v>
      </c>
      <c r="H41">
        <f t="shared" si="1"/>
        <v>1.9454545454545455</v>
      </c>
      <c r="I41">
        <f t="shared" si="2"/>
        <v>33.950000000000003</v>
      </c>
      <c r="J41">
        <f t="shared" si="3"/>
        <v>66.05</v>
      </c>
    </row>
    <row r="42" spans="1:10" x14ac:dyDescent="0.3">
      <c r="A42" s="2" t="s">
        <v>79</v>
      </c>
      <c r="B42" s="2" t="s">
        <v>44</v>
      </c>
      <c r="C42" s="2" t="s">
        <v>50</v>
      </c>
      <c r="D42" s="2" t="s">
        <v>20</v>
      </c>
      <c r="E42" s="2">
        <v>30</v>
      </c>
      <c r="F42" s="2">
        <v>93</v>
      </c>
      <c r="G42">
        <f t="shared" si="0"/>
        <v>123</v>
      </c>
      <c r="H42">
        <f t="shared" si="1"/>
        <v>3.1</v>
      </c>
      <c r="I42">
        <f t="shared" si="2"/>
        <v>24.39</v>
      </c>
      <c r="J42">
        <f t="shared" si="3"/>
        <v>75.61</v>
      </c>
    </row>
    <row r="43" spans="1:10" x14ac:dyDescent="0.3">
      <c r="A43" s="2" t="s">
        <v>99</v>
      </c>
      <c r="B43" s="2" t="s">
        <v>103</v>
      </c>
      <c r="C43" s="2" t="s">
        <v>11</v>
      </c>
      <c r="D43" s="2" t="s">
        <v>56</v>
      </c>
      <c r="E43" s="2">
        <v>22</v>
      </c>
      <c r="F43" s="2">
        <v>133</v>
      </c>
      <c r="G43">
        <f t="shared" si="0"/>
        <v>155</v>
      </c>
      <c r="H43">
        <f t="shared" si="1"/>
        <v>6.0454545454545459</v>
      </c>
      <c r="I43">
        <f t="shared" si="2"/>
        <v>14.19</v>
      </c>
      <c r="J43">
        <f t="shared" si="3"/>
        <v>85.81</v>
      </c>
    </row>
    <row r="44" spans="1:10" x14ac:dyDescent="0.3">
      <c r="A44" s="2" t="s">
        <v>87</v>
      </c>
      <c r="B44" s="2" t="s">
        <v>31</v>
      </c>
      <c r="C44" s="2" t="s">
        <v>104</v>
      </c>
      <c r="D44" s="2" t="s">
        <v>40</v>
      </c>
      <c r="E44" s="2">
        <v>77</v>
      </c>
      <c r="F44" s="2">
        <v>118</v>
      </c>
      <c r="G44">
        <f t="shared" si="0"/>
        <v>195</v>
      </c>
      <c r="H44">
        <f t="shared" si="1"/>
        <v>1.5324675324675325</v>
      </c>
      <c r="I44">
        <f t="shared" si="2"/>
        <v>39.49</v>
      </c>
      <c r="J44">
        <f t="shared" si="3"/>
        <v>60.51</v>
      </c>
    </row>
    <row r="45" spans="1:10" x14ac:dyDescent="0.3">
      <c r="A45" s="2" t="s">
        <v>19</v>
      </c>
      <c r="B45" s="2" t="s">
        <v>38</v>
      </c>
      <c r="C45" s="2" t="s">
        <v>12</v>
      </c>
      <c r="D45" s="2" t="s">
        <v>55</v>
      </c>
      <c r="E45" s="2">
        <v>84</v>
      </c>
      <c r="F45" s="2">
        <v>67</v>
      </c>
      <c r="G45">
        <f t="shared" si="0"/>
        <v>151</v>
      </c>
      <c r="H45">
        <f t="shared" si="1"/>
        <v>1.2537313432835822</v>
      </c>
      <c r="I45">
        <f t="shared" si="2"/>
        <v>55.63</v>
      </c>
      <c r="J45">
        <f t="shared" si="3"/>
        <v>44.37</v>
      </c>
    </row>
    <row r="46" spans="1:10" x14ac:dyDescent="0.3">
      <c r="A46" s="2" t="s">
        <v>81</v>
      </c>
      <c r="B46" s="2" t="s">
        <v>37</v>
      </c>
      <c r="C46" s="2" t="s">
        <v>32</v>
      </c>
      <c r="D46" s="2" t="s">
        <v>46</v>
      </c>
      <c r="E46" s="2">
        <v>53</v>
      </c>
      <c r="F46" s="2">
        <v>105</v>
      </c>
      <c r="G46">
        <f t="shared" si="0"/>
        <v>158</v>
      </c>
      <c r="H46">
        <f t="shared" si="1"/>
        <v>1.9811320754716981</v>
      </c>
      <c r="I46">
        <f t="shared" si="2"/>
        <v>33.54</v>
      </c>
      <c r="J46">
        <f t="shared" si="3"/>
        <v>66.459999999999994</v>
      </c>
    </row>
    <row r="47" spans="1:10" x14ac:dyDescent="0.3">
      <c r="A47" s="2" t="s">
        <v>49</v>
      </c>
      <c r="B47" s="2" t="s">
        <v>27</v>
      </c>
      <c r="C47" s="2" t="s">
        <v>88</v>
      </c>
      <c r="D47" s="2" t="s">
        <v>100</v>
      </c>
      <c r="E47" s="2">
        <v>95</v>
      </c>
      <c r="F47" s="2">
        <v>97</v>
      </c>
      <c r="G47">
        <f t="shared" si="0"/>
        <v>192</v>
      </c>
      <c r="H47">
        <f t="shared" si="1"/>
        <v>1.0210526315789474</v>
      </c>
      <c r="I47">
        <f t="shared" si="2"/>
        <v>49.48</v>
      </c>
      <c r="J47">
        <f t="shared" si="3"/>
        <v>50.52</v>
      </c>
    </row>
    <row r="48" spans="1:10" x14ac:dyDescent="0.3">
      <c r="A48" s="2" t="s">
        <v>18</v>
      </c>
      <c r="B48" s="2" t="s">
        <v>97</v>
      </c>
      <c r="C48" s="2" t="s">
        <v>64</v>
      </c>
      <c r="D48" s="2" t="s">
        <v>67</v>
      </c>
      <c r="E48" s="2">
        <v>88</v>
      </c>
      <c r="F48" s="2">
        <v>26</v>
      </c>
      <c r="G48">
        <f t="shared" si="0"/>
        <v>114</v>
      </c>
      <c r="H48">
        <f t="shared" si="1"/>
        <v>3.3846153846153846</v>
      </c>
      <c r="I48">
        <f t="shared" si="2"/>
        <v>77.19</v>
      </c>
      <c r="J48">
        <f t="shared" si="3"/>
        <v>22.81</v>
      </c>
    </row>
    <row r="49" spans="1:10" x14ac:dyDescent="0.3">
      <c r="A49" s="2" t="s">
        <v>76</v>
      </c>
      <c r="B49" s="2" t="s">
        <v>58</v>
      </c>
      <c r="C49" s="2" t="s">
        <v>98</v>
      </c>
      <c r="D49" s="2" t="s">
        <v>82</v>
      </c>
      <c r="E49" s="2">
        <v>67</v>
      </c>
      <c r="F49" s="2">
        <v>49</v>
      </c>
      <c r="G49">
        <f t="shared" si="0"/>
        <v>116</v>
      </c>
      <c r="H49">
        <f t="shared" si="1"/>
        <v>1.3673469387755102</v>
      </c>
      <c r="I49">
        <f t="shared" si="2"/>
        <v>57.76</v>
      </c>
      <c r="J49">
        <f t="shared" si="3"/>
        <v>42.24</v>
      </c>
    </row>
    <row r="50" spans="1:10" x14ac:dyDescent="0.3">
      <c r="A50" s="2" t="s">
        <v>39</v>
      </c>
      <c r="B50" s="2" t="s">
        <v>99</v>
      </c>
      <c r="C50" s="2" t="s">
        <v>33</v>
      </c>
      <c r="D50" s="2" t="s">
        <v>63</v>
      </c>
      <c r="E50" s="2">
        <v>71</v>
      </c>
      <c r="F50" s="2">
        <v>138</v>
      </c>
      <c r="G50">
        <f t="shared" si="0"/>
        <v>209</v>
      </c>
      <c r="H50">
        <f t="shared" si="1"/>
        <v>1.943661971830986</v>
      </c>
      <c r="I50">
        <f t="shared" si="2"/>
        <v>33.97</v>
      </c>
      <c r="J50">
        <f t="shared" si="3"/>
        <v>66.03</v>
      </c>
    </row>
    <row r="51" spans="1:10" x14ac:dyDescent="0.3">
      <c r="A51" s="2" t="s">
        <v>31</v>
      </c>
      <c r="B51" s="2" t="s">
        <v>79</v>
      </c>
      <c r="C51" s="2" t="s">
        <v>68</v>
      </c>
      <c r="D51" s="2" t="s">
        <v>57</v>
      </c>
      <c r="E51" s="2">
        <v>63</v>
      </c>
      <c r="F51" s="2">
        <v>78</v>
      </c>
      <c r="G51">
        <f t="shared" si="0"/>
        <v>141</v>
      </c>
      <c r="H51">
        <f t="shared" si="1"/>
        <v>1.2380952380952381</v>
      </c>
      <c r="I51">
        <f t="shared" si="2"/>
        <v>44.68</v>
      </c>
      <c r="J51">
        <f t="shared" si="3"/>
        <v>55.32</v>
      </c>
    </row>
    <row r="52" spans="1:10" x14ac:dyDescent="0.3">
      <c r="A52" s="2" t="s">
        <v>94</v>
      </c>
      <c r="B52" s="2" t="s">
        <v>104</v>
      </c>
      <c r="C52" s="2" t="s">
        <v>45</v>
      </c>
      <c r="D52" s="2" t="s">
        <v>34</v>
      </c>
      <c r="E52" s="2">
        <v>140</v>
      </c>
      <c r="F52" s="2">
        <v>81</v>
      </c>
      <c r="G52">
        <f t="shared" si="0"/>
        <v>221</v>
      </c>
      <c r="H52">
        <f t="shared" si="1"/>
        <v>1.728395061728395</v>
      </c>
      <c r="I52">
        <f t="shared" si="2"/>
        <v>63.35</v>
      </c>
      <c r="J52">
        <f t="shared" si="3"/>
        <v>36.65</v>
      </c>
    </row>
    <row r="53" spans="1:10" x14ac:dyDescent="0.3">
      <c r="A53" s="2" t="s">
        <v>28</v>
      </c>
      <c r="B53" s="2" t="s">
        <v>91</v>
      </c>
      <c r="C53" s="2" t="s">
        <v>55</v>
      </c>
      <c r="D53" s="2" t="s">
        <v>14</v>
      </c>
      <c r="E53" s="2">
        <v>98</v>
      </c>
      <c r="F53" s="2">
        <v>115</v>
      </c>
      <c r="G53">
        <f t="shared" si="0"/>
        <v>213</v>
      </c>
      <c r="H53">
        <f t="shared" si="1"/>
        <v>1.1734693877551021</v>
      </c>
      <c r="I53">
        <f t="shared" si="2"/>
        <v>46.01</v>
      </c>
      <c r="J53">
        <f t="shared" si="3"/>
        <v>53.99</v>
      </c>
    </row>
    <row r="54" spans="1:10" x14ac:dyDescent="0.3">
      <c r="A54" s="2" t="s">
        <v>73</v>
      </c>
      <c r="B54" s="2" t="s">
        <v>43</v>
      </c>
      <c r="C54" s="2" t="s">
        <v>70</v>
      </c>
      <c r="D54" s="2" t="s">
        <v>13</v>
      </c>
      <c r="E54" s="2">
        <v>93</v>
      </c>
      <c r="F54" s="2">
        <v>80</v>
      </c>
      <c r="G54">
        <f t="shared" si="0"/>
        <v>173</v>
      </c>
      <c r="H54">
        <f t="shared" si="1"/>
        <v>1.1625000000000001</v>
      </c>
      <c r="I54">
        <f t="shared" si="2"/>
        <v>53.76</v>
      </c>
      <c r="J54">
        <f t="shared" si="3"/>
        <v>46.24</v>
      </c>
    </row>
    <row r="55" spans="1:10" x14ac:dyDescent="0.3">
      <c r="A55" s="2" t="s">
        <v>87</v>
      </c>
      <c r="B55" s="2" t="s">
        <v>44</v>
      </c>
      <c r="C55" s="2" t="s">
        <v>27</v>
      </c>
      <c r="D55" s="2" t="s">
        <v>97</v>
      </c>
      <c r="E55" s="2">
        <v>27</v>
      </c>
      <c r="F55" s="2">
        <v>118</v>
      </c>
      <c r="G55">
        <f t="shared" si="0"/>
        <v>145</v>
      </c>
      <c r="H55">
        <f t="shared" si="1"/>
        <v>4.3703703703703702</v>
      </c>
      <c r="I55">
        <f t="shared" si="2"/>
        <v>18.62</v>
      </c>
      <c r="J55">
        <f t="shared" si="3"/>
        <v>81.38</v>
      </c>
    </row>
    <row r="56" spans="1:10" x14ac:dyDescent="0.3">
      <c r="A56" s="2" t="s">
        <v>56</v>
      </c>
      <c r="B56" s="2" t="s">
        <v>25</v>
      </c>
      <c r="C56" s="2" t="s">
        <v>19</v>
      </c>
      <c r="D56" s="2" t="s">
        <v>37</v>
      </c>
      <c r="E56" s="2">
        <v>96</v>
      </c>
      <c r="F56" s="2">
        <v>106</v>
      </c>
      <c r="G56">
        <f t="shared" si="0"/>
        <v>202</v>
      </c>
      <c r="H56">
        <f t="shared" si="1"/>
        <v>1.1041666666666667</v>
      </c>
      <c r="I56">
        <f t="shared" si="2"/>
        <v>47.52</v>
      </c>
      <c r="J56">
        <f t="shared" si="3"/>
        <v>52.48</v>
      </c>
    </row>
    <row r="57" spans="1:10" x14ac:dyDescent="0.3">
      <c r="A57" s="2" t="s">
        <v>50</v>
      </c>
      <c r="B57" s="2" t="s">
        <v>21</v>
      </c>
      <c r="C57" s="2" t="s">
        <v>38</v>
      </c>
      <c r="D57" s="2" t="s">
        <v>86</v>
      </c>
      <c r="E57" s="2">
        <v>57</v>
      </c>
      <c r="F57" s="2">
        <v>40</v>
      </c>
      <c r="G57">
        <f t="shared" si="0"/>
        <v>97</v>
      </c>
      <c r="H57">
        <f t="shared" si="1"/>
        <v>1.425</v>
      </c>
      <c r="I57">
        <f t="shared" si="2"/>
        <v>58.76</v>
      </c>
      <c r="J57">
        <f t="shared" si="3"/>
        <v>41.24</v>
      </c>
    </row>
    <row r="58" spans="1:10" x14ac:dyDescent="0.3">
      <c r="A58" s="2" t="s">
        <v>81</v>
      </c>
      <c r="B58" s="2" t="s">
        <v>100</v>
      </c>
      <c r="C58" s="2" t="s">
        <v>51</v>
      </c>
      <c r="D58" s="2" t="s">
        <v>12</v>
      </c>
      <c r="E58" s="2">
        <v>37</v>
      </c>
      <c r="F58" s="2">
        <v>121</v>
      </c>
      <c r="G58">
        <f t="shared" si="0"/>
        <v>158</v>
      </c>
      <c r="H58">
        <f t="shared" si="1"/>
        <v>3.2702702702702702</v>
      </c>
      <c r="I58">
        <f t="shared" si="2"/>
        <v>23.42</v>
      </c>
      <c r="J58">
        <f t="shared" si="3"/>
        <v>76.58</v>
      </c>
    </row>
    <row r="59" spans="1:10" x14ac:dyDescent="0.3">
      <c r="A59" s="2" t="s">
        <v>20</v>
      </c>
      <c r="B59" s="2" t="s">
        <v>93</v>
      </c>
      <c r="C59" s="2" t="s">
        <v>32</v>
      </c>
      <c r="D59" s="2" t="s">
        <v>11</v>
      </c>
      <c r="E59" s="2">
        <v>40</v>
      </c>
      <c r="F59" s="2">
        <v>143</v>
      </c>
      <c r="G59">
        <f t="shared" si="0"/>
        <v>183</v>
      </c>
      <c r="H59">
        <f t="shared" si="1"/>
        <v>3.5750000000000002</v>
      </c>
      <c r="I59">
        <f t="shared" si="2"/>
        <v>21.86</v>
      </c>
      <c r="J59">
        <f t="shared" si="3"/>
        <v>78.14</v>
      </c>
    </row>
    <row r="60" spans="1:10" x14ac:dyDescent="0.3">
      <c r="A60" s="2" t="s">
        <v>80</v>
      </c>
      <c r="B60" s="2" t="s">
        <v>92</v>
      </c>
      <c r="C60" s="2" t="s">
        <v>18</v>
      </c>
      <c r="D60" s="2" t="s">
        <v>74</v>
      </c>
      <c r="E60" s="2">
        <v>65</v>
      </c>
      <c r="F60" s="2">
        <v>119</v>
      </c>
      <c r="G60">
        <f t="shared" si="0"/>
        <v>184</v>
      </c>
      <c r="H60">
        <f t="shared" si="1"/>
        <v>1.8307692307692307</v>
      </c>
      <c r="I60">
        <f t="shared" si="2"/>
        <v>35.33</v>
      </c>
      <c r="J60">
        <f t="shared" si="3"/>
        <v>64.67</v>
      </c>
    </row>
    <row r="61" spans="1:10" x14ac:dyDescent="0.3">
      <c r="A61" s="2" t="s">
        <v>75</v>
      </c>
      <c r="B61" s="2" t="s">
        <v>61</v>
      </c>
      <c r="C61" s="2" t="s">
        <v>26</v>
      </c>
      <c r="D61" s="2" t="s">
        <v>49</v>
      </c>
      <c r="E61" s="2">
        <v>135</v>
      </c>
      <c r="F61" s="2">
        <v>106</v>
      </c>
      <c r="G61">
        <f t="shared" si="0"/>
        <v>241</v>
      </c>
      <c r="H61">
        <f t="shared" si="1"/>
        <v>1.2735849056603774</v>
      </c>
      <c r="I61">
        <f t="shared" si="2"/>
        <v>56.02</v>
      </c>
      <c r="J61">
        <f t="shared" si="3"/>
        <v>43.98</v>
      </c>
    </row>
    <row r="62" spans="1:10" x14ac:dyDescent="0.3">
      <c r="A62" s="2" t="s">
        <v>52</v>
      </c>
      <c r="B62" s="2" t="s">
        <v>69</v>
      </c>
      <c r="C62" s="2" t="s">
        <v>62</v>
      </c>
      <c r="D62" s="2" t="s">
        <v>85</v>
      </c>
      <c r="E62" s="2">
        <v>45</v>
      </c>
      <c r="F62" s="2">
        <v>104</v>
      </c>
      <c r="G62">
        <f t="shared" si="0"/>
        <v>149</v>
      </c>
      <c r="H62">
        <f t="shared" si="1"/>
        <v>2.3111111111111109</v>
      </c>
      <c r="I62">
        <f t="shared" si="2"/>
        <v>30.2</v>
      </c>
      <c r="J62">
        <f t="shared" si="3"/>
        <v>69.8</v>
      </c>
    </row>
    <row r="63" spans="1:10" x14ac:dyDescent="0.3">
      <c r="A63" s="2" t="s">
        <v>88</v>
      </c>
      <c r="B63" s="2" t="s">
        <v>46</v>
      </c>
      <c r="C63" s="2" t="s">
        <v>103</v>
      </c>
      <c r="D63" s="2" t="s">
        <v>40</v>
      </c>
      <c r="E63" s="2">
        <v>96</v>
      </c>
      <c r="F63" s="2">
        <v>64</v>
      </c>
      <c r="G63">
        <f t="shared" si="0"/>
        <v>160</v>
      </c>
      <c r="H63">
        <f t="shared" si="1"/>
        <v>1.5</v>
      </c>
      <c r="I63">
        <f t="shared" si="2"/>
        <v>60</v>
      </c>
      <c r="J63">
        <f t="shared" si="3"/>
        <v>40</v>
      </c>
    </row>
    <row r="64" spans="1:10" x14ac:dyDescent="0.3">
      <c r="A64" s="2" t="s">
        <v>99</v>
      </c>
      <c r="B64" s="2" t="s">
        <v>87</v>
      </c>
      <c r="C64" s="2" t="s">
        <v>28</v>
      </c>
      <c r="D64" s="2" t="s">
        <v>79</v>
      </c>
      <c r="E64" s="2">
        <v>45</v>
      </c>
      <c r="F64" s="2">
        <v>155</v>
      </c>
      <c r="G64">
        <f t="shared" si="0"/>
        <v>200</v>
      </c>
      <c r="H64">
        <f t="shared" si="1"/>
        <v>3.4444444444444446</v>
      </c>
      <c r="I64">
        <f t="shared" si="2"/>
        <v>22.5</v>
      </c>
      <c r="J64">
        <f t="shared" si="3"/>
        <v>77.5</v>
      </c>
    </row>
    <row r="65" spans="1:10" x14ac:dyDescent="0.3">
      <c r="A65" s="2" t="s">
        <v>45</v>
      </c>
      <c r="B65" s="2" t="s">
        <v>14</v>
      </c>
      <c r="C65" s="2" t="s">
        <v>51</v>
      </c>
      <c r="D65" s="2" t="s">
        <v>97</v>
      </c>
      <c r="E65" s="2">
        <v>45</v>
      </c>
      <c r="F65" s="2">
        <v>117</v>
      </c>
      <c r="G65">
        <f t="shared" si="0"/>
        <v>162</v>
      </c>
      <c r="H65">
        <f t="shared" si="1"/>
        <v>2.6</v>
      </c>
      <c r="I65">
        <f t="shared" si="2"/>
        <v>27.78</v>
      </c>
      <c r="J65">
        <f t="shared" si="3"/>
        <v>72.22</v>
      </c>
    </row>
    <row r="66" spans="1:10" x14ac:dyDescent="0.3">
      <c r="A66" s="2" t="s">
        <v>37</v>
      </c>
      <c r="B66" s="2" t="s">
        <v>86</v>
      </c>
      <c r="C66" s="2" t="s">
        <v>31</v>
      </c>
      <c r="D66" s="2" t="s">
        <v>98</v>
      </c>
      <c r="E66" s="2">
        <v>111</v>
      </c>
      <c r="F66" s="2">
        <v>48</v>
      </c>
      <c r="G66">
        <f t="shared" si="0"/>
        <v>159</v>
      </c>
      <c r="H66">
        <f t="shared" si="1"/>
        <v>2.3125</v>
      </c>
      <c r="I66">
        <f t="shared" si="2"/>
        <v>69.81</v>
      </c>
      <c r="J66">
        <f t="shared" si="3"/>
        <v>30.19</v>
      </c>
    </row>
    <row r="67" spans="1:10" x14ac:dyDescent="0.3">
      <c r="A67" s="2" t="s">
        <v>21</v>
      </c>
      <c r="B67" s="2" t="s">
        <v>57</v>
      </c>
      <c r="C67" s="2" t="s">
        <v>80</v>
      </c>
      <c r="D67" s="2" t="s">
        <v>34</v>
      </c>
      <c r="E67" s="2">
        <v>90</v>
      </c>
      <c r="F67" s="2">
        <v>98</v>
      </c>
      <c r="G67">
        <f t="shared" ref="G67:G130" si="4">E67+F67</f>
        <v>188</v>
      </c>
      <c r="H67">
        <f t="shared" ref="H67:H130" si="5">IF(E67&gt;F67,E67/F67,F67/E67)</f>
        <v>1.0888888888888888</v>
      </c>
      <c r="I67">
        <f t="shared" ref="I67:I130" si="6">ROUND(E67/G67*100, 2)</f>
        <v>47.87</v>
      </c>
      <c r="J67">
        <f t="shared" ref="J67:J130" si="7">ROUND(F67/G67*100, 2)</f>
        <v>52.13</v>
      </c>
    </row>
    <row r="68" spans="1:10" x14ac:dyDescent="0.3">
      <c r="A68" s="2" t="s">
        <v>104</v>
      </c>
      <c r="B68" s="2" t="s">
        <v>64</v>
      </c>
      <c r="C68" s="2" t="s">
        <v>56</v>
      </c>
      <c r="D68" s="2" t="s">
        <v>44</v>
      </c>
      <c r="E68" s="2">
        <v>109</v>
      </c>
      <c r="F68" s="2">
        <v>131</v>
      </c>
      <c r="G68">
        <f t="shared" si="4"/>
        <v>240</v>
      </c>
      <c r="H68">
        <f t="shared" si="5"/>
        <v>1.201834862385321</v>
      </c>
      <c r="I68">
        <f t="shared" si="6"/>
        <v>45.42</v>
      </c>
      <c r="J68">
        <f t="shared" si="7"/>
        <v>54.58</v>
      </c>
    </row>
    <row r="69" spans="1:10" x14ac:dyDescent="0.3">
      <c r="A69" s="2" t="s">
        <v>70</v>
      </c>
      <c r="B69" s="2" t="s">
        <v>12</v>
      </c>
      <c r="C69" s="2" t="s">
        <v>58</v>
      </c>
      <c r="D69" s="2" t="s">
        <v>75</v>
      </c>
      <c r="E69" s="2">
        <v>102</v>
      </c>
      <c r="F69" s="2">
        <v>48</v>
      </c>
      <c r="G69">
        <f t="shared" si="4"/>
        <v>150</v>
      </c>
      <c r="H69">
        <f t="shared" si="5"/>
        <v>2.125</v>
      </c>
      <c r="I69">
        <f t="shared" si="6"/>
        <v>68</v>
      </c>
      <c r="J69">
        <f t="shared" si="7"/>
        <v>32</v>
      </c>
    </row>
    <row r="70" spans="1:10" x14ac:dyDescent="0.3">
      <c r="A70" s="2" t="s">
        <v>100</v>
      </c>
      <c r="B70" s="2" t="s">
        <v>73</v>
      </c>
      <c r="C70" s="2" t="s">
        <v>50</v>
      </c>
      <c r="D70" s="2" t="s">
        <v>25</v>
      </c>
      <c r="E70" s="2">
        <v>32</v>
      </c>
      <c r="F70" s="2">
        <v>68</v>
      </c>
      <c r="G70">
        <f t="shared" si="4"/>
        <v>100</v>
      </c>
      <c r="H70">
        <f t="shared" si="5"/>
        <v>2.125</v>
      </c>
      <c r="I70">
        <f t="shared" si="6"/>
        <v>32</v>
      </c>
      <c r="J70">
        <f t="shared" si="7"/>
        <v>68</v>
      </c>
    </row>
    <row r="71" spans="1:10" x14ac:dyDescent="0.3">
      <c r="A71" s="2" t="s">
        <v>74</v>
      </c>
      <c r="B71" s="2" t="s">
        <v>39</v>
      </c>
      <c r="C71" s="2" t="s">
        <v>103</v>
      </c>
      <c r="D71" s="2" t="s">
        <v>67</v>
      </c>
      <c r="E71" s="2">
        <v>97</v>
      </c>
      <c r="F71" s="2">
        <v>69</v>
      </c>
      <c r="G71">
        <f t="shared" si="4"/>
        <v>166</v>
      </c>
      <c r="H71">
        <f t="shared" si="5"/>
        <v>1.4057971014492754</v>
      </c>
      <c r="I71">
        <f t="shared" si="6"/>
        <v>58.43</v>
      </c>
      <c r="J71">
        <f t="shared" si="7"/>
        <v>41.57</v>
      </c>
    </row>
    <row r="72" spans="1:10" x14ac:dyDescent="0.3">
      <c r="A72" s="2" t="s">
        <v>62</v>
      </c>
      <c r="B72" s="2" t="s">
        <v>18</v>
      </c>
      <c r="C72" s="2" t="s">
        <v>93</v>
      </c>
      <c r="D72" s="2" t="s">
        <v>55</v>
      </c>
      <c r="E72" s="2">
        <v>104</v>
      </c>
      <c r="F72" s="2">
        <v>44</v>
      </c>
      <c r="G72">
        <f t="shared" si="4"/>
        <v>148</v>
      </c>
      <c r="H72">
        <f t="shared" si="5"/>
        <v>2.3636363636363638</v>
      </c>
      <c r="I72">
        <f t="shared" si="6"/>
        <v>70.27</v>
      </c>
      <c r="J72">
        <f t="shared" si="7"/>
        <v>29.73</v>
      </c>
    </row>
    <row r="73" spans="1:10" x14ac:dyDescent="0.3">
      <c r="A73" s="2" t="s">
        <v>88</v>
      </c>
      <c r="B73" s="2" t="s">
        <v>38</v>
      </c>
      <c r="C73" s="2" t="s">
        <v>81</v>
      </c>
      <c r="D73" s="2" t="s">
        <v>26</v>
      </c>
      <c r="E73" s="2">
        <v>91</v>
      </c>
      <c r="F73" s="2">
        <v>93</v>
      </c>
      <c r="G73">
        <f t="shared" si="4"/>
        <v>184</v>
      </c>
      <c r="H73">
        <f t="shared" si="5"/>
        <v>1.0219780219780219</v>
      </c>
      <c r="I73">
        <f t="shared" si="6"/>
        <v>49.46</v>
      </c>
      <c r="J73">
        <f t="shared" si="7"/>
        <v>50.54</v>
      </c>
    </row>
    <row r="74" spans="1:10" x14ac:dyDescent="0.3">
      <c r="A74" s="2" t="s">
        <v>40</v>
      </c>
      <c r="B74" s="2" t="s">
        <v>63</v>
      </c>
      <c r="C74" s="2" t="s">
        <v>52</v>
      </c>
      <c r="D74" s="2" t="s">
        <v>32</v>
      </c>
      <c r="E74" s="2">
        <v>104</v>
      </c>
      <c r="F74" s="2">
        <v>106</v>
      </c>
      <c r="G74">
        <f t="shared" si="4"/>
        <v>210</v>
      </c>
      <c r="H74">
        <f t="shared" si="5"/>
        <v>1.0192307692307692</v>
      </c>
      <c r="I74">
        <f t="shared" si="6"/>
        <v>49.52</v>
      </c>
      <c r="J74">
        <f t="shared" si="7"/>
        <v>50.48</v>
      </c>
    </row>
    <row r="75" spans="1:10" x14ac:dyDescent="0.3">
      <c r="A75" s="2" t="s">
        <v>94</v>
      </c>
      <c r="B75" s="2" t="s">
        <v>27</v>
      </c>
      <c r="C75" s="2" t="s">
        <v>61</v>
      </c>
      <c r="D75" s="2" t="s">
        <v>85</v>
      </c>
      <c r="E75" s="2">
        <v>140</v>
      </c>
      <c r="F75" s="2">
        <v>67</v>
      </c>
      <c r="G75">
        <f t="shared" si="4"/>
        <v>207</v>
      </c>
      <c r="H75">
        <f t="shared" si="5"/>
        <v>2.08955223880597</v>
      </c>
      <c r="I75">
        <f t="shared" si="6"/>
        <v>67.63</v>
      </c>
      <c r="J75">
        <f t="shared" si="7"/>
        <v>32.369999999999997</v>
      </c>
    </row>
    <row r="76" spans="1:10" x14ac:dyDescent="0.3">
      <c r="A76" s="2" t="s">
        <v>76</v>
      </c>
      <c r="B76" s="2" t="s">
        <v>43</v>
      </c>
      <c r="C76" s="2" t="s">
        <v>20</v>
      </c>
      <c r="D76" s="2" t="s">
        <v>49</v>
      </c>
      <c r="E76" s="2">
        <v>142</v>
      </c>
      <c r="F76" s="2">
        <v>49</v>
      </c>
      <c r="G76">
        <f t="shared" si="4"/>
        <v>191</v>
      </c>
      <c r="H76">
        <f t="shared" si="5"/>
        <v>2.8979591836734695</v>
      </c>
      <c r="I76">
        <f t="shared" si="6"/>
        <v>74.349999999999994</v>
      </c>
      <c r="J76">
        <f t="shared" si="7"/>
        <v>25.65</v>
      </c>
    </row>
    <row r="77" spans="1:10" x14ac:dyDescent="0.3">
      <c r="A77" s="2" t="s">
        <v>13</v>
      </c>
      <c r="B77" s="2" t="s">
        <v>82</v>
      </c>
      <c r="C77" s="2" t="s">
        <v>69</v>
      </c>
      <c r="D77" s="2" t="s">
        <v>19</v>
      </c>
      <c r="E77" s="2">
        <v>94</v>
      </c>
      <c r="F77" s="2">
        <v>53</v>
      </c>
      <c r="G77">
        <f t="shared" si="4"/>
        <v>147</v>
      </c>
      <c r="H77">
        <f t="shared" si="5"/>
        <v>1.7735849056603774</v>
      </c>
      <c r="I77">
        <f t="shared" si="6"/>
        <v>63.95</v>
      </c>
      <c r="J77">
        <f t="shared" si="7"/>
        <v>36.049999999999997</v>
      </c>
    </row>
    <row r="78" spans="1:10" x14ac:dyDescent="0.3">
      <c r="A78" s="2" t="s">
        <v>11</v>
      </c>
      <c r="B78" s="2" t="s">
        <v>92</v>
      </c>
      <c r="C78" s="2" t="s">
        <v>46</v>
      </c>
      <c r="D78" s="2" t="s">
        <v>68</v>
      </c>
      <c r="E78" s="2">
        <v>113</v>
      </c>
      <c r="F78" s="2">
        <v>63</v>
      </c>
      <c r="G78">
        <f t="shared" si="4"/>
        <v>176</v>
      </c>
      <c r="H78">
        <f t="shared" si="5"/>
        <v>1.7936507936507937</v>
      </c>
      <c r="I78">
        <f t="shared" si="6"/>
        <v>64.2</v>
      </c>
      <c r="J78">
        <f t="shared" si="7"/>
        <v>35.799999999999997</v>
      </c>
    </row>
    <row r="79" spans="1:10" x14ac:dyDescent="0.3">
      <c r="A79" s="2" t="s">
        <v>91</v>
      </c>
      <c r="B79" s="2" t="s">
        <v>33</v>
      </c>
      <c r="C79" s="2" t="s">
        <v>67</v>
      </c>
      <c r="D79" s="2" t="s">
        <v>87</v>
      </c>
      <c r="E79" s="2">
        <v>132</v>
      </c>
      <c r="F79" s="2">
        <v>49</v>
      </c>
      <c r="G79">
        <f t="shared" si="4"/>
        <v>181</v>
      </c>
      <c r="H79">
        <f t="shared" si="5"/>
        <v>2.693877551020408</v>
      </c>
      <c r="I79">
        <f t="shared" si="6"/>
        <v>72.930000000000007</v>
      </c>
      <c r="J79">
        <f t="shared" si="7"/>
        <v>27.07</v>
      </c>
    </row>
    <row r="80" spans="1:10" x14ac:dyDescent="0.3">
      <c r="A80" s="2" t="s">
        <v>81</v>
      </c>
      <c r="B80" s="2" t="s">
        <v>55</v>
      </c>
      <c r="C80" s="2" t="s">
        <v>21</v>
      </c>
      <c r="D80" s="2" t="s">
        <v>75</v>
      </c>
      <c r="E80" s="2">
        <v>75</v>
      </c>
      <c r="F80" s="2">
        <v>100</v>
      </c>
      <c r="G80">
        <f t="shared" si="4"/>
        <v>175</v>
      </c>
      <c r="H80">
        <f t="shared" si="5"/>
        <v>1.3333333333333333</v>
      </c>
      <c r="I80">
        <f t="shared" si="6"/>
        <v>42.86</v>
      </c>
      <c r="J80">
        <f t="shared" si="7"/>
        <v>57.14</v>
      </c>
    </row>
    <row r="81" spans="1:10" x14ac:dyDescent="0.3">
      <c r="A81" s="2" t="s">
        <v>97</v>
      </c>
      <c r="B81" s="2" t="s">
        <v>25</v>
      </c>
      <c r="C81" s="2" t="s">
        <v>88</v>
      </c>
      <c r="D81" s="2" t="s">
        <v>58</v>
      </c>
      <c r="E81" s="2">
        <v>39</v>
      </c>
      <c r="F81" s="2">
        <v>116</v>
      </c>
      <c r="G81">
        <f t="shared" si="4"/>
        <v>155</v>
      </c>
      <c r="H81">
        <f t="shared" si="5"/>
        <v>2.9743589743589745</v>
      </c>
      <c r="I81">
        <f t="shared" si="6"/>
        <v>25.16</v>
      </c>
      <c r="J81">
        <f t="shared" si="7"/>
        <v>74.84</v>
      </c>
    </row>
    <row r="82" spans="1:10" x14ac:dyDescent="0.3">
      <c r="A82" s="2" t="s">
        <v>28</v>
      </c>
      <c r="B82" s="2" t="s">
        <v>52</v>
      </c>
      <c r="C82" s="2" t="s">
        <v>61</v>
      </c>
      <c r="D82" s="2" t="s">
        <v>31</v>
      </c>
      <c r="E82" s="2">
        <v>108</v>
      </c>
      <c r="F82" s="2">
        <v>52</v>
      </c>
      <c r="G82">
        <f t="shared" si="4"/>
        <v>160</v>
      </c>
      <c r="H82">
        <f t="shared" si="5"/>
        <v>2.0769230769230771</v>
      </c>
      <c r="I82">
        <f t="shared" si="6"/>
        <v>67.5</v>
      </c>
      <c r="J82">
        <f t="shared" si="7"/>
        <v>32.5</v>
      </c>
    </row>
    <row r="83" spans="1:10" x14ac:dyDescent="0.3">
      <c r="A83" s="2" t="s">
        <v>103</v>
      </c>
      <c r="B83" s="2" t="s">
        <v>85</v>
      </c>
      <c r="C83" s="2" t="s">
        <v>14</v>
      </c>
      <c r="D83" s="2" t="s">
        <v>73</v>
      </c>
      <c r="E83" s="2">
        <v>45</v>
      </c>
      <c r="F83" s="2">
        <v>108</v>
      </c>
      <c r="G83">
        <f t="shared" si="4"/>
        <v>153</v>
      </c>
      <c r="H83">
        <f t="shared" si="5"/>
        <v>2.4</v>
      </c>
      <c r="I83">
        <f t="shared" si="6"/>
        <v>29.41</v>
      </c>
      <c r="J83">
        <f t="shared" si="7"/>
        <v>70.59</v>
      </c>
    </row>
    <row r="84" spans="1:10" x14ac:dyDescent="0.3">
      <c r="A84" s="2" t="s">
        <v>82</v>
      </c>
      <c r="B84" s="2" t="s">
        <v>38</v>
      </c>
      <c r="C84" s="2" t="s">
        <v>62</v>
      </c>
      <c r="D84" s="2" t="s">
        <v>99</v>
      </c>
      <c r="E84" s="2">
        <v>30</v>
      </c>
      <c r="F84" s="2">
        <v>73</v>
      </c>
      <c r="G84">
        <f t="shared" si="4"/>
        <v>103</v>
      </c>
      <c r="H84">
        <f t="shared" si="5"/>
        <v>2.4333333333333331</v>
      </c>
      <c r="I84">
        <f t="shared" si="6"/>
        <v>29.13</v>
      </c>
      <c r="J84">
        <f t="shared" si="7"/>
        <v>70.87</v>
      </c>
    </row>
    <row r="85" spans="1:10" x14ac:dyDescent="0.3">
      <c r="A85" s="2" t="s">
        <v>51</v>
      </c>
      <c r="B85" s="2" t="s">
        <v>32</v>
      </c>
      <c r="C85" s="2" t="s">
        <v>76</v>
      </c>
      <c r="D85" s="2" t="s">
        <v>104</v>
      </c>
      <c r="E85" s="2">
        <v>80</v>
      </c>
      <c r="F85" s="2">
        <v>85</v>
      </c>
      <c r="G85">
        <f t="shared" si="4"/>
        <v>165</v>
      </c>
      <c r="H85">
        <f t="shared" si="5"/>
        <v>1.0625</v>
      </c>
      <c r="I85">
        <f t="shared" si="6"/>
        <v>48.48</v>
      </c>
      <c r="J85">
        <f t="shared" si="7"/>
        <v>51.52</v>
      </c>
    </row>
    <row r="86" spans="1:10" x14ac:dyDescent="0.3">
      <c r="A86" s="2" t="s">
        <v>46</v>
      </c>
      <c r="B86" s="2" t="s">
        <v>64</v>
      </c>
      <c r="C86" s="2" t="s">
        <v>94</v>
      </c>
      <c r="D86" s="2" t="s">
        <v>100</v>
      </c>
      <c r="E86" s="2">
        <v>127</v>
      </c>
      <c r="F86" s="2">
        <v>34</v>
      </c>
      <c r="G86">
        <f t="shared" si="4"/>
        <v>161</v>
      </c>
      <c r="H86">
        <f t="shared" si="5"/>
        <v>3.7352941176470589</v>
      </c>
      <c r="I86">
        <f t="shared" si="6"/>
        <v>78.88</v>
      </c>
      <c r="J86">
        <f t="shared" si="7"/>
        <v>21.12</v>
      </c>
    </row>
    <row r="87" spans="1:10" x14ac:dyDescent="0.3">
      <c r="A87" s="2" t="s">
        <v>11</v>
      </c>
      <c r="B87" s="2" t="s">
        <v>91</v>
      </c>
      <c r="C87" s="2" t="s">
        <v>18</v>
      </c>
      <c r="D87" s="2" t="s">
        <v>57</v>
      </c>
      <c r="E87" s="2">
        <v>56</v>
      </c>
      <c r="F87" s="2">
        <v>97</v>
      </c>
      <c r="G87">
        <f t="shared" si="4"/>
        <v>153</v>
      </c>
      <c r="H87">
        <f t="shared" si="5"/>
        <v>1.7321428571428572</v>
      </c>
      <c r="I87">
        <f t="shared" si="6"/>
        <v>36.6</v>
      </c>
      <c r="J87">
        <f t="shared" si="7"/>
        <v>63.4</v>
      </c>
    </row>
    <row r="88" spans="1:10" x14ac:dyDescent="0.3">
      <c r="A88" s="2" t="s">
        <v>20</v>
      </c>
      <c r="B88" s="2" t="s">
        <v>13</v>
      </c>
      <c r="C88" s="2" t="s">
        <v>39</v>
      </c>
      <c r="D88" s="2" t="s">
        <v>92</v>
      </c>
      <c r="E88" s="2">
        <v>40</v>
      </c>
      <c r="F88" s="2">
        <v>88</v>
      </c>
      <c r="G88">
        <f t="shared" si="4"/>
        <v>128</v>
      </c>
      <c r="H88">
        <f t="shared" si="5"/>
        <v>2.2000000000000002</v>
      </c>
      <c r="I88">
        <f t="shared" si="6"/>
        <v>31.25</v>
      </c>
      <c r="J88">
        <f t="shared" si="7"/>
        <v>68.75</v>
      </c>
    </row>
    <row r="89" spans="1:10" x14ac:dyDescent="0.3">
      <c r="A89" s="2" t="s">
        <v>68</v>
      </c>
      <c r="B89" s="2" t="s">
        <v>80</v>
      </c>
      <c r="C89" s="2" t="s">
        <v>86</v>
      </c>
      <c r="D89" s="2" t="s">
        <v>12</v>
      </c>
      <c r="E89" s="2">
        <v>43</v>
      </c>
      <c r="F89" s="2">
        <v>60</v>
      </c>
      <c r="G89">
        <f t="shared" si="4"/>
        <v>103</v>
      </c>
      <c r="H89">
        <f t="shared" si="5"/>
        <v>1.3953488372093024</v>
      </c>
      <c r="I89">
        <f t="shared" si="6"/>
        <v>41.75</v>
      </c>
      <c r="J89">
        <f t="shared" si="7"/>
        <v>58.25</v>
      </c>
    </row>
    <row r="90" spans="1:10" x14ac:dyDescent="0.3">
      <c r="A90" s="2" t="s">
        <v>45</v>
      </c>
      <c r="B90" s="2" t="s">
        <v>98</v>
      </c>
      <c r="C90" s="2" t="s">
        <v>26</v>
      </c>
      <c r="D90" s="2" t="s">
        <v>63</v>
      </c>
      <c r="E90" s="2">
        <v>115</v>
      </c>
      <c r="F90" s="2">
        <v>40</v>
      </c>
      <c r="G90">
        <f t="shared" si="4"/>
        <v>155</v>
      </c>
      <c r="H90">
        <f t="shared" si="5"/>
        <v>2.875</v>
      </c>
      <c r="I90">
        <f t="shared" si="6"/>
        <v>74.19</v>
      </c>
      <c r="J90">
        <f t="shared" si="7"/>
        <v>25.81</v>
      </c>
    </row>
    <row r="91" spans="1:10" x14ac:dyDescent="0.3">
      <c r="A91" s="2" t="s">
        <v>40</v>
      </c>
      <c r="B91" s="2" t="s">
        <v>93</v>
      </c>
      <c r="C91" s="2" t="s">
        <v>70</v>
      </c>
      <c r="D91" s="2" t="s">
        <v>56</v>
      </c>
      <c r="E91" s="2">
        <v>65</v>
      </c>
      <c r="F91" s="2">
        <v>113</v>
      </c>
      <c r="G91">
        <f t="shared" si="4"/>
        <v>178</v>
      </c>
      <c r="H91">
        <f t="shared" si="5"/>
        <v>1.7384615384615385</v>
      </c>
      <c r="I91">
        <f t="shared" si="6"/>
        <v>36.520000000000003</v>
      </c>
      <c r="J91">
        <f t="shared" si="7"/>
        <v>63.48</v>
      </c>
    </row>
    <row r="92" spans="1:10" x14ac:dyDescent="0.3">
      <c r="A92" s="2" t="s">
        <v>49</v>
      </c>
      <c r="B92" s="2" t="s">
        <v>69</v>
      </c>
      <c r="C92" s="2" t="s">
        <v>44</v>
      </c>
      <c r="D92" s="2" t="s">
        <v>37</v>
      </c>
      <c r="E92" s="2">
        <v>73</v>
      </c>
      <c r="F92" s="2">
        <v>86</v>
      </c>
      <c r="G92">
        <f t="shared" si="4"/>
        <v>159</v>
      </c>
      <c r="H92">
        <f t="shared" si="5"/>
        <v>1.178082191780822</v>
      </c>
      <c r="I92">
        <f t="shared" si="6"/>
        <v>45.91</v>
      </c>
      <c r="J92">
        <f t="shared" si="7"/>
        <v>54.09</v>
      </c>
    </row>
    <row r="93" spans="1:10" x14ac:dyDescent="0.3">
      <c r="A93" s="2" t="s">
        <v>79</v>
      </c>
      <c r="B93" s="2" t="s">
        <v>74</v>
      </c>
      <c r="C93" s="2" t="s">
        <v>33</v>
      </c>
      <c r="D93" s="2" t="s">
        <v>43</v>
      </c>
      <c r="E93" s="2">
        <v>75</v>
      </c>
      <c r="F93" s="2">
        <v>157</v>
      </c>
      <c r="G93">
        <f t="shared" si="4"/>
        <v>232</v>
      </c>
      <c r="H93">
        <f t="shared" si="5"/>
        <v>2.0933333333333333</v>
      </c>
      <c r="I93">
        <f t="shared" si="6"/>
        <v>32.33</v>
      </c>
      <c r="J93">
        <f t="shared" si="7"/>
        <v>67.67</v>
      </c>
    </row>
    <row r="94" spans="1:10" x14ac:dyDescent="0.3">
      <c r="A94" s="2" t="s">
        <v>50</v>
      </c>
      <c r="B94" s="2" t="s">
        <v>34</v>
      </c>
      <c r="C94" s="2" t="s">
        <v>19</v>
      </c>
      <c r="D94" s="2" t="s">
        <v>27</v>
      </c>
      <c r="E94" s="2">
        <v>52</v>
      </c>
      <c r="F94" s="2">
        <v>89</v>
      </c>
      <c r="G94">
        <f t="shared" si="4"/>
        <v>141</v>
      </c>
      <c r="H94">
        <f t="shared" si="5"/>
        <v>1.7115384615384615</v>
      </c>
      <c r="I94">
        <f t="shared" si="6"/>
        <v>36.880000000000003</v>
      </c>
      <c r="J94">
        <f t="shared" si="7"/>
        <v>63.12</v>
      </c>
    </row>
    <row r="95" spans="1:10" x14ac:dyDescent="0.3">
      <c r="A95" s="2" t="s">
        <v>97</v>
      </c>
      <c r="B95" s="2" t="s">
        <v>52</v>
      </c>
      <c r="C95" s="2" t="s">
        <v>82</v>
      </c>
      <c r="D95" s="2" t="s">
        <v>55</v>
      </c>
      <c r="E95" s="2">
        <v>60</v>
      </c>
      <c r="F95" s="2">
        <v>41</v>
      </c>
      <c r="G95">
        <f t="shared" si="4"/>
        <v>101</v>
      </c>
      <c r="H95">
        <f t="shared" si="5"/>
        <v>1.4634146341463414</v>
      </c>
      <c r="I95">
        <f t="shared" si="6"/>
        <v>59.41</v>
      </c>
      <c r="J95">
        <f t="shared" si="7"/>
        <v>40.590000000000003</v>
      </c>
    </row>
    <row r="96" spans="1:10" x14ac:dyDescent="0.3">
      <c r="A96" s="2" t="s">
        <v>12</v>
      </c>
      <c r="B96" s="2" t="s">
        <v>62</v>
      </c>
      <c r="C96" s="2" t="s">
        <v>88</v>
      </c>
      <c r="D96" s="2" t="s">
        <v>20</v>
      </c>
      <c r="E96" s="2">
        <v>86</v>
      </c>
      <c r="F96" s="2">
        <v>93</v>
      </c>
      <c r="G96">
        <f t="shared" si="4"/>
        <v>179</v>
      </c>
      <c r="H96">
        <f t="shared" si="5"/>
        <v>1.0813953488372092</v>
      </c>
      <c r="I96">
        <f t="shared" si="6"/>
        <v>48.04</v>
      </c>
      <c r="J96">
        <f t="shared" si="7"/>
        <v>51.96</v>
      </c>
    </row>
    <row r="97" spans="1:10" x14ac:dyDescent="0.3">
      <c r="A97" s="2" t="s">
        <v>63</v>
      </c>
      <c r="B97" s="2" t="s">
        <v>25</v>
      </c>
      <c r="C97" s="2" t="s">
        <v>31</v>
      </c>
      <c r="D97" s="2" t="s">
        <v>85</v>
      </c>
      <c r="E97" s="2">
        <v>59</v>
      </c>
      <c r="F97" s="2">
        <v>148</v>
      </c>
      <c r="G97">
        <f t="shared" si="4"/>
        <v>207</v>
      </c>
      <c r="H97">
        <f t="shared" si="5"/>
        <v>2.5084745762711864</v>
      </c>
      <c r="I97">
        <f t="shared" si="6"/>
        <v>28.5</v>
      </c>
      <c r="J97">
        <f t="shared" si="7"/>
        <v>71.5</v>
      </c>
    </row>
    <row r="98" spans="1:10" x14ac:dyDescent="0.3">
      <c r="A98" s="2" t="s">
        <v>98</v>
      </c>
      <c r="B98" s="2" t="s">
        <v>67</v>
      </c>
      <c r="C98" s="2" t="s">
        <v>13</v>
      </c>
      <c r="D98" s="2" t="s">
        <v>75</v>
      </c>
      <c r="E98" s="2">
        <v>54</v>
      </c>
      <c r="F98" s="2">
        <v>72</v>
      </c>
      <c r="G98">
        <f t="shared" si="4"/>
        <v>126</v>
      </c>
      <c r="H98">
        <f t="shared" si="5"/>
        <v>1.3333333333333333</v>
      </c>
      <c r="I98">
        <f t="shared" si="6"/>
        <v>42.86</v>
      </c>
      <c r="J98">
        <f t="shared" si="7"/>
        <v>57.14</v>
      </c>
    </row>
    <row r="99" spans="1:10" x14ac:dyDescent="0.3">
      <c r="A99" s="2" t="s">
        <v>100</v>
      </c>
      <c r="B99" s="2" t="s">
        <v>92</v>
      </c>
      <c r="C99" s="2" t="s">
        <v>58</v>
      </c>
      <c r="D99" s="2" t="s">
        <v>44</v>
      </c>
      <c r="E99" s="2">
        <v>60</v>
      </c>
      <c r="F99" s="2">
        <v>97</v>
      </c>
      <c r="G99">
        <f t="shared" si="4"/>
        <v>157</v>
      </c>
      <c r="H99">
        <f t="shared" si="5"/>
        <v>1.6166666666666667</v>
      </c>
      <c r="I99">
        <f t="shared" si="6"/>
        <v>38.22</v>
      </c>
      <c r="J99">
        <f t="shared" si="7"/>
        <v>61.78</v>
      </c>
    </row>
    <row r="100" spans="1:10" x14ac:dyDescent="0.3">
      <c r="A100" s="2" t="s">
        <v>61</v>
      </c>
      <c r="B100" s="2" t="s">
        <v>14</v>
      </c>
      <c r="C100" s="2" t="s">
        <v>21</v>
      </c>
      <c r="D100" s="2" t="s">
        <v>32</v>
      </c>
      <c r="E100" s="2">
        <v>80</v>
      </c>
      <c r="F100" s="2">
        <v>118</v>
      </c>
      <c r="G100">
        <f t="shared" si="4"/>
        <v>198</v>
      </c>
      <c r="H100">
        <f t="shared" si="5"/>
        <v>1.4750000000000001</v>
      </c>
      <c r="I100">
        <f t="shared" si="6"/>
        <v>40.4</v>
      </c>
      <c r="J100">
        <f t="shared" si="7"/>
        <v>59.6</v>
      </c>
    </row>
    <row r="101" spans="1:10" x14ac:dyDescent="0.3">
      <c r="A101" s="2" t="s">
        <v>28</v>
      </c>
      <c r="B101" s="2" t="s">
        <v>104</v>
      </c>
      <c r="C101" s="2" t="s">
        <v>73</v>
      </c>
      <c r="D101" s="2" t="s">
        <v>11</v>
      </c>
      <c r="E101" s="2">
        <v>98</v>
      </c>
      <c r="F101" s="2">
        <v>86</v>
      </c>
      <c r="G101">
        <f t="shared" si="4"/>
        <v>184</v>
      </c>
      <c r="H101">
        <f t="shared" si="5"/>
        <v>1.1395348837209303</v>
      </c>
      <c r="I101">
        <f t="shared" si="6"/>
        <v>53.26</v>
      </c>
      <c r="J101">
        <f t="shared" si="7"/>
        <v>46.74</v>
      </c>
    </row>
    <row r="102" spans="1:10" x14ac:dyDescent="0.3">
      <c r="A102" s="2" t="s">
        <v>56</v>
      </c>
      <c r="B102" s="2" t="s">
        <v>80</v>
      </c>
      <c r="C102" s="2" t="s">
        <v>69</v>
      </c>
      <c r="D102" s="2" t="s">
        <v>46</v>
      </c>
      <c r="E102" s="2">
        <v>130</v>
      </c>
      <c r="F102" s="2">
        <v>35</v>
      </c>
      <c r="G102">
        <f t="shared" si="4"/>
        <v>165</v>
      </c>
      <c r="H102">
        <f t="shared" si="5"/>
        <v>3.7142857142857144</v>
      </c>
      <c r="I102">
        <f t="shared" si="6"/>
        <v>78.790000000000006</v>
      </c>
      <c r="J102">
        <f t="shared" si="7"/>
        <v>21.21</v>
      </c>
    </row>
    <row r="103" spans="1:10" x14ac:dyDescent="0.3">
      <c r="A103" s="2" t="s">
        <v>45</v>
      </c>
      <c r="B103" s="2" t="s">
        <v>49</v>
      </c>
      <c r="C103" s="2" t="s">
        <v>19</v>
      </c>
      <c r="D103" s="2" t="s">
        <v>87</v>
      </c>
      <c r="E103" s="2">
        <v>144</v>
      </c>
      <c r="F103" s="2">
        <v>69</v>
      </c>
      <c r="G103">
        <f t="shared" si="4"/>
        <v>213</v>
      </c>
      <c r="H103">
        <f t="shared" si="5"/>
        <v>2.0869565217391304</v>
      </c>
      <c r="I103">
        <f t="shared" si="6"/>
        <v>67.61</v>
      </c>
      <c r="J103">
        <f t="shared" si="7"/>
        <v>32.39</v>
      </c>
    </row>
    <row r="104" spans="1:10" x14ac:dyDescent="0.3">
      <c r="A104" s="2" t="s">
        <v>64</v>
      </c>
      <c r="B104" s="2" t="s">
        <v>57</v>
      </c>
      <c r="C104" s="2" t="s">
        <v>37</v>
      </c>
      <c r="D104" s="2" t="s">
        <v>99</v>
      </c>
      <c r="E104" s="2">
        <v>103</v>
      </c>
      <c r="F104" s="2">
        <v>40</v>
      </c>
      <c r="G104">
        <f t="shared" si="4"/>
        <v>143</v>
      </c>
      <c r="H104">
        <f t="shared" si="5"/>
        <v>2.5750000000000002</v>
      </c>
      <c r="I104">
        <f t="shared" si="6"/>
        <v>72.03</v>
      </c>
      <c r="J104">
        <f t="shared" si="7"/>
        <v>27.97</v>
      </c>
    </row>
    <row r="105" spans="1:10" x14ac:dyDescent="0.3">
      <c r="A105" s="2" t="s">
        <v>33</v>
      </c>
      <c r="B105" s="2" t="s">
        <v>40</v>
      </c>
      <c r="C105" s="2" t="s">
        <v>18</v>
      </c>
      <c r="D105" s="2" t="s">
        <v>86</v>
      </c>
      <c r="E105" s="2">
        <v>84</v>
      </c>
      <c r="F105" s="2">
        <v>105</v>
      </c>
      <c r="G105">
        <f t="shared" si="4"/>
        <v>189</v>
      </c>
      <c r="H105">
        <f t="shared" si="5"/>
        <v>1.25</v>
      </c>
      <c r="I105">
        <f t="shared" si="6"/>
        <v>44.44</v>
      </c>
      <c r="J105">
        <f t="shared" si="7"/>
        <v>55.56</v>
      </c>
    </row>
    <row r="106" spans="1:10" x14ac:dyDescent="0.3">
      <c r="A106" s="2" t="s">
        <v>68</v>
      </c>
      <c r="B106" s="2" t="s">
        <v>93</v>
      </c>
      <c r="C106" s="2" t="s">
        <v>43</v>
      </c>
      <c r="D106" s="2" t="s">
        <v>34</v>
      </c>
      <c r="E106" s="2">
        <v>48</v>
      </c>
      <c r="F106" s="2">
        <v>155</v>
      </c>
      <c r="G106">
        <f t="shared" si="4"/>
        <v>203</v>
      </c>
      <c r="H106">
        <f t="shared" si="5"/>
        <v>3.2291666666666665</v>
      </c>
      <c r="I106">
        <f t="shared" si="6"/>
        <v>23.65</v>
      </c>
      <c r="J106">
        <f t="shared" si="7"/>
        <v>76.349999999999994</v>
      </c>
    </row>
    <row r="107" spans="1:10" x14ac:dyDescent="0.3">
      <c r="A107" s="2" t="s">
        <v>39</v>
      </c>
      <c r="B107" s="2" t="s">
        <v>94</v>
      </c>
      <c r="C107" s="2" t="s">
        <v>50</v>
      </c>
      <c r="D107" s="2" t="s">
        <v>81</v>
      </c>
      <c r="E107" s="2">
        <v>95</v>
      </c>
      <c r="F107" s="2">
        <v>88</v>
      </c>
      <c r="G107">
        <f t="shared" si="4"/>
        <v>183</v>
      </c>
      <c r="H107">
        <f t="shared" si="5"/>
        <v>1.0795454545454546</v>
      </c>
      <c r="I107">
        <f t="shared" si="6"/>
        <v>51.91</v>
      </c>
      <c r="J107">
        <f t="shared" si="7"/>
        <v>48.09</v>
      </c>
    </row>
    <row r="108" spans="1:10" x14ac:dyDescent="0.3">
      <c r="A108" s="2" t="s">
        <v>103</v>
      </c>
      <c r="B108" s="2" t="s">
        <v>27</v>
      </c>
      <c r="C108" s="2" t="s">
        <v>79</v>
      </c>
      <c r="D108" s="2" t="s">
        <v>76</v>
      </c>
      <c r="E108" s="2">
        <v>82</v>
      </c>
      <c r="F108" s="2">
        <v>65</v>
      </c>
      <c r="G108">
        <f t="shared" si="4"/>
        <v>147</v>
      </c>
      <c r="H108">
        <f t="shared" si="5"/>
        <v>1.2615384615384615</v>
      </c>
      <c r="I108">
        <f t="shared" si="6"/>
        <v>55.78</v>
      </c>
      <c r="J108">
        <f t="shared" si="7"/>
        <v>44.22</v>
      </c>
    </row>
    <row r="109" spans="1:10" x14ac:dyDescent="0.3">
      <c r="A109" s="2" t="s">
        <v>51</v>
      </c>
      <c r="B109" s="2" t="s">
        <v>26</v>
      </c>
      <c r="C109" s="2" t="s">
        <v>91</v>
      </c>
      <c r="D109" s="2" t="s">
        <v>74</v>
      </c>
      <c r="E109" s="2">
        <v>110</v>
      </c>
      <c r="F109" s="2">
        <v>84</v>
      </c>
      <c r="G109">
        <f t="shared" si="4"/>
        <v>194</v>
      </c>
      <c r="H109">
        <f t="shared" si="5"/>
        <v>1.3095238095238095</v>
      </c>
      <c r="I109">
        <f t="shared" si="6"/>
        <v>56.7</v>
      </c>
      <c r="J109">
        <f t="shared" si="7"/>
        <v>43.3</v>
      </c>
    </row>
    <row r="110" spans="1:10" x14ac:dyDescent="0.3">
      <c r="A110" s="2" t="s">
        <v>44</v>
      </c>
      <c r="B110" s="2" t="s">
        <v>70</v>
      </c>
      <c r="C110" s="2" t="s">
        <v>38</v>
      </c>
      <c r="D110" s="2" t="s">
        <v>98</v>
      </c>
      <c r="E110" s="2">
        <v>79</v>
      </c>
      <c r="F110" s="2">
        <v>63</v>
      </c>
      <c r="G110">
        <f t="shared" si="4"/>
        <v>142</v>
      </c>
      <c r="H110">
        <f t="shared" si="5"/>
        <v>1.253968253968254</v>
      </c>
      <c r="I110">
        <f t="shared" si="6"/>
        <v>55.63</v>
      </c>
      <c r="J110">
        <f t="shared" si="7"/>
        <v>44.37</v>
      </c>
    </row>
    <row r="111" spans="1:10" x14ac:dyDescent="0.3">
      <c r="A111" s="2" t="s">
        <v>85</v>
      </c>
      <c r="B111" s="2" t="s">
        <v>19</v>
      </c>
      <c r="C111" s="2" t="s">
        <v>104</v>
      </c>
      <c r="D111" s="2" t="s">
        <v>97</v>
      </c>
      <c r="E111" s="2">
        <v>77</v>
      </c>
      <c r="F111" s="2">
        <v>79</v>
      </c>
      <c r="G111">
        <f t="shared" si="4"/>
        <v>156</v>
      </c>
      <c r="H111">
        <f t="shared" si="5"/>
        <v>1.025974025974026</v>
      </c>
      <c r="I111">
        <f t="shared" si="6"/>
        <v>49.36</v>
      </c>
      <c r="J111">
        <f t="shared" si="7"/>
        <v>50.64</v>
      </c>
    </row>
    <row r="112" spans="1:10" x14ac:dyDescent="0.3">
      <c r="A112" s="2" t="s">
        <v>86</v>
      </c>
      <c r="B112" s="2" t="s">
        <v>46</v>
      </c>
      <c r="C112" s="2" t="s">
        <v>25</v>
      </c>
      <c r="D112" s="2" t="s">
        <v>52</v>
      </c>
      <c r="E112" s="2">
        <v>135</v>
      </c>
      <c r="F112" s="2">
        <v>35</v>
      </c>
      <c r="G112">
        <f t="shared" si="4"/>
        <v>170</v>
      </c>
      <c r="H112">
        <f t="shared" si="5"/>
        <v>3.8571428571428572</v>
      </c>
      <c r="I112">
        <f t="shared" si="6"/>
        <v>79.41</v>
      </c>
      <c r="J112">
        <f t="shared" si="7"/>
        <v>20.59</v>
      </c>
    </row>
    <row r="113" spans="1:10" x14ac:dyDescent="0.3">
      <c r="A113" s="2" t="s">
        <v>18</v>
      </c>
      <c r="B113" s="2" t="s">
        <v>87</v>
      </c>
      <c r="C113" s="2" t="s">
        <v>43</v>
      </c>
      <c r="D113" s="2" t="s">
        <v>82</v>
      </c>
      <c r="E113" s="2">
        <v>64</v>
      </c>
      <c r="F113" s="2">
        <v>97</v>
      </c>
      <c r="G113">
        <f t="shared" si="4"/>
        <v>161</v>
      </c>
      <c r="H113">
        <f t="shared" si="5"/>
        <v>1.515625</v>
      </c>
      <c r="I113">
        <f t="shared" si="6"/>
        <v>39.75</v>
      </c>
      <c r="J113">
        <f t="shared" si="7"/>
        <v>60.25</v>
      </c>
    </row>
    <row r="114" spans="1:10" x14ac:dyDescent="0.3">
      <c r="A114" s="2" t="s">
        <v>58</v>
      </c>
      <c r="B114" s="2" t="s">
        <v>93</v>
      </c>
      <c r="C114" s="2" t="s">
        <v>39</v>
      </c>
      <c r="D114" s="2" t="s">
        <v>28</v>
      </c>
      <c r="E114" s="2">
        <v>90</v>
      </c>
      <c r="F114" s="2">
        <v>99</v>
      </c>
      <c r="G114">
        <f t="shared" si="4"/>
        <v>189</v>
      </c>
      <c r="H114">
        <f t="shared" si="5"/>
        <v>1.1000000000000001</v>
      </c>
      <c r="I114">
        <f t="shared" si="6"/>
        <v>47.62</v>
      </c>
      <c r="J114">
        <f t="shared" si="7"/>
        <v>52.38</v>
      </c>
    </row>
    <row r="115" spans="1:10" x14ac:dyDescent="0.3">
      <c r="A115" s="2" t="s">
        <v>34</v>
      </c>
      <c r="B115" s="2" t="s">
        <v>14</v>
      </c>
      <c r="C115" s="2" t="s">
        <v>100</v>
      </c>
      <c r="D115" s="2" t="s">
        <v>67</v>
      </c>
      <c r="E115" s="2">
        <v>121</v>
      </c>
      <c r="F115" s="2">
        <v>54</v>
      </c>
      <c r="G115">
        <f t="shared" si="4"/>
        <v>175</v>
      </c>
      <c r="H115">
        <f t="shared" si="5"/>
        <v>2.2407407407407409</v>
      </c>
      <c r="I115">
        <f t="shared" si="6"/>
        <v>69.14</v>
      </c>
      <c r="J115">
        <f t="shared" si="7"/>
        <v>30.86</v>
      </c>
    </row>
    <row r="116" spans="1:10" x14ac:dyDescent="0.3">
      <c r="A116" s="2" t="s">
        <v>11</v>
      </c>
      <c r="B116" s="2" t="s">
        <v>76</v>
      </c>
      <c r="C116" s="2" t="s">
        <v>62</v>
      </c>
      <c r="D116" s="2" t="s">
        <v>50</v>
      </c>
      <c r="E116" s="2">
        <v>44</v>
      </c>
      <c r="F116" s="2">
        <v>102</v>
      </c>
      <c r="G116">
        <f t="shared" si="4"/>
        <v>146</v>
      </c>
      <c r="H116">
        <f t="shared" si="5"/>
        <v>2.3181818181818183</v>
      </c>
      <c r="I116">
        <f t="shared" si="6"/>
        <v>30.14</v>
      </c>
      <c r="J116">
        <f t="shared" si="7"/>
        <v>69.86</v>
      </c>
    </row>
    <row r="117" spans="1:10" x14ac:dyDescent="0.3">
      <c r="A117" s="2" t="s">
        <v>75</v>
      </c>
      <c r="B117" s="2" t="s">
        <v>32</v>
      </c>
      <c r="C117" s="2" t="s">
        <v>38</v>
      </c>
      <c r="D117" s="2" t="s">
        <v>57</v>
      </c>
      <c r="E117" s="2">
        <v>96</v>
      </c>
      <c r="F117" s="2">
        <v>43</v>
      </c>
      <c r="G117">
        <f t="shared" si="4"/>
        <v>139</v>
      </c>
      <c r="H117">
        <f t="shared" si="5"/>
        <v>2.2325581395348837</v>
      </c>
      <c r="I117">
        <f t="shared" si="6"/>
        <v>69.06</v>
      </c>
      <c r="J117">
        <f t="shared" si="7"/>
        <v>30.94</v>
      </c>
    </row>
    <row r="118" spans="1:10" x14ac:dyDescent="0.3">
      <c r="A118" s="2" t="s">
        <v>31</v>
      </c>
      <c r="B118" s="2" t="s">
        <v>49</v>
      </c>
      <c r="C118" s="2" t="s">
        <v>91</v>
      </c>
      <c r="D118" s="2" t="s">
        <v>70</v>
      </c>
      <c r="E118" s="2">
        <v>49</v>
      </c>
      <c r="F118" s="2">
        <v>73</v>
      </c>
      <c r="G118">
        <f t="shared" si="4"/>
        <v>122</v>
      </c>
      <c r="H118">
        <f t="shared" si="5"/>
        <v>1.489795918367347</v>
      </c>
      <c r="I118">
        <f t="shared" si="6"/>
        <v>40.159999999999997</v>
      </c>
      <c r="J118">
        <f t="shared" si="7"/>
        <v>59.84</v>
      </c>
    </row>
    <row r="119" spans="1:10" x14ac:dyDescent="0.3">
      <c r="A119" s="2" t="s">
        <v>21</v>
      </c>
      <c r="B119" s="2" t="s">
        <v>56</v>
      </c>
      <c r="C119" s="2" t="s">
        <v>45</v>
      </c>
      <c r="D119" s="2" t="s">
        <v>79</v>
      </c>
      <c r="E119" s="2">
        <v>148</v>
      </c>
      <c r="F119" s="2">
        <v>48</v>
      </c>
      <c r="G119">
        <f t="shared" si="4"/>
        <v>196</v>
      </c>
      <c r="H119">
        <f t="shared" si="5"/>
        <v>3.0833333333333335</v>
      </c>
      <c r="I119">
        <f t="shared" si="6"/>
        <v>75.510000000000005</v>
      </c>
      <c r="J119">
        <f t="shared" si="7"/>
        <v>24.49</v>
      </c>
    </row>
    <row r="120" spans="1:10" x14ac:dyDescent="0.3">
      <c r="A120" s="2" t="s">
        <v>69</v>
      </c>
      <c r="B120" s="2" t="s">
        <v>27</v>
      </c>
      <c r="C120" s="2" t="s">
        <v>40</v>
      </c>
      <c r="D120" s="2" t="s">
        <v>12</v>
      </c>
      <c r="E120" s="2">
        <v>67</v>
      </c>
      <c r="F120" s="2">
        <v>55</v>
      </c>
      <c r="G120">
        <f t="shared" si="4"/>
        <v>122</v>
      </c>
      <c r="H120">
        <f t="shared" si="5"/>
        <v>1.2181818181818183</v>
      </c>
      <c r="I120">
        <f t="shared" si="6"/>
        <v>54.92</v>
      </c>
      <c r="J120">
        <f t="shared" si="7"/>
        <v>45.08</v>
      </c>
    </row>
    <row r="121" spans="1:10" x14ac:dyDescent="0.3">
      <c r="A121" s="2" t="s">
        <v>13</v>
      </c>
      <c r="B121" s="2" t="s">
        <v>63</v>
      </c>
      <c r="C121" s="2" t="s">
        <v>81</v>
      </c>
      <c r="D121" s="2" t="s">
        <v>68</v>
      </c>
      <c r="E121" s="2">
        <v>82</v>
      </c>
      <c r="F121" s="2">
        <v>55</v>
      </c>
      <c r="G121">
        <f t="shared" si="4"/>
        <v>137</v>
      </c>
      <c r="H121">
        <f t="shared" si="5"/>
        <v>1.490909090909091</v>
      </c>
      <c r="I121">
        <f t="shared" si="6"/>
        <v>59.85</v>
      </c>
      <c r="J121">
        <f t="shared" si="7"/>
        <v>40.15</v>
      </c>
    </row>
    <row r="122" spans="1:10" x14ac:dyDescent="0.3">
      <c r="A122" s="2" t="s">
        <v>26</v>
      </c>
      <c r="B122" s="2" t="s">
        <v>64</v>
      </c>
      <c r="C122" s="2" t="s">
        <v>33</v>
      </c>
      <c r="D122" s="2" t="s">
        <v>92</v>
      </c>
      <c r="E122" s="2">
        <v>90</v>
      </c>
      <c r="F122" s="2">
        <v>114</v>
      </c>
      <c r="G122">
        <f t="shared" si="4"/>
        <v>204</v>
      </c>
      <c r="H122">
        <f t="shared" si="5"/>
        <v>1.2666666666666666</v>
      </c>
      <c r="I122">
        <f t="shared" si="6"/>
        <v>44.12</v>
      </c>
      <c r="J122">
        <f t="shared" si="7"/>
        <v>55.88</v>
      </c>
    </row>
    <row r="123" spans="1:10" x14ac:dyDescent="0.3">
      <c r="A123" s="2" t="s">
        <v>61</v>
      </c>
      <c r="B123" s="2" t="s">
        <v>37</v>
      </c>
      <c r="C123" s="2" t="s">
        <v>103</v>
      </c>
      <c r="D123" s="2" t="s">
        <v>51</v>
      </c>
      <c r="E123" s="2">
        <v>86</v>
      </c>
      <c r="F123" s="2">
        <v>139</v>
      </c>
      <c r="G123">
        <f t="shared" si="4"/>
        <v>225</v>
      </c>
      <c r="H123">
        <f t="shared" si="5"/>
        <v>1.6162790697674418</v>
      </c>
      <c r="I123">
        <f t="shared" si="6"/>
        <v>38.22</v>
      </c>
      <c r="J123">
        <f t="shared" si="7"/>
        <v>61.78</v>
      </c>
    </row>
    <row r="124" spans="1:10" x14ac:dyDescent="0.3">
      <c r="A124" s="2" t="s">
        <v>20</v>
      </c>
      <c r="B124" s="2" t="s">
        <v>99</v>
      </c>
      <c r="C124" s="2" t="s">
        <v>74</v>
      </c>
      <c r="D124" s="2" t="s">
        <v>94</v>
      </c>
      <c r="E124" s="2">
        <v>56</v>
      </c>
      <c r="F124" s="2">
        <v>121</v>
      </c>
      <c r="G124">
        <f t="shared" si="4"/>
        <v>177</v>
      </c>
      <c r="H124">
        <f t="shared" si="5"/>
        <v>2.1607142857142856</v>
      </c>
      <c r="I124">
        <f t="shared" si="6"/>
        <v>31.64</v>
      </c>
      <c r="J124">
        <f t="shared" si="7"/>
        <v>68.36</v>
      </c>
    </row>
    <row r="125" spans="1:10" x14ac:dyDescent="0.3">
      <c r="A125" s="2" t="s">
        <v>88</v>
      </c>
      <c r="B125" s="2" t="s">
        <v>73</v>
      </c>
      <c r="C125" s="2" t="s">
        <v>80</v>
      </c>
      <c r="D125" s="2" t="s">
        <v>55</v>
      </c>
      <c r="E125" s="2">
        <v>118</v>
      </c>
      <c r="F125" s="2">
        <v>52</v>
      </c>
      <c r="G125">
        <f t="shared" si="4"/>
        <v>170</v>
      </c>
      <c r="H125">
        <f t="shared" si="5"/>
        <v>2.2692307692307692</v>
      </c>
      <c r="I125">
        <f t="shared" si="6"/>
        <v>69.41</v>
      </c>
      <c r="J125">
        <f t="shared" si="7"/>
        <v>30.59</v>
      </c>
    </row>
    <row r="126" spans="1:10" x14ac:dyDescent="0.3">
      <c r="A126" s="2" t="s">
        <v>34</v>
      </c>
      <c r="B126" s="2" t="s">
        <v>98</v>
      </c>
      <c r="C126" s="2" t="s">
        <v>79</v>
      </c>
      <c r="D126" s="2" t="s">
        <v>25</v>
      </c>
      <c r="E126" s="2">
        <v>91</v>
      </c>
      <c r="F126" s="2">
        <v>72</v>
      </c>
      <c r="G126">
        <f t="shared" si="4"/>
        <v>163</v>
      </c>
      <c r="H126">
        <f t="shared" si="5"/>
        <v>1.2638888888888888</v>
      </c>
      <c r="I126">
        <f t="shared" si="6"/>
        <v>55.83</v>
      </c>
      <c r="J126">
        <f t="shared" si="7"/>
        <v>44.17</v>
      </c>
    </row>
    <row r="127" spans="1:10" x14ac:dyDescent="0.3">
      <c r="A127" s="2" t="s">
        <v>75</v>
      </c>
      <c r="B127" s="2" t="s">
        <v>28</v>
      </c>
      <c r="C127" s="2" t="s">
        <v>19</v>
      </c>
      <c r="D127" s="2" t="s">
        <v>46</v>
      </c>
      <c r="E127" s="2">
        <v>144</v>
      </c>
      <c r="F127" s="2">
        <v>72</v>
      </c>
      <c r="G127">
        <f t="shared" si="4"/>
        <v>216</v>
      </c>
      <c r="H127">
        <f t="shared" si="5"/>
        <v>2</v>
      </c>
      <c r="I127">
        <f t="shared" si="6"/>
        <v>66.67</v>
      </c>
      <c r="J127">
        <f t="shared" si="7"/>
        <v>33.33</v>
      </c>
    </row>
    <row r="128" spans="1:10" x14ac:dyDescent="0.3">
      <c r="A128" s="2" t="s">
        <v>67</v>
      </c>
      <c r="B128" s="2" t="s">
        <v>31</v>
      </c>
      <c r="C128" s="2" t="s">
        <v>27</v>
      </c>
      <c r="D128" s="2" t="s">
        <v>11</v>
      </c>
      <c r="E128" s="2">
        <v>52</v>
      </c>
      <c r="F128" s="2">
        <v>143</v>
      </c>
      <c r="G128">
        <f t="shared" si="4"/>
        <v>195</v>
      </c>
      <c r="H128">
        <f t="shared" si="5"/>
        <v>2.75</v>
      </c>
      <c r="I128">
        <f t="shared" si="6"/>
        <v>26.67</v>
      </c>
      <c r="J128">
        <f t="shared" si="7"/>
        <v>73.33</v>
      </c>
    </row>
    <row r="129" spans="1:10" x14ac:dyDescent="0.3">
      <c r="A129" s="2" t="s">
        <v>86</v>
      </c>
      <c r="B129" s="2" t="s">
        <v>14</v>
      </c>
      <c r="C129" s="2" t="s">
        <v>92</v>
      </c>
      <c r="D129" s="2" t="s">
        <v>104</v>
      </c>
      <c r="E129" s="2"/>
      <c r="F129" s="2">
        <v>83</v>
      </c>
      <c r="G129">
        <f t="shared" si="4"/>
        <v>83</v>
      </c>
      <c r="H129" t="e">
        <f t="shared" si="5"/>
        <v>#DIV/0!</v>
      </c>
      <c r="I129">
        <f t="shared" si="6"/>
        <v>0</v>
      </c>
      <c r="J129">
        <f t="shared" si="7"/>
        <v>100</v>
      </c>
    </row>
    <row r="130" spans="1:10" x14ac:dyDescent="0.3">
      <c r="A130" s="2" t="s">
        <v>103</v>
      </c>
      <c r="B130" s="2" t="s">
        <v>32</v>
      </c>
      <c r="C130" s="2" t="s">
        <v>64</v>
      </c>
      <c r="D130" s="2" t="s">
        <v>68</v>
      </c>
      <c r="E130" s="2">
        <v>150</v>
      </c>
      <c r="F130" s="2">
        <v>87</v>
      </c>
      <c r="G130">
        <f t="shared" si="4"/>
        <v>237</v>
      </c>
      <c r="H130">
        <f t="shared" si="5"/>
        <v>1.7241379310344827</v>
      </c>
      <c r="I130">
        <f t="shared" si="6"/>
        <v>63.29</v>
      </c>
      <c r="J130">
        <f t="shared" si="7"/>
        <v>36.71</v>
      </c>
    </row>
    <row r="131" spans="1:10" x14ac:dyDescent="0.3">
      <c r="A131" s="2" t="s">
        <v>21</v>
      </c>
      <c r="B131" s="2" t="s">
        <v>33</v>
      </c>
      <c r="C131" s="2" t="s">
        <v>44</v>
      </c>
      <c r="D131" s="2" t="s">
        <v>12</v>
      </c>
      <c r="E131" s="2">
        <v>104</v>
      </c>
      <c r="F131" s="2">
        <v>63</v>
      </c>
      <c r="G131">
        <f t="shared" ref="G131:G194" si="8">E131+F131</f>
        <v>167</v>
      </c>
      <c r="H131">
        <f t="shared" ref="H131:H194" si="9">IF(E131&gt;F131,E131/F131,F131/E131)</f>
        <v>1.6507936507936507</v>
      </c>
      <c r="I131">
        <f t="shared" ref="I131:I194" si="10">ROUND(E131/G131*100, 2)</f>
        <v>62.28</v>
      </c>
      <c r="J131">
        <f t="shared" ref="J131:J194" si="11">ROUND(F131/G131*100, 2)</f>
        <v>37.72</v>
      </c>
    </row>
    <row r="132" spans="1:10" x14ac:dyDescent="0.3">
      <c r="A132" s="2" t="s">
        <v>55</v>
      </c>
      <c r="B132" s="2" t="s">
        <v>39</v>
      </c>
      <c r="C132" s="2" t="s">
        <v>70</v>
      </c>
      <c r="D132" s="2" t="s">
        <v>100</v>
      </c>
      <c r="E132" s="2">
        <v>66</v>
      </c>
      <c r="F132" s="2">
        <v>62</v>
      </c>
      <c r="G132">
        <f t="shared" si="8"/>
        <v>128</v>
      </c>
      <c r="H132">
        <f t="shared" si="9"/>
        <v>1.064516129032258</v>
      </c>
      <c r="I132">
        <f t="shared" si="10"/>
        <v>51.56</v>
      </c>
      <c r="J132">
        <f t="shared" si="11"/>
        <v>48.44</v>
      </c>
    </row>
    <row r="133" spans="1:10" x14ac:dyDescent="0.3">
      <c r="A133" s="2" t="s">
        <v>61</v>
      </c>
      <c r="B133" s="2" t="s">
        <v>87</v>
      </c>
      <c r="C133" s="2" t="s">
        <v>74</v>
      </c>
      <c r="D133" s="2" t="s">
        <v>38</v>
      </c>
      <c r="E133" s="2">
        <v>43</v>
      </c>
      <c r="F133" s="2">
        <v>84</v>
      </c>
      <c r="G133">
        <f t="shared" si="8"/>
        <v>127</v>
      </c>
      <c r="H133">
        <f t="shared" si="9"/>
        <v>1.9534883720930232</v>
      </c>
      <c r="I133">
        <f t="shared" si="10"/>
        <v>33.86</v>
      </c>
      <c r="J133">
        <f t="shared" si="11"/>
        <v>66.14</v>
      </c>
    </row>
    <row r="134" spans="1:10" x14ac:dyDescent="0.3">
      <c r="A134" s="2" t="s">
        <v>43</v>
      </c>
      <c r="B134" s="2" t="s">
        <v>37</v>
      </c>
      <c r="C134" s="2" t="s">
        <v>80</v>
      </c>
      <c r="D134" s="2" t="s">
        <v>62</v>
      </c>
      <c r="E134" s="2">
        <v>95</v>
      </c>
      <c r="F134" s="2">
        <v>63</v>
      </c>
      <c r="G134">
        <f t="shared" si="8"/>
        <v>158</v>
      </c>
      <c r="H134">
        <f t="shared" si="9"/>
        <v>1.5079365079365079</v>
      </c>
      <c r="I134">
        <f t="shared" si="10"/>
        <v>60.13</v>
      </c>
      <c r="J134">
        <f t="shared" si="11"/>
        <v>39.869999999999997</v>
      </c>
    </row>
    <row r="135" spans="1:10" x14ac:dyDescent="0.3">
      <c r="A135" s="2" t="s">
        <v>99</v>
      </c>
      <c r="B135" s="2" t="s">
        <v>40</v>
      </c>
      <c r="C135" s="2" t="s">
        <v>58</v>
      </c>
      <c r="D135" s="2" t="s">
        <v>49</v>
      </c>
      <c r="E135" s="2">
        <v>73</v>
      </c>
      <c r="F135" s="2">
        <v>111</v>
      </c>
      <c r="G135">
        <f t="shared" si="8"/>
        <v>184</v>
      </c>
      <c r="H135">
        <f t="shared" si="9"/>
        <v>1.5205479452054795</v>
      </c>
      <c r="I135">
        <f t="shared" si="10"/>
        <v>39.67</v>
      </c>
      <c r="J135">
        <f t="shared" si="11"/>
        <v>60.33</v>
      </c>
    </row>
    <row r="136" spans="1:10" x14ac:dyDescent="0.3">
      <c r="A136" s="2" t="s">
        <v>13</v>
      </c>
      <c r="B136" s="2" t="s">
        <v>52</v>
      </c>
      <c r="C136" s="2" t="s">
        <v>45</v>
      </c>
      <c r="D136" s="2" t="s">
        <v>88</v>
      </c>
      <c r="E136" s="2">
        <v>68</v>
      </c>
      <c r="F136" s="2">
        <v>72</v>
      </c>
      <c r="G136">
        <f t="shared" si="8"/>
        <v>140</v>
      </c>
      <c r="H136">
        <f t="shared" si="9"/>
        <v>1.0588235294117647</v>
      </c>
      <c r="I136">
        <f t="shared" si="10"/>
        <v>48.57</v>
      </c>
      <c r="J136">
        <f t="shared" si="11"/>
        <v>51.43</v>
      </c>
    </row>
    <row r="137" spans="1:10" x14ac:dyDescent="0.3">
      <c r="A137" s="2" t="s">
        <v>94</v>
      </c>
      <c r="B137" s="2" t="s">
        <v>18</v>
      </c>
      <c r="C137" s="2" t="s">
        <v>76</v>
      </c>
      <c r="D137" s="2" t="s">
        <v>69</v>
      </c>
      <c r="E137" s="2">
        <v>113</v>
      </c>
      <c r="F137" s="2">
        <v>27</v>
      </c>
      <c r="G137">
        <f t="shared" si="8"/>
        <v>140</v>
      </c>
      <c r="H137">
        <f t="shared" si="9"/>
        <v>4.1851851851851851</v>
      </c>
      <c r="I137">
        <f t="shared" si="10"/>
        <v>80.709999999999994</v>
      </c>
      <c r="J137">
        <f t="shared" si="11"/>
        <v>19.29</v>
      </c>
    </row>
    <row r="138" spans="1:10" x14ac:dyDescent="0.3">
      <c r="A138" s="2" t="s">
        <v>81</v>
      </c>
      <c r="B138" s="2" t="s">
        <v>91</v>
      </c>
      <c r="C138" s="2" t="s">
        <v>73</v>
      </c>
      <c r="D138" s="2" t="s">
        <v>56</v>
      </c>
      <c r="E138" s="2">
        <v>70</v>
      </c>
      <c r="F138" s="2">
        <v>161</v>
      </c>
      <c r="G138">
        <f t="shared" si="8"/>
        <v>231</v>
      </c>
      <c r="H138">
        <f t="shared" si="9"/>
        <v>2.2999999999999998</v>
      </c>
      <c r="I138">
        <f t="shared" si="10"/>
        <v>30.3</v>
      </c>
      <c r="J138">
        <f t="shared" si="11"/>
        <v>69.7</v>
      </c>
    </row>
    <row r="139" spans="1:10" x14ac:dyDescent="0.3">
      <c r="A139" s="2" t="s">
        <v>50</v>
      </c>
      <c r="B139" s="2" t="s">
        <v>26</v>
      </c>
      <c r="C139" s="2" t="s">
        <v>93</v>
      </c>
      <c r="D139" s="2" t="s">
        <v>97</v>
      </c>
      <c r="E139" s="2">
        <v>69</v>
      </c>
      <c r="F139" s="2">
        <v>48</v>
      </c>
      <c r="G139">
        <f t="shared" si="8"/>
        <v>117</v>
      </c>
      <c r="H139">
        <f t="shared" si="9"/>
        <v>1.4375</v>
      </c>
      <c r="I139">
        <f t="shared" si="10"/>
        <v>58.97</v>
      </c>
      <c r="J139">
        <f t="shared" si="11"/>
        <v>41.03</v>
      </c>
    </row>
    <row r="140" spans="1:10" x14ac:dyDescent="0.3">
      <c r="A140" s="2" t="s">
        <v>20</v>
      </c>
      <c r="B140" s="2" t="s">
        <v>82</v>
      </c>
      <c r="C140" s="2" t="s">
        <v>51</v>
      </c>
      <c r="D140" s="2" t="s">
        <v>63</v>
      </c>
      <c r="E140" s="2">
        <v>37</v>
      </c>
      <c r="F140" s="2">
        <v>72</v>
      </c>
      <c r="G140">
        <f t="shared" si="8"/>
        <v>109</v>
      </c>
      <c r="H140">
        <f t="shared" si="9"/>
        <v>1.9459459459459461</v>
      </c>
      <c r="I140">
        <f t="shared" si="10"/>
        <v>33.94</v>
      </c>
      <c r="J140">
        <f t="shared" si="11"/>
        <v>66.06</v>
      </c>
    </row>
    <row r="141" spans="1:10" x14ac:dyDescent="0.3">
      <c r="A141" s="2" t="s">
        <v>57</v>
      </c>
      <c r="B141" s="2" t="s">
        <v>85</v>
      </c>
      <c r="C141" s="2" t="s">
        <v>43</v>
      </c>
      <c r="D141" s="2" t="s">
        <v>12</v>
      </c>
      <c r="E141" s="2">
        <v>70</v>
      </c>
      <c r="F141" s="2">
        <v>125</v>
      </c>
      <c r="G141">
        <f t="shared" si="8"/>
        <v>195</v>
      </c>
      <c r="H141">
        <f t="shared" si="9"/>
        <v>1.7857142857142858</v>
      </c>
      <c r="I141">
        <f t="shared" si="10"/>
        <v>35.9</v>
      </c>
      <c r="J141">
        <f t="shared" si="11"/>
        <v>64.099999999999994</v>
      </c>
    </row>
    <row r="142" spans="1:10" x14ac:dyDescent="0.3">
      <c r="A142" s="2" t="s">
        <v>27</v>
      </c>
      <c r="B142" s="2" t="s">
        <v>43</v>
      </c>
      <c r="C142" s="2" t="s">
        <v>88</v>
      </c>
      <c r="D142" s="2" t="s">
        <v>92</v>
      </c>
      <c r="E142" s="2">
        <v>121</v>
      </c>
      <c r="F142" s="2">
        <v>85</v>
      </c>
      <c r="G142">
        <f t="shared" si="8"/>
        <v>206</v>
      </c>
      <c r="H142">
        <f t="shared" si="9"/>
        <v>1.4235294117647059</v>
      </c>
      <c r="I142">
        <f t="shared" si="10"/>
        <v>58.74</v>
      </c>
      <c r="J142">
        <f t="shared" si="11"/>
        <v>41.26</v>
      </c>
    </row>
    <row r="143" spans="1:10" x14ac:dyDescent="0.3">
      <c r="A143" s="2" t="s">
        <v>70</v>
      </c>
      <c r="B143" s="2" t="s">
        <v>97</v>
      </c>
      <c r="C143" s="2" t="s">
        <v>28</v>
      </c>
      <c r="D143" s="2" t="s">
        <v>50</v>
      </c>
      <c r="E143" s="2">
        <v>103</v>
      </c>
      <c r="F143" s="2">
        <v>120</v>
      </c>
      <c r="G143">
        <f t="shared" si="8"/>
        <v>223</v>
      </c>
      <c r="H143">
        <f t="shared" si="9"/>
        <v>1.1650485436893203</v>
      </c>
      <c r="I143">
        <f t="shared" si="10"/>
        <v>46.19</v>
      </c>
      <c r="J143">
        <f t="shared" si="11"/>
        <v>53.81</v>
      </c>
    </row>
    <row r="144" spans="1:10" x14ac:dyDescent="0.3">
      <c r="A144" s="2" t="s">
        <v>13</v>
      </c>
      <c r="B144" s="2" t="s">
        <v>86</v>
      </c>
      <c r="C144" s="2" t="s">
        <v>33</v>
      </c>
      <c r="D144" s="2" t="s">
        <v>51</v>
      </c>
      <c r="E144" s="2">
        <v>138</v>
      </c>
      <c r="F144" s="2">
        <v>122</v>
      </c>
      <c r="G144">
        <f t="shared" si="8"/>
        <v>260</v>
      </c>
      <c r="H144">
        <f t="shared" si="9"/>
        <v>1.1311475409836065</v>
      </c>
      <c r="I144">
        <f t="shared" si="10"/>
        <v>53.08</v>
      </c>
      <c r="J144">
        <f t="shared" si="11"/>
        <v>46.92</v>
      </c>
    </row>
    <row r="145" spans="1:10" x14ac:dyDescent="0.3">
      <c r="A145" s="2" t="s">
        <v>58</v>
      </c>
      <c r="B145" s="2" t="s">
        <v>74</v>
      </c>
      <c r="C145" s="2" t="s">
        <v>73</v>
      </c>
      <c r="D145" s="2" t="s">
        <v>56</v>
      </c>
      <c r="E145" s="2">
        <v>107</v>
      </c>
      <c r="F145" s="2">
        <v>78</v>
      </c>
      <c r="G145">
        <f t="shared" si="8"/>
        <v>185</v>
      </c>
      <c r="H145">
        <f t="shared" si="9"/>
        <v>1.3717948717948718</v>
      </c>
      <c r="I145">
        <f t="shared" si="10"/>
        <v>57.84</v>
      </c>
      <c r="J145">
        <f t="shared" si="11"/>
        <v>42.16</v>
      </c>
    </row>
    <row r="146" spans="1:10" x14ac:dyDescent="0.3">
      <c r="A146" s="2" t="s">
        <v>27</v>
      </c>
      <c r="B146" s="2" t="s">
        <v>43</v>
      </c>
      <c r="C146" s="2" t="s">
        <v>28</v>
      </c>
      <c r="D146" s="2" t="s">
        <v>50</v>
      </c>
      <c r="E146" s="2">
        <v>119</v>
      </c>
      <c r="F146" s="2">
        <v>87</v>
      </c>
      <c r="G146">
        <f t="shared" si="8"/>
        <v>206</v>
      </c>
      <c r="H146">
        <f t="shared" si="9"/>
        <v>1.367816091954023</v>
      </c>
      <c r="I146">
        <f t="shared" si="10"/>
        <v>57.77</v>
      </c>
      <c r="J146">
        <f t="shared" si="11"/>
        <v>42.23</v>
      </c>
    </row>
    <row r="147" spans="1:10" x14ac:dyDescent="0.3">
      <c r="A147" s="2" t="s">
        <v>13</v>
      </c>
      <c r="B147" s="2" t="s">
        <v>86</v>
      </c>
      <c r="C147" s="2" t="s">
        <v>58</v>
      </c>
      <c r="D147" s="2" t="s">
        <v>74</v>
      </c>
      <c r="E147" s="2">
        <v>130</v>
      </c>
      <c r="F147" s="2">
        <v>93</v>
      </c>
      <c r="G147">
        <f t="shared" si="8"/>
        <v>223</v>
      </c>
      <c r="H147">
        <f t="shared" si="9"/>
        <v>1.3978494623655915</v>
      </c>
      <c r="I147">
        <f t="shared" si="10"/>
        <v>58.3</v>
      </c>
      <c r="J147">
        <f t="shared" si="11"/>
        <v>41.7</v>
      </c>
    </row>
    <row r="148" spans="1:10" x14ac:dyDescent="0.3">
      <c r="A148" s="2" t="s">
        <v>27</v>
      </c>
      <c r="B148" s="2" t="s">
        <v>43</v>
      </c>
      <c r="C148" s="2" t="s">
        <v>13</v>
      </c>
      <c r="D148" s="2" t="s">
        <v>86</v>
      </c>
      <c r="E148" s="2">
        <v>123</v>
      </c>
      <c r="F148" s="2">
        <v>130</v>
      </c>
      <c r="G148">
        <f t="shared" si="8"/>
        <v>253</v>
      </c>
      <c r="H148">
        <f t="shared" si="9"/>
        <v>1.056910569105691</v>
      </c>
      <c r="I148">
        <f t="shared" si="10"/>
        <v>48.62</v>
      </c>
      <c r="J148">
        <f t="shared" si="11"/>
        <v>51.38</v>
      </c>
    </row>
    <row r="149" spans="1:10" x14ac:dyDescent="0.3">
      <c r="A149" s="2" t="s">
        <v>27</v>
      </c>
      <c r="B149" s="2" t="s">
        <v>43</v>
      </c>
      <c r="C149" s="2" t="s">
        <v>13</v>
      </c>
      <c r="D149" s="2" t="s">
        <v>86</v>
      </c>
      <c r="E149" s="2">
        <v>148</v>
      </c>
      <c r="F149" s="2">
        <v>124</v>
      </c>
      <c r="G149">
        <f t="shared" si="8"/>
        <v>272</v>
      </c>
      <c r="H149">
        <f t="shared" si="9"/>
        <v>1.1935483870967742</v>
      </c>
      <c r="I149">
        <f t="shared" si="10"/>
        <v>54.41</v>
      </c>
      <c r="J149">
        <f t="shared" si="11"/>
        <v>45.59</v>
      </c>
    </row>
    <row r="150" spans="1:10" x14ac:dyDescent="0.3">
      <c r="A150" s="2" t="s">
        <v>27</v>
      </c>
      <c r="B150" s="2" t="s">
        <v>43</v>
      </c>
      <c r="C150" s="2" t="s">
        <v>13</v>
      </c>
      <c r="D150" s="2" t="s">
        <v>86</v>
      </c>
      <c r="E150" s="2">
        <v>152</v>
      </c>
      <c r="F150" s="2">
        <v>142</v>
      </c>
      <c r="G150">
        <f t="shared" si="8"/>
        <v>294</v>
      </c>
      <c r="H150">
        <f t="shared" si="9"/>
        <v>1.0704225352112675</v>
      </c>
      <c r="I150">
        <f t="shared" si="10"/>
        <v>51.7</v>
      </c>
      <c r="J150">
        <f t="shared" si="11"/>
        <v>48.3</v>
      </c>
    </row>
    <row r="151" spans="1:10" x14ac:dyDescent="0.3">
      <c r="A151" s="2" t="s">
        <v>27</v>
      </c>
      <c r="B151" s="2" t="s">
        <v>43</v>
      </c>
      <c r="C151" s="2" t="s">
        <v>63</v>
      </c>
      <c r="D151" s="2" t="s">
        <v>64</v>
      </c>
      <c r="E151" s="2">
        <v>138</v>
      </c>
      <c r="F151" s="2">
        <v>67</v>
      </c>
      <c r="G151">
        <f t="shared" si="8"/>
        <v>205</v>
      </c>
      <c r="H151">
        <f t="shared" si="9"/>
        <v>2.0597014925373136</v>
      </c>
      <c r="I151">
        <f t="shared" si="10"/>
        <v>67.319999999999993</v>
      </c>
      <c r="J151">
        <f t="shared" si="11"/>
        <v>32.68</v>
      </c>
    </row>
    <row r="152" spans="1:10" x14ac:dyDescent="0.3">
      <c r="A152" s="2" t="s">
        <v>88</v>
      </c>
      <c r="B152" s="2" t="s">
        <v>92</v>
      </c>
      <c r="C152" s="2" t="s">
        <v>18</v>
      </c>
      <c r="D152" s="2" t="s">
        <v>39</v>
      </c>
      <c r="E152" s="2">
        <v>107</v>
      </c>
      <c r="F152" s="2">
        <v>78</v>
      </c>
      <c r="G152">
        <f t="shared" si="8"/>
        <v>185</v>
      </c>
      <c r="H152">
        <f t="shared" si="9"/>
        <v>1.3717948717948718</v>
      </c>
      <c r="I152">
        <f t="shared" si="10"/>
        <v>57.84</v>
      </c>
      <c r="J152">
        <f t="shared" si="11"/>
        <v>42.16</v>
      </c>
    </row>
    <row r="153" spans="1:10" x14ac:dyDescent="0.3">
      <c r="A153" s="2" t="s">
        <v>70</v>
      </c>
      <c r="B153" s="2" t="s">
        <v>97</v>
      </c>
      <c r="C153" s="2" t="s">
        <v>57</v>
      </c>
      <c r="D153" s="2" t="s">
        <v>94</v>
      </c>
      <c r="E153" s="2">
        <v>130</v>
      </c>
      <c r="F153" s="2">
        <v>93</v>
      </c>
      <c r="G153">
        <f t="shared" si="8"/>
        <v>223</v>
      </c>
      <c r="H153">
        <f t="shared" si="9"/>
        <v>1.3978494623655915</v>
      </c>
      <c r="I153">
        <f t="shared" si="10"/>
        <v>58.3</v>
      </c>
      <c r="J153">
        <f t="shared" si="11"/>
        <v>41.7</v>
      </c>
    </row>
    <row r="154" spans="1:10" x14ac:dyDescent="0.3">
      <c r="A154" s="2" t="s">
        <v>28</v>
      </c>
      <c r="B154" s="2" t="s">
        <v>50</v>
      </c>
      <c r="C154" s="2" t="s">
        <v>52</v>
      </c>
      <c r="D154" s="2" t="s">
        <v>19</v>
      </c>
      <c r="E154" s="2">
        <v>121</v>
      </c>
      <c r="F154" s="2">
        <v>71</v>
      </c>
      <c r="G154">
        <f t="shared" si="8"/>
        <v>192</v>
      </c>
      <c r="H154">
        <f t="shared" si="9"/>
        <v>1.704225352112676</v>
      </c>
      <c r="I154">
        <f t="shared" si="10"/>
        <v>63.02</v>
      </c>
      <c r="J154">
        <f t="shared" si="11"/>
        <v>36.979999999999997</v>
      </c>
    </row>
    <row r="155" spans="1:10" x14ac:dyDescent="0.3">
      <c r="A155" s="2" t="s">
        <v>13</v>
      </c>
      <c r="B155" s="2" t="s">
        <v>86</v>
      </c>
      <c r="C155" s="2" t="s">
        <v>104</v>
      </c>
      <c r="D155" s="2" t="s">
        <v>14</v>
      </c>
      <c r="E155" s="2">
        <v>120</v>
      </c>
      <c r="F155" s="2"/>
      <c r="G155">
        <f t="shared" si="8"/>
        <v>120</v>
      </c>
      <c r="H155" t="e">
        <f t="shared" si="9"/>
        <v>#DIV/0!</v>
      </c>
      <c r="I155">
        <f t="shared" si="10"/>
        <v>100</v>
      </c>
      <c r="J155">
        <f t="shared" si="11"/>
        <v>0</v>
      </c>
    </row>
    <row r="156" spans="1:10" x14ac:dyDescent="0.3">
      <c r="A156" s="2" t="s">
        <v>34</v>
      </c>
      <c r="B156" s="2" t="s">
        <v>80</v>
      </c>
      <c r="C156" s="2" t="s">
        <v>33</v>
      </c>
      <c r="D156" s="2" t="s">
        <v>51</v>
      </c>
      <c r="E156" s="2">
        <v>108</v>
      </c>
      <c r="F156" s="2">
        <v>148</v>
      </c>
      <c r="G156">
        <f t="shared" si="8"/>
        <v>256</v>
      </c>
      <c r="H156">
        <f t="shared" si="9"/>
        <v>1.3703703703703705</v>
      </c>
      <c r="I156">
        <f t="shared" si="10"/>
        <v>42.19</v>
      </c>
      <c r="J156">
        <f t="shared" si="11"/>
        <v>57.81</v>
      </c>
    </row>
    <row r="157" spans="1:10" x14ac:dyDescent="0.3">
      <c r="A157" s="2" t="s">
        <v>58</v>
      </c>
      <c r="B157" s="2" t="s">
        <v>74</v>
      </c>
      <c r="C157" s="2" t="s">
        <v>44</v>
      </c>
      <c r="D157" s="2" t="s">
        <v>49</v>
      </c>
      <c r="E157" s="2">
        <v>158</v>
      </c>
      <c r="F157" s="2">
        <v>90</v>
      </c>
      <c r="G157">
        <f t="shared" si="8"/>
        <v>248</v>
      </c>
      <c r="H157">
        <f t="shared" si="9"/>
        <v>1.7555555555555555</v>
      </c>
      <c r="I157">
        <f t="shared" si="10"/>
        <v>63.71</v>
      </c>
      <c r="J157">
        <f t="shared" si="11"/>
        <v>36.29</v>
      </c>
    </row>
    <row r="158" spans="1:10" x14ac:dyDescent="0.3">
      <c r="A158" s="2" t="s">
        <v>73</v>
      </c>
      <c r="B158" s="2" t="s">
        <v>56</v>
      </c>
      <c r="C158" s="2" t="s">
        <v>32</v>
      </c>
      <c r="D158" s="2" t="s">
        <v>75</v>
      </c>
      <c r="E158" s="2">
        <v>133</v>
      </c>
      <c r="F158" s="2">
        <v>90</v>
      </c>
      <c r="G158">
        <f t="shared" si="8"/>
        <v>223</v>
      </c>
      <c r="H158">
        <f t="shared" si="9"/>
        <v>1.4777777777777779</v>
      </c>
      <c r="I158">
        <f t="shared" si="10"/>
        <v>59.64</v>
      </c>
      <c r="J158">
        <f t="shared" si="11"/>
        <v>40.36</v>
      </c>
    </row>
    <row r="159" spans="1:10" x14ac:dyDescent="0.3">
      <c r="A159" s="3" t="s">
        <v>387</v>
      </c>
      <c r="B159" s="3" t="s">
        <v>388</v>
      </c>
      <c r="C159" s="3" t="s">
        <v>389</v>
      </c>
      <c r="D159" s="3" t="s">
        <v>390</v>
      </c>
      <c r="E159" s="3">
        <v>17</v>
      </c>
      <c r="F159" s="3">
        <v>73</v>
      </c>
      <c r="G159">
        <f t="shared" si="8"/>
        <v>90</v>
      </c>
      <c r="H159">
        <f t="shared" si="9"/>
        <v>4.2941176470588234</v>
      </c>
      <c r="I159">
        <f t="shared" si="10"/>
        <v>18.89</v>
      </c>
      <c r="J159">
        <f t="shared" si="11"/>
        <v>81.11</v>
      </c>
    </row>
    <row r="160" spans="1:10" x14ac:dyDescent="0.3">
      <c r="A160" s="3" t="s">
        <v>392</v>
      </c>
      <c r="B160" s="3" t="s">
        <v>393</v>
      </c>
      <c r="C160" s="3" t="s">
        <v>394</v>
      </c>
      <c r="D160" s="3" t="s">
        <v>395</v>
      </c>
      <c r="E160" s="3">
        <v>109</v>
      </c>
      <c r="F160" s="3">
        <v>129</v>
      </c>
      <c r="G160">
        <f t="shared" si="8"/>
        <v>238</v>
      </c>
      <c r="H160">
        <f t="shared" si="9"/>
        <v>1.1834862385321101</v>
      </c>
      <c r="I160">
        <f t="shared" si="10"/>
        <v>45.8</v>
      </c>
      <c r="J160">
        <f t="shared" si="11"/>
        <v>54.2</v>
      </c>
    </row>
    <row r="161" spans="1:10" x14ac:dyDescent="0.3">
      <c r="A161" s="3" t="s">
        <v>396</v>
      </c>
      <c r="B161" s="3" t="s">
        <v>397</v>
      </c>
      <c r="C161" s="3" t="s">
        <v>398</v>
      </c>
      <c r="D161" s="3" t="s">
        <v>399</v>
      </c>
      <c r="E161" s="3">
        <v>60</v>
      </c>
      <c r="F161" s="3">
        <v>89</v>
      </c>
      <c r="G161">
        <f t="shared" si="8"/>
        <v>149</v>
      </c>
      <c r="H161">
        <f t="shared" si="9"/>
        <v>1.4833333333333334</v>
      </c>
      <c r="I161">
        <f t="shared" si="10"/>
        <v>40.270000000000003</v>
      </c>
      <c r="J161">
        <f t="shared" si="11"/>
        <v>59.73</v>
      </c>
    </row>
    <row r="162" spans="1:10" x14ac:dyDescent="0.3">
      <c r="A162" s="3" t="s">
        <v>401</v>
      </c>
      <c r="B162" s="3" t="s">
        <v>402</v>
      </c>
      <c r="C162" s="3" t="s">
        <v>403</v>
      </c>
      <c r="D162" s="3" t="s">
        <v>404</v>
      </c>
      <c r="E162" s="3">
        <v>57</v>
      </c>
      <c r="F162" s="3">
        <v>118</v>
      </c>
      <c r="G162">
        <f t="shared" si="8"/>
        <v>175</v>
      </c>
      <c r="H162">
        <f t="shared" si="9"/>
        <v>2.0701754385964914</v>
      </c>
      <c r="I162">
        <f t="shared" si="10"/>
        <v>32.57</v>
      </c>
      <c r="J162">
        <f t="shared" si="11"/>
        <v>67.430000000000007</v>
      </c>
    </row>
    <row r="163" spans="1:10" x14ac:dyDescent="0.3">
      <c r="A163" s="3" t="s">
        <v>406</v>
      </c>
      <c r="B163" s="3" t="s">
        <v>407</v>
      </c>
      <c r="C163" s="3" t="s">
        <v>408</v>
      </c>
      <c r="D163" s="3" t="s">
        <v>409</v>
      </c>
      <c r="E163" s="3">
        <v>89</v>
      </c>
      <c r="F163" s="3">
        <v>113</v>
      </c>
      <c r="G163">
        <f t="shared" si="8"/>
        <v>202</v>
      </c>
      <c r="H163">
        <f t="shared" si="9"/>
        <v>1.2696629213483146</v>
      </c>
      <c r="I163">
        <f t="shared" si="10"/>
        <v>44.06</v>
      </c>
      <c r="J163">
        <f t="shared" si="11"/>
        <v>55.94</v>
      </c>
    </row>
    <row r="164" spans="1:10" x14ac:dyDescent="0.3">
      <c r="A164" s="3" t="s">
        <v>411</v>
      </c>
      <c r="B164" s="3" t="s">
        <v>412</v>
      </c>
      <c r="C164" s="3" t="s">
        <v>413</v>
      </c>
      <c r="D164" s="3" t="s">
        <v>414</v>
      </c>
      <c r="E164" s="3">
        <v>112</v>
      </c>
      <c r="F164" s="3">
        <v>65</v>
      </c>
      <c r="G164">
        <f t="shared" si="8"/>
        <v>177</v>
      </c>
      <c r="H164">
        <f t="shared" si="9"/>
        <v>1.7230769230769232</v>
      </c>
      <c r="I164">
        <f t="shared" si="10"/>
        <v>63.28</v>
      </c>
      <c r="J164">
        <f t="shared" si="11"/>
        <v>36.72</v>
      </c>
    </row>
    <row r="165" spans="1:10" x14ac:dyDescent="0.3">
      <c r="A165" s="3" t="s">
        <v>416</v>
      </c>
      <c r="B165" s="3" t="s">
        <v>417</v>
      </c>
      <c r="C165" s="3" t="s">
        <v>418</v>
      </c>
      <c r="D165" s="3" t="s">
        <v>419</v>
      </c>
      <c r="E165" s="3">
        <v>99</v>
      </c>
      <c r="F165" s="3">
        <v>97</v>
      </c>
      <c r="G165">
        <f t="shared" si="8"/>
        <v>196</v>
      </c>
      <c r="H165">
        <f t="shared" si="9"/>
        <v>1.0206185567010309</v>
      </c>
      <c r="I165">
        <f t="shared" si="10"/>
        <v>50.51</v>
      </c>
      <c r="J165">
        <f t="shared" si="11"/>
        <v>49.49</v>
      </c>
    </row>
    <row r="166" spans="1:10" x14ac:dyDescent="0.3">
      <c r="A166" s="3" t="s">
        <v>421</v>
      </c>
      <c r="B166" s="3" t="s">
        <v>422</v>
      </c>
      <c r="C166" s="3" t="s">
        <v>423</v>
      </c>
      <c r="D166" s="3" t="s">
        <v>424</v>
      </c>
      <c r="E166" s="3">
        <v>59</v>
      </c>
      <c r="F166" s="3">
        <v>42</v>
      </c>
      <c r="G166">
        <f t="shared" si="8"/>
        <v>101</v>
      </c>
      <c r="H166">
        <f t="shared" si="9"/>
        <v>1.4047619047619047</v>
      </c>
      <c r="I166">
        <f t="shared" si="10"/>
        <v>58.42</v>
      </c>
      <c r="J166">
        <f t="shared" si="11"/>
        <v>41.58</v>
      </c>
    </row>
    <row r="167" spans="1:10" x14ac:dyDescent="0.3">
      <c r="A167" s="3" t="s">
        <v>426</v>
      </c>
      <c r="B167" s="3" t="s">
        <v>427</v>
      </c>
      <c r="C167" s="3" t="s">
        <v>428</v>
      </c>
      <c r="D167" s="3" t="s">
        <v>429</v>
      </c>
      <c r="E167" s="3">
        <v>132</v>
      </c>
      <c r="F167" s="3">
        <v>118</v>
      </c>
      <c r="G167">
        <f t="shared" si="8"/>
        <v>250</v>
      </c>
      <c r="H167">
        <f t="shared" si="9"/>
        <v>1.1186440677966101</v>
      </c>
      <c r="I167">
        <f t="shared" si="10"/>
        <v>52.8</v>
      </c>
      <c r="J167">
        <f t="shared" si="11"/>
        <v>47.2</v>
      </c>
    </row>
    <row r="168" spans="1:10" x14ac:dyDescent="0.3">
      <c r="A168" s="3" t="s">
        <v>431</v>
      </c>
      <c r="B168" s="3" t="s">
        <v>432</v>
      </c>
      <c r="C168" s="3" t="s">
        <v>433</v>
      </c>
      <c r="D168" s="3" t="s">
        <v>434</v>
      </c>
      <c r="E168" s="3">
        <v>48</v>
      </c>
      <c r="F168" s="3">
        <v>125</v>
      </c>
      <c r="G168">
        <f t="shared" si="8"/>
        <v>173</v>
      </c>
      <c r="H168">
        <f t="shared" si="9"/>
        <v>2.6041666666666665</v>
      </c>
      <c r="I168">
        <f t="shared" si="10"/>
        <v>27.75</v>
      </c>
      <c r="J168">
        <f t="shared" si="11"/>
        <v>72.25</v>
      </c>
    </row>
    <row r="169" spans="1:10" x14ac:dyDescent="0.3">
      <c r="A169" s="3" t="s">
        <v>436</v>
      </c>
      <c r="B169" s="3" t="s">
        <v>437</v>
      </c>
      <c r="C169" s="3" t="s">
        <v>438</v>
      </c>
      <c r="D169" s="3" t="s">
        <v>439</v>
      </c>
      <c r="E169" s="3">
        <v>186</v>
      </c>
      <c r="F169" s="3">
        <v>55</v>
      </c>
      <c r="G169">
        <f t="shared" si="8"/>
        <v>241</v>
      </c>
      <c r="H169">
        <f t="shared" si="9"/>
        <v>3.3818181818181818</v>
      </c>
      <c r="I169">
        <f t="shared" si="10"/>
        <v>77.180000000000007</v>
      </c>
      <c r="J169">
        <f t="shared" si="11"/>
        <v>22.82</v>
      </c>
    </row>
    <row r="170" spans="1:10" x14ac:dyDescent="0.3">
      <c r="A170" s="3" t="s">
        <v>441</v>
      </c>
      <c r="B170" s="3" t="s">
        <v>442</v>
      </c>
      <c r="C170" s="3" t="s">
        <v>443</v>
      </c>
      <c r="D170" s="3" t="s">
        <v>444</v>
      </c>
      <c r="E170" s="3">
        <v>113</v>
      </c>
      <c r="F170" s="3">
        <v>90</v>
      </c>
      <c r="G170">
        <f t="shared" si="8"/>
        <v>203</v>
      </c>
      <c r="H170">
        <f t="shared" si="9"/>
        <v>1.2555555555555555</v>
      </c>
      <c r="I170">
        <f t="shared" si="10"/>
        <v>55.67</v>
      </c>
      <c r="J170">
        <f t="shared" si="11"/>
        <v>44.33</v>
      </c>
    </row>
    <row r="171" spans="1:10" x14ac:dyDescent="0.3">
      <c r="A171" s="3" t="s">
        <v>446</v>
      </c>
      <c r="B171" s="3" t="s">
        <v>447</v>
      </c>
      <c r="C171" s="3" t="s">
        <v>448</v>
      </c>
      <c r="D171" s="3" t="s">
        <v>449</v>
      </c>
      <c r="E171" s="3">
        <v>149</v>
      </c>
      <c r="F171" s="3">
        <v>62</v>
      </c>
      <c r="G171">
        <f t="shared" si="8"/>
        <v>211</v>
      </c>
      <c r="H171">
        <f t="shared" si="9"/>
        <v>2.403225806451613</v>
      </c>
      <c r="I171">
        <f t="shared" si="10"/>
        <v>70.62</v>
      </c>
      <c r="J171">
        <f t="shared" si="11"/>
        <v>29.38</v>
      </c>
    </row>
    <row r="172" spans="1:10" x14ac:dyDescent="0.3">
      <c r="A172" s="3" t="s">
        <v>451</v>
      </c>
      <c r="B172" s="3" t="s">
        <v>452</v>
      </c>
      <c r="C172" s="3" t="s">
        <v>453</v>
      </c>
      <c r="D172" s="3" t="s">
        <v>454</v>
      </c>
      <c r="E172" s="3">
        <v>54</v>
      </c>
      <c r="F172" s="3">
        <v>200</v>
      </c>
      <c r="G172">
        <f t="shared" si="8"/>
        <v>254</v>
      </c>
      <c r="H172">
        <f t="shared" si="9"/>
        <v>3.7037037037037037</v>
      </c>
      <c r="I172">
        <f t="shared" si="10"/>
        <v>21.26</v>
      </c>
      <c r="J172">
        <f t="shared" si="11"/>
        <v>78.739999999999995</v>
      </c>
    </row>
    <row r="173" spans="1:10" x14ac:dyDescent="0.3">
      <c r="A173" s="3" t="s">
        <v>455</v>
      </c>
      <c r="B173" s="3" t="s">
        <v>456</v>
      </c>
      <c r="C173" s="3" t="s">
        <v>457</v>
      </c>
      <c r="D173" s="3" t="s">
        <v>458</v>
      </c>
      <c r="E173" s="3">
        <v>73</v>
      </c>
      <c r="F173" s="3">
        <v>89</v>
      </c>
      <c r="G173">
        <f t="shared" si="8"/>
        <v>162</v>
      </c>
      <c r="H173">
        <f t="shared" si="9"/>
        <v>1.2191780821917808</v>
      </c>
      <c r="I173">
        <f t="shared" si="10"/>
        <v>45.06</v>
      </c>
      <c r="J173">
        <f t="shared" si="11"/>
        <v>54.94</v>
      </c>
    </row>
    <row r="174" spans="1:10" x14ac:dyDescent="0.3">
      <c r="A174" s="3" t="s">
        <v>460</v>
      </c>
      <c r="B174" s="3" t="s">
        <v>461</v>
      </c>
      <c r="C174" s="3" t="s">
        <v>404</v>
      </c>
      <c r="D174" s="3" t="s">
        <v>426</v>
      </c>
      <c r="E174" s="3">
        <v>62</v>
      </c>
      <c r="F174" s="3">
        <v>47</v>
      </c>
      <c r="G174">
        <f t="shared" si="8"/>
        <v>109</v>
      </c>
      <c r="H174">
        <f t="shared" si="9"/>
        <v>1.3191489361702127</v>
      </c>
      <c r="I174">
        <f t="shared" si="10"/>
        <v>56.88</v>
      </c>
      <c r="J174">
        <f t="shared" si="11"/>
        <v>43.12</v>
      </c>
    </row>
    <row r="175" spans="1:10" x14ac:dyDescent="0.3">
      <c r="A175" s="3" t="s">
        <v>399</v>
      </c>
      <c r="B175" s="3" t="s">
        <v>387</v>
      </c>
      <c r="C175" s="3" t="s">
        <v>431</v>
      </c>
      <c r="D175" s="3" t="s">
        <v>407</v>
      </c>
      <c r="E175" s="3">
        <v>37</v>
      </c>
      <c r="F175" s="3">
        <v>41</v>
      </c>
      <c r="G175">
        <f t="shared" si="8"/>
        <v>78</v>
      </c>
      <c r="H175">
        <f t="shared" si="9"/>
        <v>1.1081081081081081</v>
      </c>
      <c r="I175">
        <f t="shared" si="10"/>
        <v>47.44</v>
      </c>
      <c r="J175">
        <f t="shared" si="11"/>
        <v>52.56</v>
      </c>
    </row>
    <row r="176" spans="1:10" x14ac:dyDescent="0.3">
      <c r="A176" s="3" t="s">
        <v>418</v>
      </c>
      <c r="B176" s="3" t="s">
        <v>389</v>
      </c>
      <c r="C176" s="3" t="s">
        <v>412</v>
      </c>
      <c r="D176" s="3" t="s">
        <v>394</v>
      </c>
      <c r="E176" s="3">
        <v>107</v>
      </c>
      <c r="F176" s="3">
        <v>105</v>
      </c>
      <c r="G176">
        <f t="shared" si="8"/>
        <v>212</v>
      </c>
      <c r="H176">
        <f t="shared" si="9"/>
        <v>1.019047619047619</v>
      </c>
      <c r="I176">
        <f t="shared" si="10"/>
        <v>50.47</v>
      </c>
      <c r="J176">
        <f t="shared" si="11"/>
        <v>49.53</v>
      </c>
    </row>
    <row r="177" spans="1:10" x14ac:dyDescent="0.3">
      <c r="A177" s="3" t="s">
        <v>444</v>
      </c>
      <c r="B177" s="3" t="s">
        <v>438</v>
      </c>
      <c r="C177" s="3" t="s">
        <v>416</v>
      </c>
      <c r="D177" s="3" t="s">
        <v>422</v>
      </c>
      <c r="E177" s="3">
        <v>128</v>
      </c>
      <c r="F177" s="3">
        <v>134</v>
      </c>
      <c r="G177">
        <f t="shared" si="8"/>
        <v>262</v>
      </c>
      <c r="H177">
        <f t="shared" si="9"/>
        <v>1.046875</v>
      </c>
      <c r="I177">
        <f t="shared" si="10"/>
        <v>48.85</v>
      </c>
      <c r="J177">
        <f t="shared" si="11"/>
        <v>51.15</v>
      </c>
    </row>
    <row r="178" spans="1:10" x14ac:dyDescent="0.3">
      <c r="A178" s="3" t="s">
        <v>419</v>
      </c>
      <c r="B178" s="3" t="s">
        <v>428</v>
      </c>
      <c r="C178" s="3" t="s">
        <v>393</v>
      </c>
      <c r="D178" s="3" t="s">
        <v>402</v>
      </c>
      <c r="E178" s="3">
        <v>130</v>
      </c>
      <c r="F178" s="3">
        <v>70</v>
      </c>
      <c r="G178">
        <f t="shared" si="8"/>
        <v>200</v>
      </c>
      <c r="H178">
        <f t="shared" si="9"/>
        <v>1.8571428571428572</v>
      </c>
      <c r="I178">
        <f t="shared" si="10"/>
        <v>65</v>
      </c>
      <c r="J178">
        <f t="shared" si="11"/>
        <v>35</v>
      </c>
    </row>
    <row r="179" spans="1:10" x14ac:dyDescent="0.3">
      <c r="A179" s="3" t="s">
        <v>437</v>
      </c>
      <c r="B179" s="3" t="s">
        <v>403</v>
      </c>
      <c r="C179" s="3" t="s">
        <v>447</v>
      </c>
      <c r="D179" s="3" t="s">
        <v>432</v>
      </c>
      <c r="E179" s="3">
        <v>98</v>
      </c>
      <c r="F179" s="3">
        <v>27</v>
      </c>
      <c r="G179">
        <f t="shared" si="8"/>
        <v>125</v>
      </c>
      <c r="H179">
        <f t="shared" si="9"/>
        <v>3.6296296296296298</v>
      </c>
      <c r="I179">
        <f t="shared" si="10"/>
        <v>78.400000000000006</v>
      </c>
      <c r="J179">
        <f t="shared" si="11"/>
        <v>21.6</v>
      </c>
    </row>
    <row r="180" spans="1:10" x14ac:dyDescent="0.3">
      <c r="A180" s="3" t="s">
        <v>457</v>
      </c>
      <c r="B180" s="3" t="s">
        <v>427</v>
      </c>
      <c r="C180" s="3" t="s">
        <v>452</v>
      </c>
      <c r="D180" s="3" t="s">
        <v>417</v>
      </c>
      <c r="E180" s="3">
        <v>168</v>
      </c>
      <c r="F180" s="3">
        <v>85</v>
      </c>
      <c r="G180">
        <f t="shared" si="8"/>
        <v>253</v>
      </c>
      <c r="H180">
        <f t="shared" si="9"/>
        <v>1.9764705882352942</v>
      </c>
      <c r="I180">
        <f t="shared" si="10"/>
        <v>66.400000000000006</v>
      </c>
      <c r="J180">
        <f t="shared" si="11"/>
        <v>33.6</v>
      </c>
    </row>
    <row r="181" spans="1:10" x14ac:dyDescent="0.3">
      <c r="A181" s="3" t="s">
        <v>434</v>
      </c>
      <c r="B181" s="3" t="s">
        <v>458</v>
      </c>
      <c r="C181" s="3" t="s">
        <v>397</v>
      </c>
      <c r="D181" s="3" t="s">
        <v>461</v>
      </c>
      <c r="E181" s="3">
        <v>75</v>
      </c>
      <c r="F181" s="3">
        <v>92</v>
      </c>
      <c r="G181">
        <f t="shared" si="8"/>
        <v>167</v>
      </c>
      <c r="H181">
        <f t="shared" si="9"/>
        <v>1.2266666666666666</v>
      </c>
      <c r="I181">
        <f t="shared" si="10"/>
        <v>44.91</v>
      </c>
      <c r="J181">
        <f t="shared" si="11"/>
        <v>55.09</v>
      </c>
    </row>
    <row r="182" spans="1:10" x14ac:dyDescent="0.3">
      <c r="A182" s="3" t="s">
        <v>448</v>
      </c>
      <c r="B182" s="3" t="s">
        <v>429</v>
      </c>
      <c r="C182" s="3" t="s">
        <v>423</v>
      </c>
      <c r="D182" s="3" t="s">
        <v>436</v>
      </c>
      <c r="E182" s="3">
        <v>92</v>
      </c>
      <c r="F182" s="3">
        <v>105</v>
      </c>
      <c r="G182">
        <f t="shared" si="8"/>
        <v>197</v>
      </c>
      <c r="H182">
        <f t="shared" si="9"/>
        <v>1.1413043478260869</v>
      </c>
      <c r="I182">
        <f t="shared" si="10"/>
        <v>46.7</v>
      </c>
      <c r="J182">
        <f t="shared" si="11"/>
        <v>53.3</v>
      </c>
    </row>
    <row r="183" spans="1:10" x14ac:dyDescent="0.3">
      <c r="A183" s="3" t="s">
        <v>433</v>
      </c>
      <c r="B183" s="3" t="s">
        <v>439</v>
      </c>
      <c r="C183" s="3" t="s">
        <v>396</v>
      </c>
      <c r="D183" s="3" t="s">
        <v>392</v>
      </c>
      <c r="E183" s="3">
        <v>70</v>
      </c>
      <c r="F183" s="3">
        <v>110</v>
      </c>
      <c r="G183">
        <f t="shared" si="8"/>
        <v>180</v>
      </c>
      <c r="H183">
        <f t="shared" si="9"/>
        <v>1.5714285714285714</v>
      </c>
      <c r="I183">
        <f t="shared" si="10"/>
        <v>38.89</v>
      </c>
      <c r="J183">
        <f t="shared" si="11"/>
        <v>61.11</v>
      </c>
    </row>
    <row r="184" spans="1:10" x14ac:dyDescent="0.3">
      <c r="A184" s="3" t="s">
        <v>454</v>
      </c>
      <c r="B184" s="3" t="s">
        <v>456</v>
      </c>
      <c r="C184" s="3" t="s">
        <v>421</v>
      </c>
      <c r="D184" s="3" t="s">
        <v>411</v>
      </c>
      <c r="E184" s="3">
        <v>53</v>
      </c>
      <c r="F184" s="3">
        <v>115</v>
      </c>
      <c r="G184">
        <f t="shared" si="8"/>
        <v>168</v>
      </c>
      <c r="H184">
        <f t="shared" si="9"/>
        <v>2.1698113207547172</v>
      </c>
      <c r="I184">
        <f t="shared" si="10"/>
        <v>31.55</v>
      </c>
      <c r="J184">
        <f t="shared" si="11"/>
        <v>68.45</v>
      </c>
    </row>
    <row r="185" spans="1:10" x14ac:dyDescent="0.3">
      <c r="A185" s="3" t="s">
        <v>390</v>
      </c>
      <c r="B185" s="3" t="s">
        <v>453</v>
      </c>
      <c r="C185" s="3" t="s">
        <v>408</v>
      </c>
      <c r="D185" s="3" t="s">
        <v>446</v>
      </c>
      <c r="E185" s="3">
        <v>93</v>
      </c>
      <c r="F185" s="3">
        <v>115</v>
      </c>
      <c r="G185">
        <f t="shared" si="8"/>
        <v>208</v>
      </c>
      <c r="H185">
        <f t="shared" si="9"/>
        <v>1.2365591397849462</v>
      </c>
      <c r="I185">
        <f t="shared" si="10"/>
        <v>44.71</v>
      </c>
      <c r="J185">
        <f t="shared" si="11"/>
        <v>55.29</v>
      </c>
    </row>
    <row r="186" spans="1:10" x14ac:dyDescent="0.3">
      <c r="A186" s="3" t="s">
        <v>413</v>
      </c>
      <c r="B186" s="3" t="s">
        <v>424</v>
      </c>
      <c r="C186" s="3" t="s">
        <v>460</v>
      </c>
      <c r="D186" s="3" t="s">
        <v>442</v>
      </c>
      <c r="E186" s="3">
        <v>65</v>
      </c>
      <c r="F186" s="3">
        <v>57</v>
      </c>
      <c r="G186">
        <f t="shared" si="8"/>
        <v>122</v>
      </c>
      <c r="H186">
        <f t="shared" si="9"/>
        <v>1.1403508771929824</v>
      </c>
      <c r="I186">
        <f t="shared" si="10"/>
        <v>53.28</v>
      </c>
      <c r="J186">
        <f t="shared" si="11"/>
        <v>46.72</v>
      </c>
    </row>
    <row r="187" spans="1:10" x14ac:dyDescent="0.3">
      <c r="A187" s="3" t="s">
        <v>414</v>
      </c>
      <c r="B187" s="3" t="s">
        <v>449</v>
      </c>
      <c r="C187" s="3" t="s">
        <v>401</v>
      </c>
      <c r="D187" s="3" t="s">
        <v>451</v>
      </c>
      <c r="E187" s="3">
        <v>54</v>
      </c>
      <c r="F187" s="3">
        <v>62</v>
      </c>
      <c r="G187">
        <f t="shared" si="8"/>
        <v>116</v>
      </c>
      <c r="H187">
        <f t="shared" si="9"/>
        <v>1.1481481481481481</v>
      </c>
      <c r="I187">
        <f t="shared" si="10"/>
        <v>46.55</v>
      </c>
      <c r="J187">
        <f t="shared" si="11"/>
        <v>53.45</v>
      </c>
    </row>
    <row r="188" spans="1:10" x14ac:dyDescent="0.3">
      <c r="A188" s="3" t="s">
        <v>395</v>
      </c>
      <c r="B188" s="3" t="s">
        <v>409</v>
      </c>
      <c r="C188" s="3" t="s">
        <v>388</v>
      </c>
      <c r="D188" s="3" t="s">
        <v>441</v>
      </c>
      <c r="E188" s="3">
        <v>42</v>
      </c>
      <c r="F188" s="3">
        <v>65</v>
      </c>
      <c r="G188">
        <f t="shared" si="8"/>
        <v>107</v>
      </c>
      <c r="H188">
        <f t="shared" si="9"/>
        <v>1.5476190476190477</v>
      </c>
      <c r="I188">
        <f t="shared" si="10"/>
        <v>39.25</v>
      </c>
      <c r="J188">
        <f t="shared" si="11"/>
        <v>60.75</v>
      </c>
    </row>
    <row r="189" spans="1:10" x14ac:dyDescent="0.3">
      <c r="A189" s="3" t="s">
        <v>398</v>
      </c>
      <c r="B189" s="3" t="s">
        <v>443</v>
      </c>
      <c r="C189" s="3" t="s">
        <v>455</v>
      </c>
      <c r="D189" s="3" t="s">
        <v>406</v>
      </c>
      <c r="E189" s="3">
        <v>77</v>
      </c>
      <c r="F189" s="3">
        <v>60</v>
      </c>
      <c r="G189">
        <f t="shared" si="8"/>
        <v>137</v>
      </c>
      <c r="H189">
        <f t="shared" si="9"/>
        <v>1.2833333333333334</v>
      </c>
      <c r="I189">
        <f t="shared" si="10"/>
        <v>56.2</v>
      </c>
      <c r="J189">
        <f t="shared" si="11"/>
        <v>43.8</v>
      </c>
    </row>
    <row r="190" spans="1:10" x14ac:dyDescent="0.3">
      <c r="A190" s="3" t="s">
        <v>439</v>
      </c>
      <c r="B190" s="3" t="s">
        <v>407</v>
      </c>
      <c r="C190" s="3" t="s">
        <v>461</v>
      </c>
      <c r="D190" s="3" t="s">
        <v>452</v>
      </c>
      <c r="E190" s="3">
        <v>24</v>
      </c>
      <c r="F190" s="3">
        <v>80</v>
      </c>
      <c r="G190">
        <f t="shared" si="8"/>
        <v>104</v>
      </c>
      <c r="H190">
        <f t="shared" si="9"/>
        <v>3.3333333333333335</v>
      </c>
      <c r="I190">
        <f t="shared" si="10"/>
        <v>23.08</v>
      </c>
      <c r="J190">
        <f t="shared" si="11"/>
        <v>76.92</v>
      </c>
    </row>
    <row r="191" spans="1:10" x14ac:dyDescent="0.3">
      <c r="A191" s="3" t="s">
        <v>431</v>
      </c>
      <c r="B191" s="3" t="s">
        <v>397</v>
      </c>
      <c r="C191" s="3" t="s">
        <v>427</v>
      </c>
      <c r="D191" s="3" t="s">
        <v>416</v>
      </c>
      <c r="E191" s="3">
        <v>30</v>
      </c>
      <c r="F191" s="3">
        <v>174</v>
      </c>
      <c r="G191">
        <f t="shared" si="8"/>
        <v>204</v>
      </c>
      <c r="H191">
        <f t="shared" si="9"/>
        <v>5.8</v>
      </c>
      <c r="I191">
        <f t="shared" si="10"/>
        <v>14.71</v>
      </c>
      <c r="J191">
        <f t="shared" si="11"/>
        <v>85.29</v>
      </c>
    </row>
    <row r="192" spans="1:10" x14ac:dyDescent="0.3">
      <c r="A192" s="3" t="s">
        <v>404</v>
      </c>
      <c r="B192" s="3" t="s">
        <v>429</v>
      </c>
      <c r="C192" s="3" t="s">
        <v>456</v>
      </c>
      <c r="D192" s="3" t="s">
        <v>387</v>
      </c>
      <c r="E192" s="3">
        <v>77</v>
      </c>
      <c r="F192" s="3">
        <v>68</v>
      </c>
      <c r="G192">
        <f t="shared" si="8"/>
        <v>145</v>
      </c>
      <c r="H192">
        <f t="shared" si="9"/>
        <v>1.1323529411764706</v>
      </c>
      <c r="I192">
        <f t="shared" si="10"/>
        <v>53.1</v>
      </c>
      <c r="J192">
        <f t="shared" si="11"/>
        <v>46.9</v>
      </c>
    </row>
    <row r="193" spans="1:10" x14ac:dyDescent="0.3">
      <c r="A193" s="3" t="s">
        <v>408</v>
      </c>
      <c r="B193" s="3" t="s">
        <v>419</v>
      </c>
      <c r="C193" s="3" t="s">
        <v>426</v>
      </c>
      <c r="D193" s="3" t="s">
        <v>447</v>
      </c>
      <c r="E193" s="3">
        <v>85</v>
      </c>
      <c r="F193" s="3">
        <v>75</v>
      </c>
      <c r="G193">
        <f t="shared" si="8"/>
        <v>160</v>
      </c>
      <c r="H193">
        <f t="shared" si="9"/>
        <v>1.1333333333333333</v>
      </c>
      <c r="I193">
        <f t="shared" si="10"/>
        <v>53.13</v>
      </c>
      <c r="J193">
        <f t="shared" si="11"/>
        <v>46.88</v>
      </c>
    </row>
    <row r="194" spans="1:10" x14ac:dyDescent="0.3">
      <c r="A194" s="3" t="s">
        <v>392</v>
      </c>
      <c r="B194" s="3" t="s">
        <v>424</v>
      </c>
      <c r="C194" s="3" t="s">
        <v>436</v>
      </c>
      <c r="D194" s="3" t="s">
        <v>428</v>
      </c>
      <c r="E194" s="3">
        <v>29</v>
      </c>
      <c r="F194" s="3">
        <v>129</v>
      </c>
      <c r="G194">
        <f t="shared" si="8"/>
        <v>158</v>
      </c>
      <c r="H194">
        <f t="shared" si="9"/>
        <v>4.4482758620689653</v>
      </c>
      <c r="I194">
        <f t="shared" si="10"/>
        <v>18.350000000000001</v>
      </c>
      <c r="J194">
        <f t="shared" si="11"/>
        <v>81.650000000000006</v>
      </c>
    </row>
    <row r="195" spans="1:10" x14ac:dyDescent="0.3">
      <c r="A195" s="3" t="s">
        <v>401</v>
      </c>
      <c r="B195" s="3" t="s">
        <v>388</v>
      </c>
      <c r="C195" s="3" t="s">
        <v>413</v>
      </c>
      <c r="D195" s="3" t="s">
        <v>457</v>
      </c>
      <c r="E195" s="3">
        <v>111</v>
      </c>
      <c r="F195" s="3">
        <v>120</v>
      </c>
      <c r="G195">
        <f t="shared" ref="G195:G258" si="12">E195+F195</f>
        <v>231</v>
      </c>
      <c r="H195">
        <f t="shared" ref="H195:H258" si="13">IF(E195&gt;F195,E195/F195,F195/E195)</f>
        <v>1.0810810810810811</v>
      </c>
      <c r="I195">
        <f t="shared" ref="I195:I258" si="14">ROUND(E195/G195*100, 2)</f>
        <v>48.05</v>
      </c>
      <c r="J195">
        <f t="shared" ref="J195:J258" si="15">ROUND(F195/G195*100, 2)</f>
        <v>51.95</v>
      </c>
    </row>
    <row r="196" spans="1:10" x14ac:dyDescent="0.3">
      <c r="A196" s="3" t="s">
        <v>421</v>
      </c>
      <c r="B196" s="3" t="s">
        <v>399</v>
      </c>
      <c r="C196" s="3" t="s">
        <v>448</v>
      </c>
      <c r="D196" s="3" t="s">
        <v>432</v>
      </c>
      <c r="E196" s="3">
        <v>136</v>
      </c>
      <c r="F196" s="3">
        <v>137</v>
      </c>
      <c r="G196">
        <f t="shared" si="12"/>
        <v>273</v>
      </c>
      <c r="H196">
        <f t="shared" si="13"/>
        <v>1.0073529411764706</v>
      </c>
      <c r="I196">
        <f t="shared" si="14"/>
        <v>49.82</v>
      </c>
      <c r="J196">
        <f t="shared" si="15"/>
        <v>50.18</v>
      </c>
    </row>
    <row r="197" spans="1:10" x14ac:dyDescent="0.3">
      <c r="A197" s="3" t="s">
        <v>443</v>
      </c>
      <c r="B197" s="3" t="s">
        <v>460</v>
      </c>
      <c r="C197" s="3" t="s">
        <v>411</v>
      </c>
      <c r="D197" s="3" t="s">
        <v>434</v>
      </c>
      <c r="E197" s="3">
        <v>98</v>
      </c>
      <c r="F197" s="3">
        <v>22</v>
      </c>
      <c r="G197">
        <f t="shared" si="12"/>
        <v>120</v>
      </c>
      <c r="H197">
        <f t="shared" si="13"/>
        <v>4.4545454545454541</v>
      </c>
      <c r="I197">
        <f t="shared" si="14"/>
        <v>81.67</v>
      </c>
      <c r="J197">
        <f t="shared" si="15"/>
        <v>18.329999999999998</v>
      </c>
    </row>
    <row r="198" spans="1:10" x14ac:dyDescent="0.3">
      <c r="A198" s="3" t="s">
        <v>423</v>
      </c>
      <c r="B198" s="3" t="s">
        <v>446</v>
      </c>
      <c r="C198" s="3" t="s">
        <v>455</v>
      </c>
      <c r="D198" s="3" t="s">
        <v>396</v>
      </c>
      <c r="E198" s="3">
        <v>79</v>
      </c>
      <c r="F198" s="3">
        <v>65</v>
      </c>
      <c r="G198">
        <f t="shared" si="12"/>
        <v>144</v>
      </c>
      <c r="H198">
        <f t="shared" si="13"/>
        <v>1.2153846153846153</v>
      </c>
      <c r="I198">
        <f t="shared" si="14"/>
        <v>54.86</v>
      </c>
      <c r="J198">
        <f t="shared" si="15"/>
        <v>45.14</v>
      </c>
    </row>
    <row r="199" spans="1:10" x14ac:dyDescent="0.3">
      <c r="A199" s="3" t="s">
        <v>433</v>
      </c>
      <c r="B199" s="3" t="s">
        <v>409</v>
      </c>
      <c r="C199" s="3" t="s">
        <v>451</v>
      </c>
      <c r="D199" s="3" t="s">
        <v>417</v>
      </c>
      <c r="E199" s="3">
        <v>116</v>
      </c>
      <c r="F199" s="3">
        <v>62</v>
      </c>
      <c r="G199">
        <f t="shared" si="12"/>
        <v>178</v>
      </c>
      <c r="H199">
        <f t="shared" si="13"/>
        <v>1.8709677419354838</v>
      </c>
      <c r="I199">
        <f t="shared" si="14"/>
        <v>65.17</v>
      </c>
      <c r="J199">
        <f t="shared" si="15"/>
        <v>34.83</v>
      </c>
    </row>
    <row r="200" spans="1:10" x14ac:dyDescent="0.3">
      <c r="A200" s="3" t="s">
        <v>418</v>
      </c>
      <c r="B200" s="3" t="s">
        <v>406</v>
      </c>
      <c r="C200" s="3" t="s">
        <v>393</v>
      </c>
      <c r="D200" s="3" t="s">
        <v>414</v>
      </c>
      <c r="E200" s="3">
        <v>57</v>
      </c>
      <c r="F200" s="3">
        <v>95</v>
      </c>
      <c r="G200">
        <f t="shared" si="12"/>
        <v>152</v>
      </c>
      <c r="H200">
        <f t="shared" si="13"/>
        <v>1.6666666666666667</v>
      </c>
      <c r="I200">
        <f t="shared" si="14"/>
        <v>37.5</v>
      </c>
      <c r="J200">
        <f t="shared" si="15"/>
        <v>62.5</v>
      </c>
    </row>
    <row r="201" spans="1:10" x14ac:dyDescent="0.3">
      <c r="A201" s="3" t="s">
        <v>398</v>
      </c>
      <c r="B201" s="3" t="s">
        <v>422</v>
      </c>
      <c r="C201" s="3" t="s">
        <v>437</v>
      </c>
      <c r="D201" s="3" t="s">
        <v>402</v>
      </c>
      <c r="E201" s="3">
        <v>86</v>
      </c>
      <c r="F201" s="3">
        <v>89</v>
      </c>
      <c r="G201">
        <f t="shared" si="12"/>
        <v>175</v>
      </c>
      <c r="H201">
        <f t="shared" si="13"/>
        <v>1.0348837209302326</v>
      </c>
      <c r="I201">
        <f t="shared" si="14"/>
        <v>49.14</v>
      </c>
      <c r="J201">
        <f t="shared" si="15"/>
        <v>50.86</v>
      </c>
    </row>
    <row r="202" spans="1:10" x14ac:dyDescent="0.3">
      <c r="A202" s="3" t="s">
        <v>444</v>
      </c>
      <c r="B202" s="3" t="s">
        <v>458</v>
      </c>
      <c r="C202" s="3" t="s">
        <v>395</v>
      </c>
      <c r="D202" s="3" t="s">
        <v>389</v>
      </c>
      <c r="E202" s="3">
        <v>67</v>
      </c>
      <c r="F202" s="3">
        <v>119</v>
      </c>
      <c r="G202">
        <f t="shared" si="12"/>
        <v>186</v>
      </c>
      <c r="H202">
        <f t="shared" si="13"/>
        <v>1.7761194029850746</v>
      </c>
      <c r="I202">
        <f t="shared" si="14"/>
        <v>36.020000000000003</v>
      </c>
      <c r="J202">
        <f t="shared" si="15"/>
        <v>63.98</v>
      </c>
    </row>
    <row r="203" spans="1:10" x14ac:dyDescent="0.3">
      <c r="A203" s="3" t="s">
        <v>390</v>
      </c>
      <c r="B203" s="3" t="s">
        <v>403</v>
      </c>
      <c r="C203" s="3" t="s">
        <v>449</v>
      </c>
      <c r="D203" s="3" t="s">
        <v>442</v>
      </c>
      <c r="E203" s="3">
        <v>116</v>
      </c>
      <c r="F203" s="3">
        <v>64</v>
      </c>
      <c r="G203">
        <f t="shared" si="12"/>
        <v>180</v>
      </c>
      <c r="H203">
        <f t="shared" si="13"/>
        <v>1.8125</v>
      </c>
      <c r="I203">
        <f t="shared" si="14"/>
        <v>64.44</v>
      </c>
      <c r="J203">
        <f t="shared" si="15"/>
        <v>35.56</v>
      </c>
    </row>
    <row r="204" spans="1:10" x14ac:dyDescent="0.3">
      <c r="A204" s="3" t="s">
        <v>412</v>
      </c>
      <c r="B204" s="3" t="s">
        <v>441</v>
      </c>
      <c r="C204" s="3" t="s">
        <v>438</v>
      </c>
      <c r="D204" s="3" t="s">
        <v>453</v>
      </c>
      <c r="E204" s="3">
        <v>103</v>
      </c>
      <c r="F204" s="3">
        <v>75</v>
      </c>
      <c r="G204">
        <f t="shared" si="12"/>
        <v>178</v>
      </c>
      <c r="H204">
        <f t="shared" si="13"/>
        <v>1.3733333333333333</v>
      </c>
      <c r="I204">
        <f t="shared" si="14"/>
        <v>57.87</v>
      </c>
      <c r="J204">
        <f t="shared" si="15"/>
        <v>42.13</v>
      </c>
    </row>
    <row r="205" spans="1:10" x14ac:dyDescent="0.3">
      <c r="A205" s="3" t="s">
        <v>454</v>
      </c>
      <c r="B205" s="3" t="s">
        <v>394</v>
      </c>
      <c r="C205" s="3" t="s">
        <v>443</v>
      </c>
      <c r="D205" s="3" t="s">
        <v>461</v>
      </c>
      <c r="E205" s="3">
        <v>87</v>
      </c>
      <c r="F205" s="3">
        <v>97</v>
      </c>
      <c r="G205">
        <f t="shared" si="12"/>
        <v>184</v>
      </c>
      <c r="H205">
        <f t="shared" si="13"/>
        <v>1.1149425287356323</v>
      </c>
      <c r="I205">
        <f t="shared" si="14"/>
        <v>47.28</v>
      </c>
      <c r="J205">
        <f t="shared" si="15"/>
        <v>52.72</v>
      </c>
    </row>
    <row r="206" spans="1:10" x14ac:dyDescent="0.3">
      <c r="A206" s="3" t="s">
        <v>457</v>
      </c>
      <c r="B206" s="3" t="s">
        <v>448</v>
      </c>
      <c r="C206" s="3" t="s">
        <v>460</v>
      </c>
      <c r="D206" s="3" t="s">
        <v>396</v>
      </c>
      <c r="E206" s="3">
        <v>78</v>
      </c>
      <c r="F206" s="3">
        <v>102</v>
      </c>
      <c r="G206">
        <f t="shared" si="12"/>
        <v>180</v>
      </c>
      <c r="H206">
        <f t="shared" si="13"/>
        <v>1.3076923076923077</v>
      </c>
      <c r="I206">
        <f t="shared" si="14"/>
        <v>43.33</v>
      </c>
      <c r="J206">
        <f t="shared" si="15"/>
        <v>56.67</v>
      </c>
    </row>
    <row r="207" spans="1:10" x14ac:dyDescent="0.3">
      <c r="A207" s="3" t="s">
        <v>436</v>
      </c>
      <c r="B207" s="3" t="s">
        <v>413</v>
      </c>
      <c r="C207" s="3" t="s">
        <v>418</v>
      </c>
      <c r="D207" s="3" t="s">
        <v>433</v>
      </c>
      <c r="E207" s="3">
        <v>123</v>
      </c>
      <c r="F207" s="3">
        <v>87</v>
      </c>
      <c r="G207">
        <f t="shared" si="12"/>
        <v>210</v>
      </c>
      <c r="H207">
        <f t="shared" si="13"/>
        <v>1.4137931034482758</v>
      </c>
      <c r="I207">
        <f t="shared" si="14"/>
        <v>58.57</v>
      </c>
      <c r="J207">
        <f t="shared" si="15"/>
        <v>41.43</v>
      </c>
    </row>
    <row r="208" spans="1:10" x14ac:dyDescent="0.3">
      <c r="A208" s="3" t="s">
        <v>393</v>
      </c>
      <c r="B208" s="3" t="s">
        <v>451</v>
      </c>
      <c r="C208" s="3" t="s">
        <v>437</v>
      </c>
      <c r="D208" s="3" t="s">
        <v>446</v>
      </c>
      <c r="E208" s="3">
        <v>27</v>
      </c>
      <c r="F208" s="3">
        <v>130</v>
      </c>
      <c r="G208">
        <f t="shared" si="12"/>
        <v>157</v>
      </c>
      <c r="H208">
        <f t="shared" si="13"/>
        <v>4.8148148148148149</v>
      </c>
      <c r="I208">
        <f t="shared" si="14"/>
        <v>17.2</v>
      </c>
      <c r="J208">
        <f t="shared" si="15"/>
        <v>82.8</v>
      </c>
    </row>
    <row r="209" spans="1:10" x14ac:dyDescent="0.3">
      <c r="A209" s="3" t="s">
        <v>395</v>
      </c>
      <c r="B209" s="3" t="s">
        <v>417</v>
      </c>
      <c r="C209" s="3" t="s">
        <v>401</v>
      </c>
      <c r="D209" s="3" t="s">
        <v>422</v>
      </c>
      <c r="E209" s="3">
        <v>112</v>
      </c>
      <c r="F209" s="3">
        <v>125</v>
      </c>
      <c r="G209">
        <f t="shared" si="12"/>
        <v>237</v>
      </c>
      <c r="H209">
        <f t="shared" si="13"/>
        <v>1.1160714285714286</v>
      </c>
      <c r="I209">
        <f t="shared" si="14"/>
        <v>47.26</v>
      </c>
      <c r="J209">
        <f t="shared" si="15"/>
        <v>52.74</v>
      </c>
    </row>
    <row r="210" spans="1:10" x14ac:dyDescent="0.3">
      <c r="A210" s="3" t="s">
        <v>392</v>
      </c>
      <c r="B210" s="3" t="s">
        <v>452</v>
      </c>
      <c r="C210" s="3" t="s">
        <v>398</v>
      </c>
      <c r="D210" s="3" t="s">
        <v>390</v>
      </c>
      <c r="E210" s="3">
        <v>47</v>
      </c>
      <c r="F210" s="3">
        <v>53</v>
      </c>
      <c r="G210">
        <f t="shared" si="12"/>
        <v>100</v>
      </c>
      <c r="H210">
        <f t="shared" si="13"/>
        <v>1.1276595744680851</v>
      </c>
      <c r="I210">
        <f t="shared" si="14"/>
        <v>47</v>
      </c>
      <c r="J210">
        <f t="shared" si="15"/>
        <v>53</v>
      </c>
    </row>
    <row r="211" spans="1:10" x14ac:dyDescent="0.3">
      <c r="A211" s="3" t="s">
        <v>408</v>
      </c>
      <c r="B211" s="3" t="s">
        <v>412</v>
      </c>
      <c r="C211" s="3" t="s">
        <v>429</v>
      </c>
      <c r="D211" s="3" t="s">
        <v>397</v>
      </c>
      <c r="E211" s="3">
        <v>100</v>
      </c>
      <c r="F211" s="3">
        <v>71</v>
      </c>
      <c r="G211">
        <f t="shared" si="12"/>
        <v>171</v>
      </c>
      <c r="H211">
        <f t="shared" si="13"/>
        <v>1.408450704225352</v>
      </c>
      <c r="I211">
        <f t="shared" si="14"/>
        <v>58.48</v>
      </c>
      <c r="J211">
        <f t="shared" si="15"/>
        <v>41.52</v>
      </c>
    </row>
    <row r="212" spans="1:10" x14ac:dyDescent="0.3">
      <c r="A212" s="3" t="s">
        <v>453</v>
      </c>
      <c r="B212" s="3" t="s">
        <v>419</v>
      </c>
      <c r="C212" s="3" t="s">
        <v>427</v>
      </c>
      <c r="D212" s="3" t="s">
        <v>444</v>
      </c>
      <c r="E212" s="3">
        <v>109</v>
      </c>
      <c r="F212" s="3">
        <v>109</v>
      </c>
      <c r="G212">
        <f t="shared" si="12"/>
        <v>218</v>
      </c>
      <c r="H212">
        <f t="shared" si="13"/>
        <v>1</v>
      </c>
      <c r="I212">
        <f t="shared" si="14"/>
        <v>50</v>
      </c>
      <c r="J212">
        <f t="shared" si="15"/>
        <v>50</v>
      </c>
    </row>
    <row r="213" spans="1:10" x14ac:dyDescent="0.3">
      <c r="A213" s="3" t="s">
        <v>428</v>
      </c>
      <c r="B213" s="3" t="s">
        <v>406</v>
      </c>
      <c r="C213" s="3" t="s">
        <v>431</v>
      </c>
      <c r="D213" s="3" t="s">
        <v>441</v>
      </c>
      <c r="E213" s="3">
        <v>100</v>
      </c>
      <c r="F213" s="3">
        <v>70</v>
      </c>
      <c r="G213">
        <f t="shared" si="12"/>
        <v>170</v>
      </c>
      <c r="H213">
        <f t="shared" si="13"/>
        <v>1.4285714285714286</v>
      </c>
      <c r="I213">
        <f t="shared" si="14"/>
        <v>58.82</v>
      </c>
      <c r="J213">
        <f t="shared" si="15"/>
        <v>41.18</v>
      </c>
    </row>
    <row r="214" spans="1:10" x14ac:dyDescent="0.3">
      <c r="A214" s="3" t="s">
        <v>442</v>
      </c>
      <c r="B214" s="3" t="s">
        <v>416</v>
      </c>
      <c r="C214" s="3" t="s">
        <v>407</v>
      </c>
      <c r="D214" s="3" t="s">
        <v>404</v>
      </c>
      <c r="E214" s="3">
        <v>80</v>
      </c>
      <c r="F214" s="3">
        <v>60</v>
      </c>
      <c r="G214">
        <f t="shared" si="12"/>
        <v>140</v>
      </c>
      <c r="H214">
        <f t="shared" si="13"/>
        <v>1.3333333333333333</v>
      </c>
      <c r="I214">
        <f t="shared" si="14"/>
        <v>57.14</v>
      </c>
      <c r="J214">
        <f t="shared" si="15"/>
        <v>42.86</v>
      </c>
    </row>
    <row r="215" spans="1:10" x14ac:dyDescent="0.3">
      <c r="A215" s="3" t="s">
        <v>449</v>
      </c>
      <c r="B215" s="3" t="s">
        <v>402</v>
      </c>
      <c r="C215" s="3" t="s">
        <v>421</v>
      </c>
      <c r="D215" s="3" t="s">
        <v>426</v>
      </c>
      <c r="E215" s="3">
        <v>51</v>
      </c>
      <c r="F215" s="3">
        <v>168</v>
      </c>
      <c r="G215">
        <f t="shared" si="12"/>
        <v>219</v>
      </c>
      <c r="H215">
        <f t="shared" si="13"/>
        <v>3.2941176470588234</v>
      </c>
      <c r="I215">
        <f t="shared" si="14"/>
        <v>23.29</v>
      </c>
      <c r="J215">
        <f t="shared" si="15"/>
        <v>76.709999999999994</v>
      </c>
    </row>
    <row r="216" spans="1:10" x14ac:dyDescent="0.3">
      <c r="A216" s="3" t="s">
        <v>394</v>
      </c>
      <c r="B216" s="3" t="s">
        <v>423</v>
      </c>
      <c r="C216" s="3" t="s">
        <v>403</v>
      </c>
      <c r="D216" s="3" t="s">
        <v>458</v>
      </c>
      <c r="E216" s="3">
        <v>64</v>
      </c>
      <c r="F216" s="3">
        <v>60</v>
      </c>
      <c r="G216">
        <f t="shared" si="12"/>
        <v>124</v>
      </c>
      <c r="H216">
        <f t="shared" si="13"/>
        <v>1.0666666666666667</v>
      </c>
      <c r="I216">
        <f t="shared" si="14"/>
        <v>51.61</v>
      </c>
      <c r="J216">
        <f t="shared" si="15"/>
        <v>48.39</v>
      </c>
    </row>
    <row r="217" spans="1:10" x14ac:dyDescent="0.3">
      <c r="A217" s="3" t="s">
        <v>432</v>
      </c>
      <c r="B217" s="3" t="s">
        <v>455</v>
      </c>
      <c r="C217" s="3" t="s">
        <v>424</v>
      </c>
      <c r="D217" s="3" t="s">
        <v>387</v>
      </c>
      <c r="E217" s="3">
        <v>63</v>
      </c>
      <c r="F217" s="3">
        <v>106</v>
      </c>
      <c r="G217">
        <f t="shared" si="12"/>
        <v>169</v>
      </c>
      <c r="H217">
        <f t="shared" si="13"/>
        <v>1.6825396825396826</v>
      </c>
      <c r="I217">
        <f t="shared" si="14"/>
        <v>37.28</v>
      </c>
      <c r="J217">
        <f t="shared" si="15"/>
        <v>62.72</v>
      </c>
    </row>
    <row r="218" spans="1:10" x14ac:dyDescent="0.3">
      <c r="A218" s="3" t="s">
        <v>439</v>
      </c>
      <c r="B218" s="3" t="s">
        <v>434</v>
      </c>
      <c r="C218" s="3" t="s">
        <v>456</v>
      </c>
      <c r="D218" s="3" t="s">
        <v>388</v>
      </c>
      <c r="E218" s="3">
        <v>56</v>
      </c>
      <c r="F218" s="3">
        <v>56</v>
      </c>
      <c r="G218">
        <f t="shared" si="12"/>
        <v>112</v>
      </c>
      <c r="H218">
        <f t="shared" si="13"/>
        <v>1</v>
      </c>
      <c r="I218">
        <f t="shared" si="14"/>
        <v>50</v>
      </c>
      <c r="J218">
        <f t="shared" si="15"/>
        <v>50</v>
      </c>
    </row>
    <row r="219" spans="1:10" x14ac:dyDescent="0.3">
      <c r="A219" s="3" t="s">
        <v>438</v>
      </c>
      <c r="B219" s="3" t="s">
        <v>411</v>
      </c>
      <c r="C219" s="3" t="s">
        <v>409</v>
      </c>
      <c r="D219" s="3" t="s">
        <v>447</v>
      </c>
      <c r="E219" s="3">
        <v>77</v>
      </c>
      <c r="F219" s="3">
        <v>63</v>
      </c>
      <c r="G219">
        <f t="shared" si="12"/>
        <v>140</v>
      </c>
      <c r="H219">
        <f t="shared" si="13"/>
        <v>1.2222222222222223</v>
      </c>
      <c r="I219">
        <f t="shared" si="14"/>
        <v>55</v>
      </c>
      <c r="J219">
        <f t="shared" si="15"/>
        <v>45</v>
      </c>
    </row>
    <row r="220" spans="1:10" x14ac:dyDescent="0.3">
      <c r="A220" s="3" t="s">
        <v>389</v>
      </c>
      <c r="B220" s="3" t="s">
        <v>414</v>
      </c>
      <c r="C220" s="3" t="s">
        <v>399</v>
      </c>
      <c r="D220" s="3" t="s">
        <v>454</v>
      </c>
      <c r="E220" s="3">
        <v>98</v>
      </c>
      <c r="F220" s="3">
        <v>37</v>
      </c>
      <c r="G220">
        <f t="shared" si="12"/>
        <v>135</v>
      </c>
      <c r="H220">
        <f t="shared" si="13"/>
        <v>2.6486486486486487</v>
      </c>
      <c r="I220">
        <f t="shared" si="14"/>
        <v>72.59</v>
      </c>
      <c r="J220">
        <f t="shared" si="15"/>
        <v>27.41</v>
      </c>
    </row>
    <row r="221" spans="1:10" x14ac:dyDescent="0.3">
      <c r="A221" s="3" t="s">
        <v>444</v>
      </c>
      <c r="B221" s="3" t="s">
        <v>417</v>
      </c>
      <c r="C221" s="3" t="s">
        <v>437</v>
      </c>
      <c r="D221" s="3" t="s">
        <v>392</v>
      </c>
      <c r="E221" s="3">
        <v>57</v>
      </c>
      <c r="F221" s="3">
        <v>99</v>
      </c>
      <c r="G221">
        <f t="shared" si="12"/>
        <v>156</v>
      </c>
      <c r="H221">
        <f t="shared" si="13"/>
        <v>1.736842105263158</v>
      </c>
      <c r="I221">
        <f t="shared" si="14"/>
        <v>36.54</v>
      </c>
      <c r="J221">
        <f t="shared" si="15"/>
        <v>63.46</v>
      </c>
    </row>
    <row r="222" spans="1:10" x14ac:dyDescent="0.3">
      <c r="A222" s="3" t="s">
        <v>428</v>
      </c>
      <c r="B222" s="3" t="s">
        <v>418</v>
      </c>
      <c r="C222" s="3" t="s">
        <v>408</v>
      </c>
      <c r="D222" s="3" t="s">
        <v>422</v>
      </c>
      <c r="E222" s="3">
        <v>123</v>
      </c>
      <c r="F222" s="3">
        <v>80</v>
      </c>
      <c r="G222">
        <f t="shared" si="12"/>
        <v>203</v>
      </c>
      <c r="H222">
        <f t="shared" si="13"/>
        <v>1.5375000000000001</v>
      </c>
      <c r="I222">
        <f t="shared" si="14"/>
        <v>60.59</v>
      </c>
      <c r="J222">
        <f t="shared" si="15"/>
        <v>39.409999999999997</v>
      </c>
    </row>
    <row r="223" spans="1:10" x14ac:dyDescent="0.3">
      <c r="A223" s="3" t="s">
        <v>403</v>
      </c>
      <c r="B223" s="3" t="s">
        <v>421</v>
      </c>
      <c r="C223" s="3" t="s">
        <v>419</v>
      </c>
      <c r="D223" s="3" t="s">
        <v>431</v>
      </c>
      <c r="E223" s="3">
        <v>135</v>
      </c>
      <c r="F223" s="3">
        <v>42</v>
      </c>
      <c r="G223">
        <f t="shared" si="12"/>
        <v>177</v>
      </c>
      <c r="H223">
        <f t="shared" si="13"/>
        <v>3.2142857142857144</v>
      </c>
      <c r="I223">
        <f t="shared" si="14"/>
        <v>76.27</v>
      </c>
      <c r="J223">
        <f t="shared" si="15"/>
        <v>23.73</v>
      </c>
    </row>
    <row r="224" spans="1:10" x14ac:dyDescent="0.3">
      <c r="A224" s="3" t="s">
        <v>442</v>
      </c>
      <c r="B224" s="3" t="s">
        <v>433</v>
      </c>
      <c r="C224" s="3" t="s">
        <v>446</v>
      </c>
      <c r="D224" s="3" t="s">
        <v>401</v>
      </c>
      <c r="E224" s="3">
        <v>72</v>
      </c>
      <c r="F224" s="3">
        <v>132</v>
      </c>
      <c r="G224">
        <f t="shared" si="12"/>
        <v>204</v>
      </c>
      <c r="H224">
        <f t="shared" si="13"/>
        <v>1.8333333333333333</v>
      </c>
      <c r="I224">
        <f t="shared" si="14"/>
        <v>35.29</v>
      </c>
      <c r="J224">
        <f t="shared" si="15"/>
        <v>64.709999999999994</v>
      </c>
    </row>
    <row r="225" spans="1:10" x14ac:dyDescent="0.3">
      <c r="A225" s="3" t="s">
        <v>426</v>
      </c>
      <c r="B225" s="3" t="s">
        <v>416</v>
      </c>
      <c r="C225" s="3" t="s">
        <v>406</v>
      </c>
      <c r="D225" s="3" t="s">
        <v>412</v>
      </c>
      <c r="E225" s="3">
        <v>135</v>
      </c>
      <c r="F225" s="3">
        <v>22</v>
      </c>
      <c r="G225">
        <f t="shared" si="12"/>
        <v>157</v>
      </c>
      <c r="H225">
        <f t="shared" si="13"/>
        <v>6.1363636363636367</v>
      </c>
      <c r="I225">
        <f t="shared" si="14"/>
        <v>85.99</v>
      </c>
      <c r="J225">
        <f t="shared" si="15"/>
        <v>14.01</v>
      </c>
    </row>
    <row r="226" spans="1:10" x14ac:dyDescent="0.3">
      <c r="A226" s="3" t="s">
        <v>451</v>
      </c>
      <c r="B226" s="3" t="s">
        <v>434</v>
      </c>
      <c r="C226" s="3" t="s">
        <v>457</v>
      </c>
      <c r="D226" s="3" t="s">
        <v>407</v>
      </c>
      <c r="E226" s="3">
        <v>49</v>
      </c>
      <c r="F226" s="3">
        <v>114</v>
      </c>
      <c r="G226">
        <f t="shared" si="12"/>
        <v>163</v>
      </c>
      <c r="H226">
        <f t="shared" si="13"/>
        <v>2.3265306122448979</v>
      </c>
      <c r="I226">
        <f t="shared" si="14"/>
        <v>30.06</v>
      </c>
      <c r="J226">
        <f t="shared" si="15"/>
        <v>69.94</v>
      </c>
    </row>
    <row r="227" spans="1:10" x14ac:dyDescent="0.3">
      <c r="A227" s="3" t="s">
        <v>397</v>
      </c>
      <c r="B227" s="3" t="s">
        <v>448</v>
      </c>
      <c r="C227" s="3" t="s">
        <v>409</v>
      </c>
      <c r="D227" s="3" t="s">
        <v>456</v>
      </c>
      <c r="E227" s="3">
        <v>82</v>
      </c>
      <c r="F227" s="3">
        <v>62</v>
      </c>
      <c r="G227">
        <f t="shared" si="12"/>
        <v>144</v>
      </c>
      <c r="H227">
        <f t="shared" si="13"/>
        <v>1.3225806451612903</v>
      </c>
      <c r="I227">
        <f t="shared" si="14"/>
        <v>56.94</v>
      </c>
      <c r="J227">
        <f t="shared" si="15"/>
        <v>43.06</v>
      </c>
    </row>
    <row r="228" spans="1:10" x14ac:dyDescent="0.3">
      <c r="A228" s="3" t="s">
        <v>461</v>
      </c>
      <c r="B228" s="3" t="s">
        <v>453</v>
      </c>
      <c r="C228" s="3" t="s">
        <v>389</v>
      </c>
      <c r="D228" s="3" t="s">
        <v>424</v>
      </c>
      <c r="E228" s="3">
        <v>97</v>
      </c>
      <c r="F228" s="3">
        <v>65</v>
      </c>
      <c r="G228">
        <f t="shared" si="12"/>
        <v>162</v>
      </c>
      <c r="H228">
        <f t="shared" si="13"/>
        <v>1.4923076923076923</v>
      </c>
      <c r="I228">
        <f t="shared" si="14"/>
        <v>59.88</v>
      </c>
      <c r="J228">
        <f t="shared" si="15"/>
        <v>40.119999999999997</v>
      </c>
    </row>
    <row r="229" spans="1:10" x14ac:dyDescent="0.3">
      <c r="A229" s="3" t="s">
        <v>411</v>
      </c>
      <c r="B229" s="3" t="s">
        <v>452</v>
      </c>
      <c r="C229" s="3" t="s">
        <v>455</v>
      </c>
      <c r="D229" s="3" t="s">
        <v>394</v>
      </c>
      <c r="E229" s="3">
        <v>82</v>
      </c>
      <c r="F229" s="3">
        <v>115</v>
      </c>
      <c r="G229">
        <f t="shared" si="12"/>
        <v>197</v>
      </c>
      <c r="H229">
        <f t="shared" si="13"/>
        <v>1.4024390243902438</v>
      </c>
      <c r="I229">
        <f t="shared" si="14"/>
        <v>41.62</v>
      </c>
      <c r="J229">
        <f t="shared" si="15"/>
        <v>58.38</v>
      </c>
    </row>
    <row r="230" spans="1:10" x14ac:dyDescent="0.3">
      <c r="A230" s="3" t="s">
        <v>396</v>
      </c>
      <c r="B230" s="3" t="s">
        <v>432</v>
      </c>
      <c r="C230" s="3" t="s">
        <v>427</v>
      </c>
      <c r="D230" s="3" t="s">
        <v>402</v>
      </c>
      <c r="E230" s="3">
        <v>67</v>
      </c>
      <c r="F230" s="3">
        <v>88</v>
      </c>
      <c r="G230">
        <f t="shared" si="12"/>
        <v>155</v>
      </c>
      <c r="H230">
        <f t="shared" si="13"/>
        <v>1.3134328358208955</v>
      </c>
      <c r="I230">
        <f t="shared" si="14"/>
        <v>43.23</v>
      </c>
      <c r="J230">
        <f t="shared" si="15"/>
        <v>56.77</v>
      </c>
    </row>
    <row r="231" spans="1:10" x14ac:dyDescent="0.3">
      <c r="A231" s="3" t="s">
        <v>404</v>
      </c>
      <c r="B231" s="3" t="s">
        <v>449</v>
      </c>
      <c r="C231" s="3" t="s">
        <v>438</v>
      </c>
      <c r="D231" s="3" t="s">
        <v>413</v>
      </c>
      <c r="E231" s="3">
        <v>97</v>
      </c>
      <c r="F231" s="3">
        <v>119</v>
      </c>
      <c r="G231">
        <f t="shared" si="12"/>
        <v>216</v>
      </c>
      <c r="H231">
        <f t="shared" si="13"/>
        <v>1.2268041237113403</v>
      </c>
      <c r="I231">
        <f t="shared" si="14"/>
        <v>44.91</v>
      </c>
      <c r="J231">
        <f t="shared" si="15"/>
        <v>55.09</v>
      </c>
    </row>
    <row r="232" spans="1:10" x14ac:dyDescent="0.3">
      <c r="A232" s="3" t="s">
        <v>395</v>
      </c>
      <c r="B232" s="3" t="s">
        <v>436</v>
      </c>
      <c r="C232" s="3" t="s">
        <v>387</v>
      </c>
      <c r="D232" s="3" t="s">
        <v>443</v>
      </c>
      <c r="E232" s="3">
        <v>90</v>
      </c>
      <c r="F232" s="3">
        <v>46</v>
      </c>
      <c r="G232">
        <f t="shared" si="12"/>
        <v>136</v>
      </c>
      <c r="H232">
        <f t="shared" si="13"/>
        <v>1.9565217391304348</v>
      </c>
      <c r="I232">
        <f t="shared" si="14"/>
        <v>66.180000000000007</v>
      </c>
      <c r="J232">
        <f t="shared" si="15"/>
        <v>33.82</v>
      </c>
    </row>
    <row r="233" spans="1:10" x14ac:dyDescent="0.3">
      <c r="A233" s="3" t="s">
        <v>390</v>
      </c>
      <c r="B233" s="3" t="s">
        <v>414</v>
      </c>
      <c r="C233" s="3" t="s">
        <v>441</v>
      </c>
      <c r="D233" s="3" t="s">
        <v>458</v>
      </c>
      <c r="E233" s="3">
        <v>107</v>
      </c>
      <c r="F233" s="3">
        <v>72</v>
      </c>
      <c r="G233">
        <f t="shared" si="12"/>
        <v>179</v>
      </c>
      <c r="H233">
        <f t="shared" si="13"/>
        <v>1.4861111111111112</v>
      </c>
      <c r="I233">
        <f t="shared" si="14"/>
        <v>59.78</v>
      </c>
      <c r="J233">
        <f t="shared" si="15"/>
        <v>40.22</v>
      </c>
    </row>
    <row r="234" spans="1:10" x14ac:dyDescent="0.3">
      <c r="A234" s="3" t="s">
        <v>393</v>
      </c>
      <c r="B234" s="3" t="s">
        <v>399</v>
      </c>
      <c r="C234" s="3" t="s">
        <v>423</v>
      </c>
      <c r="D234" s="3" t="s">
        <v>439</v>
      </c>
      <c r="E234" s="3">
        <v>114</v>
      </c>
      <c r="F234" s="3">
        <v>106</v>
      </c>
      <c r="G234">
        <f t="shared" si="12"/>
        <v>220</v>
      </c>
      <c r="H234">
        <f t="shared" si="13"/>
        <v>1.0754716981132075</v>
      </c>
      <c r="I234">
        <f t="shared" si="14"/>
        <v>51.82</v>
      </c>
      <c r="J234">
        <f t="shared" si="15"/>
        <v>48.18</v>
      </c>
    </row>
    <row r="235" spans="1:10" x14ac:dyDescent="0.3">
      <c r="A235" s="3" t="s">
        <v>460</v>
      </c>
      <c r="B235" s="3" t="s">
        <v>447</v>
      </c>
      <c r="C235" s="3" t="s">
        <v>398</v>
      </c>
      <c r="D235" s="3" t="s">
        <v>388</v>
      </c>
      <c r="E235" s="3">
        <v>81</v>
      </c>
      <c r="F235" s="3">
        <v>74</v>
      </c>
      <c r="G235">
        <f t="shared" si="12"/>
        <v>155</v>
      </c>
      <c r="H235">
        <f t="shared" si="13"/>
        <v>1.0945945945945945</v>
      </c>
      <c r="I235">
        <f t="shared" si="14"/>
        <v>52.26</v>
      </c>
      <c r="J235">
        <f t="shared" si="15"/>
        <v>47.74</v>
      </c>
    </row>
    <row r="236" spans="1:10" x14ac:dyDescent="0.3">
      <c r="A236" s="3" t="s">
        <v>429</v>
      </c>
      <c r="B236" s="3" t="s">
        <v>454</v>
      </c>
      <c r="C236" s="3" t="s">
        <v>401</v>
      </c>
      <c r="D236" s="3" t="s">
        <v>418</v>
      </c>
      <c r="E236" s="3">
        <v>150</v>
      </c>
      <c r="F236" s="3">
        <v>71</v>
      </c>
      <c r="G236">
        <f t="shared" si="12"/>
        <v>221</v>
      </c>
      <c r="H236">
        <f t="shared" si="13"/>
        <v>2.112676056338028</v>
      </c>
      <c r="I236">
        <f t="shared" si="14"/>
        <v>67.87</v>
      </c>
      <c r="J236">
        <f t="shared" si="15"/>
        <v>32.130000000000003</v>
      </c>
    </row>
    <row r="237" spans="1:10" x14ac:dyDescent="0.3">
      <c r="A237" s="3" t="s">
        <v>461</v>
      </c>
      <c r="B237" s="3" t="s">
        <v>451</v>
      </c>
      <c r="C237" s="3" t="s">
        <v>428</v>
      </c>
      <c r="D237" s="3" t="s">
        <v>411</v>
      </c>
      <c r="E237" s="3">
        <v>54</v>
      </c>
      <c r="F237" s="3">
        <v>95</v>
      </c>
      <c r="G237">
        <f t="shared" si="12"/>
        <v>149</v>
      </c>
      <c r="H237">
        <f t="shared" si="13"/>
        <v>1.7592592592592593</v>
      </c>
      <c r="I237">
        <f t="shared" si="14"/>
        <v>36.24</v>
      </c>
      <c r="J237">
        <f t="shared" si="15"/>
        <v>63.76</v>
      </c>
    </row>
    <row r="238" spans="1:10" x14ac:dyDescent="0.3">
      <c r="A238" s="3" t="s">
        <v>413</v>
      </c>
      <c r="B238" s="3" t="s">
        <v>456</v>
      </c>
      <c r="C238" s="3" t="s">
        <v>406</v>
      </c>
      <c r="D238" s="3" t="s">
        <v>446</v>
      </c>
      <c r="E238" s="3">
        <v>39</v>
      </c>
      <c r="F238" s="3">
        <v>223</v>
      </c>
      <c r="G238">
        <f t="shared" si="12"/>
        <v>262</v>
      </c>
      <c r="H238">
        <f t="shared" si="13"/>
        <v>5.7179487179487181</v>
      </c>
      <c r="I238">
        <f t="shared" si="14"/>
        <v>14.89</v>
      </c>
      <c r="J238">
        <f t="shared" si="15"/>
        <v>85.11</v>
      </c>
    </row>
    <row r="239" spans="1:10" x14ac:dyDescent="0.3">
      <c r="A239" s="3" t="s">
        <v>389</v>
      </c>
      <c r="B239" s="3" t="s">
        <v>438</v>
      </c>
      <c r="C239" s="3" t="s">
        <v>431</v>
      </c>
      <c r="D239" s="3" t="s">
        <v>452</v>
      </c>
      <c r="E239" s="3">
        <v>120</v>
      </c>
      <c r="F239" s="3">
        <v>37</v>
      </c>
      <c r="G239">
        <f t="shared" si="12"/>
        <v>157</v>
      </c>
      <c r="H239">
        <f t="shared" si="13"/>
        <v>3.2432432432432434</v>
      </c>
      <c r="I239">
        <f t="shared" si="14"/>
        <v>76.430000000000007</v>
      </c>
      <c r="J239">
        <f t="shared" si="15"/>
        <v>23.57</v>
      </c>
    </row>
    <row r="240" spans="1:10" x14ac:dyDescent="0.3">
      <c r="A240" s="3" t="s">
        <v>387</v>
      </c>
      <c r="B240" s="3" t="s">
        <v>402</v>
      </c>
      <c r="C240" s="3" t="s">
        <v>457</v>
      </c>
      <c r="D240" s="3" t="s">
        <v>408</v>
      </c>
      <c r="E240" s="3">
        <v>84</v>
      </c>
      <c r="F240" s="3">
        <v>93</v>
      </c>
      <c r="G240">
        <f t="shared" si="12"/>
        <v>177</v>
      </c>
      <c r="H240">
        <f t="shared" si="13"/>
        <v>1.1071428571428572</v>
      </c>
      <c r="I240">
        <f t="shared" si="14"/>
        <v>47.46</v>
      </c>
      <c r="J240">
        <f t="shared" si="15"/>
        <v>52.54</v>
      </c>
    </row>
    <row r="241" spans="1:10" x14ac:dyDescent="0.3">
      <c r="A241" s="3" t="s">
        <v>409</v>
      </c>
      <c r="B241" s="3" t="s">
        <v>396</v>
      </c>
      <c r="C241" s="3" t="s">
        <v>444</v>
      </c>
      <c r="D241" s="3" t="s">
        <v>436</v>
      </c>
      <c r="E241" s="3">
        <v>74</v>
      </c>
      <c r="F241" s="3">
        <v>104</v>
      </c>
      <c r="G241">
        <f t="shared" si="12"/>
        <v>178</v>
      </c>
      <c r="H241">
        <f t="shared" si="13"/>
        <v>1.4054054054054055</v>
      </c>
      <c r="I241">
        <f t="shared" si="14"/>
        <v>41.57</v>
      </c>
      <c r="J241">
        <f t="shared" si="15"/>
        <v>58.43</v>
      </c>
    </row>
    <row r="242" spans="1:10" x14ac:dyDescent="0.3">
      <c r="A242" s="3" t="s">
        <v>423</v>
      </c>
      <c r="B242" s="3" t="s">
        <v>426</v>
      </c>
      <c r="C242" s="3" t="s">
        <v>442</v>
      </c>
      <c r="D242" s="3" t="s">
        <v>437</v>
      </c>
      <c r="E242" s="3">
        <v>80</v>
      </c>
      <c r="F242" s="3">
        <v>109</v>
      </c>
      <c r="G242">
        <f t="shared" si="12"/>
        <v>189</v>
      </c>
      <c r="H242">
        <f t="shared" si="13"/>
        <v>1.3625</v>
      </c>
      <c r="I242">
        <f t="shared" si="14"/>
        <v>42.33</v>
      </c>
      <c r="J242">
        <f t="shared" si="15"/>
        <v>57.67</v>
      </c>
    </row>
    <row r="243" spans="1:10" x14ac:dyDescent="0.3">
      <c r="A243" s="3" t="s">
        <v>449</v>
      </c>
      <c r="B243" s="3" t="s">
        <v>424</v>
      </c>
      <c r="C243" s="3" t="s">
        <v>439</v>
      </c>
      <c r="D243" s="3" t="s">
        <v>417</v>
      </c>
      <c r="E243" s="3">
        <v>111</v>
      </c>
      <c r="F243" s="3">
        <v>39</v>
      </c>
      <c r="G243">
        <f t="shared" si="12"/>
        <v>150</v>
      </c>
      <c r="H243">
        <f t="shared" si="13"/>
        <v>2.8461538461538463</v>
      </c>
      <c r="I243">
        <f t="shared" si="14"/>
        <v>74</v>
      </c>
      <c r="J243">
        <f t="shared" si="15"/>
        <v>26</v>
      </c>
    </row>
    <row r="244" spans="1:10" x14ac:dyDescent="0.3">
      <c r="A244" s="3" t="s">
        <v>404</v>
      </c>
      <c r="B244" s="3" t="s">
        <v>388</v>
      </c>
      <c r="C244" s="3" t="s">
        <v>399</v>
      </c>
      <c r="D244" s="3" t="s">
        <v>453</v>
      </c>
      <c r="E244" s="3">
        <v>74</v>
      </c>
      <c r="F244" s="3">
        <v>123</v>
      </c>
      <c r="G244">
        <f t="shared" si="12"/>
        <v>197</v>
      </c>
      <c r="H244">
        <f t="shared" si="13"/>
        <v>1.6621621621621621</v>
      </c>
      <c r="I244">
        <f t="shared" si="14"/>
        <v>37.56</v>
      </c>
      <c r="J244">
        <f t="shared" si="15"/>
        <v>62.44</v>
      </c>
    </row>
    <row r="245" spans="1:10" x14ac:dyDescent="0.3">
      <c r="A245" s="3" t="s">
        <v>394</v>
      </c>
      <c r="B245" s="3" t="s">
        <v>422</v>
      </c>
      <c r="C245" s="3" t="s">
        <v>390</v>
      </c>
      <c r="D245" s="3" t="s">
        <v>434</v>
      </c>
      <c r="E245" s="3">
        <v>106</v>
      </c>
      <c r="F245" s="3">
        <v>41</v>
      </c>
      <c r="G245">
        <f t="shared" si="12"/>
        <v>147</v>
      </c>
      <c r="H245">
        <f t="shared" si="13"/>
        <v>2.5853658536585367</v>
      </c>
      <c r="I245">
        <f t="shared" si="14"/>
        <v>72.11</v>
      </c>
      <c r="J245">
        <f t="shared" si="15"/>
        <v>27.89</v>
      </c>
    </row>
    <row r="246" spans="1:10" x14ac:dyDescent="0.3">
      <c r="A246" s="3" t="s">
        <v>427</v>
      </c>
      <c r="B246" s="3" t="s">
        <v>443</v>
      </c>
      <c r="C246" s="3" t="s">
        <v>448</v>
      </c>
      <c r="D246" s="3" t="s">
        <v>392</v>
      </c>
      <c r="E246" s="3">
        <v>87</v>
      </c>
      <c r="F246" s="3">
        <v>104</v>
      </c>
      <c r="G246">
        <f t="shared" si="12"/>
        <v>191</v>
      </c>
      <c r="H246">
        <f t="shared" si="13"/>
        <v>1.1954022988505748</v>
      </c>
      <c r="I246">
        <f t="shared" si="14"/>
        <v>45.55</v>
      </c>
      <c r="J246">
        <f t="shared" si="15"/>
        <v>54.45</v>
      </c>
    </row>
    <row r="247" spans="1:10" x14ac:dyDescent="0.3">
      <c r="A247" s="3" t="s">
        <v>412</v>
      </c>
      <c r="B247" s="3" t="s">
        <v>432</v>
      </c>
      <c r="C247" s="3" t="s">
        <v>419</v>
      </c>
      <c r="D247" s="3" t="s">
        <v>454</v>
      </c>
      <c r="E247" s="3">
        <v>58</v>
      </c>
      <c r="F247" s="3">
        <v>120</v>
      </c>
      <c r="G247">
        <f t="shared" si="12"/>
        <v>178</v>
      </c>
      <c r="H247">
        <f t="shared" si="13"/>
        <v>2.0689655172413794</v>
      </c>
      <c r="I247">
        <f t="shared" si="14"/>
        <v>32.58</v>
      </c>
      <c r="J247">
        <f t="shared" si="15"/>
        <v>67.42</v>
      </c>
    </row>
    <row r="248" spans="1:10" x14ac:dyDescent="0.3">
      <c r="A248" s="3" t="s">
        <v>447</v>
      </c>
      <c r="B248" s="3" t="s">
        <v>458</v>
      </c>
      <c r="C248" s="3" t="s">
        <v>421</v>
      </c>
      <c r="D248" s="3" t="s">
        <v>433</v>
      </c>
      <c r="E248" s="3">
        <v>83</v>
      </c>
      <c r="F248" s="3">
        <v>138</v>
      </c>
      <c r="G248">
        <f t="shared" si="12"/>
        <v>221</v>
      </c>
      <c r="H248">
        <f t="shared" si="13"/>
        <v>1.6626506024096386</v>
      </c>
      <c r="I248">
        <f t="shared" si="14"/>
        <v>37.56</v>
      </c>
      <c r="J248">
        <f t="shared" si="15"/>
        <v>62.44</v>
      </c>
    </row>
    <row r="249" spans="1:10" x14ac:dyDescent="0.3">
      <c r="A249" s="3" t="s">
        <v>407</v>
      </c>
      <c r="B249" s="3" t="s">
        <v>414</v>
      </c>
      <c r="C249" s="3" t="s">
        <v>395</v>
      </c>
      <c r="D249" s="3" t="s">
        <v>429</v>
      </c>
      <c r="E249" s="3">
        <v>103</v>
      </c>
      <c r="F249" s="3">
        <v>80</v>
      </c>
      <c r="G249">
        <f t="shared" si="12"/>
        <v>183</v>
      </c>
      <c r="H249">
        <f t="shared" si="13"/>
        <v>1.2875000000000001</v>
      </c>
      <c r="I249">
        <f t="shared" si="14"/>
        <v>56.28</v>
      </c>
      <c r="J249">
        <f t="shared" si="15"/>
        <v>43.72</v>
      </c>
    </row>
    <row r="250" spans="1:10" x14ac:dyDescent="0.3">
      <c r="A250" s="3" t="s">
        <v>393</v>
      </c>
      <c r="B250" s="3" t="s">
        <v>398</v>
      </c>
      <c r="C250" s="3" t="s">
        <v>416</v>
      </c>
      <c r="D250" s="3" t="s">
        <v>403</v>
      </c>
      <c r="E250" s="3">
        <v>83</v>
      </c>
      <c r="F250" s="3">
        <v>52</v>
      </c>
      <c r="G250">
        <f t="shared" si="12"/>
        <v>135</v>
      </c>
      <c r="H250">
        <f t="shared" si="13"/>
        <v>1.5961538461538463</v>
      </c>
      <c r="I250">
        <f t="shared" si="14"/>
        <v>61.48</v>
      </c>
      <c r="J250">
        <f t="shared" si="15"/>
        <v>38.520000000000003</v>
      </c>
    </row>
    <row r="251" spans="1:10" x14ac:dyDescent="0.3">
      <c r="A251" s="3" t="s">
        <v>441</v>
      </c>
      <c r="B251" s="3" t="s">
        <v>455</v>
      </c>
      <c r="C251" s="3" t="s">
        <v>460</v>
      </c>
      <c r="D251" s="3" t="s">
        <v>397</v>
      </c>
      <c r="E251" s="3">
        <v>85</v>
      </c>
      <c r="F251" s="3">
        <v>40</v>
      </c>
      <c r="G251">
        <f t="shared" si="12"/>
        <v>125</v>
      </c>
      <c r="H251">
        <f t="shared" si="13"/>
        <v>2.125</v>
      </c>
      <c r="I251">
        <f t="shared" si="14"/>
        <v>68</v>
      </c>
      <c r="J251">
        <f t="shared" si="15"/>
        <v>32</v>
      </c>
    </row>
    <row r="252" spans="1:10" x14ac:dyDescent="0.3">
      <c r="A252" s="3" t="s">
        <v>389</v>
      </c>
      <c r="B252" s="3" t="s">
        <v>442</v>
      </c>
      <c r="C252" s="3" t="s">
        <v>417</v>
      </c>
      <c r="D252" s="3" t="s">
        <v>406</v>
      </c>
      <c r="E252" s="3">
        <v>95</v>
      </c>
      <c r="F252" s="3">
        <v>60</v>
      </c>
      <c r="G252">
        <f t="shared" si="12"/>
        <v>155</v>
      </c>
      <c r="H252">
        <f t="shared" si="13"/>
        <v>1.5833333333333333</v>
      </c>
      <c r="I252">
        <f t="shared" si="14"/>
        <v>61.29</v>
      </c>
      <c r="J252">
        <f t="shared" si="15"/>
        <v>38.71</v>
      </c>
    </row>
    <row r="253" spans="1:10" x14ac:dyDescent="0.3">
      <c r="A253" s="3" t="s">
        <v>446</v>
      </c>
      <c r="B253" s="3" t="s">
        <v>439</v>
      </c>
      <c r="C253" s="3" t="s">
        <v>411</v>
      </c>
      <c r="D253" s="3" t="s">
        <v>418</v>
      </c>
      <c r="E253" s="3">
        <v>103</v>
      </c>
      <c r="F253" s="3">
        <v>37</v>
      </c>
      <c r="G253">
        <f t="shared" si="12"/>
        <v>140</v>
      </c>
      <c r="H253">
        <f t="shared" si="13"/>
        <v>2.7837837837837838</v>
      </c>
      <c r="I253">
        <f t="shared" si="14"/>
        <v>73.569999999999993</v>
      </c>
      <c r="J253">
        <f t="shared" si="15"/>
        <v>26.43</v>
      </c>
    </row>
    <row r="254" spans="1:10" x14ac:dyDescent="0.3">
      <c r="A254" s="3" t="s">
        <v>401</v>
      </c>
      <c r="B254" s="3" t="s">
        <v>399</v>
      </c>
      <c r="C254" s="3" t="s">
        <v>438</v>
      </c>
      <c r="D254" s="3" t="s">
        <v>392</v>
      </c>
      <c r="E254" s="3">
        <v>118</v>
      </c>
      <c r="F254" s="3">
        <v>64</v>
      </c>
      <c r="G254">
        <f t="shared" si="12"/>
        <v>182</v>
      </c>
      <c r="H254">
        <f t="shared" si="13"/>
        <v>1.84375</v>
      </c>
      <c r="I254">
        <f t="shared" si="14"/>
        <v>64.84</v>
      </c>
      <c r="J254">
        <f t="shared" si="15"/>
        <v>35.159999999999997</v>
      </c>
    </row>
    <row r="255" spans="1:10" x14ac:dyDescent="0.3">
      <c r="A255" s="3" t="s">
        <v>388</v>
      </c>
      <c r="B255" s="3" t="s">
        <v>426</v>
      </c>
      <c r="C255" s="3" t="s">
        <v>454</v>
      </c>
      <c r="D255" s="3" t="s">
        <v>424</v>
      </c>
      <c r="E255" s="3">
        <v>92</v>
      </c>
      <c r="F255" s="3">
        <v>54</v>
      </c>
      <c r="G255">
        <f t="shared" si="12"/>
        <v>146</v>
      </c>
      <c r="H255">
        <f t="shared" si="13"/>
        <v>1.7037037037037037</v>
      </c>
      <c r="I255">
        <f t="shared" si="14"/>
        <v>63.01</v>
      </c>
      <c r="J255">
        <f t="shared" si="15"/>
        <v>36.99</v>
      </c>
    </row>
    <row r="256" spans="1:10" x14ac:dyDescent="0.3">
      <c r="A256" s="3" t="s">
        <v>423</v>
      </c>
      <c r="B256" s="3" t="s">
        <v>443</v>
      </c>
      <c r="C256" s="3" t="s">
        <v>402</v>
      </c>
      <c r="D256" s="3" t="s">
        <v>452</v>
      </c>
      <c r="E256" s="3">
        <v>85</v>
      </c>
      <c r="F256" s="3">
        <v>40</v>
      </c>
      <c r="G256">
        <f t="shared" si="12"/>
        <v>125</v>
      </c>
      <c r="H256">
        <f t="shared" si="13"/>
        <v>2.125</v>
      </c>
      <c r="I256">
        <f t="shared" si="14"/>
        <v>68</v>
      </c>
      <c r="J256">
        <f t="shared" si="15"/>
        <v>32</v>
      </c>
    </row>
    <row r="257" spans="1:10" x14ac:dyDescent="0.3">
      <c r="A257" s="3" t="s">
        <v>461</v>
      </c>
      <c r="B257" s="3" t="s">
        <v>427</v>
      </c>
      <c r="C257" s="3" t="s">
        <v>456</v>
      </c>
      <c r="D257" s="3" t="s">
        <v>449</v>
      </c>
      <c r="E257" s="3">
        <v>130</v>
      </c>
      <c r="F257" s="3">
        <v>25</v>
      </c>
      <c r="G257">
        <f t="shared" si="12"/>
        <v>155</v>
      </c>
      <c r="H257">
        <f t="shared" si="13"/>
        <v>5.2</v>
      </c>
      <c r="I257">
        <f t="shared" si="14"/>
        <v>83.87</v>
      </c>
      <c r="J257">
        <f t="shared" si="15"/>
        <v>16.13</v>
      </c>
    </row>
    <row r="258" spans="1:10" x14ac:dyDescent="0.3">
      <c r="A258" s="3" t="s">
        <v>395</v>
      </c>
      <c r="B258" s="3" t="s">
        <v>421</v>
      </c>
      <c r="C258" s="3" t="s">
        <v>428</v>
      </c>
      <c r="D258" s="3" t="s">
        <v>390</v>
      </c>
      <c r="E258" s="3">
        <v>87</v>
      </c>
      <c r="F258" s="3">
        <v>53</v>
      </c>
      <c r="G258">
        <f t="shared" si="12"/>
        <v>140</v>
      </c>
      <c r="H258">
        <f t="shared" si="13"/>
        <v>1.6415094339622642</v>
      </c>
      <c r="I258">
        <f t="shared" si="14"/>
        <v>62.14</v>
      </c>
      <c r="J258">
        <f t="shared" si="15"/>
        <v>37.86</v>
      </c>
    </row>
    <row r="259" spans="1:10" x14ac:dyDescent="0.3">
      <c r="A259" s="3" t="s">
        <v>408</v>
      </c>
      <c r="B259" s="3" t="s">
        <v>434</v>
      </c>
      <c r="C259" s="3" t="s">
        <v>393</v>
      </c>
      <c r="D259" s="3" t="s">
        <v>404</v>
      </c>
      <c r="E259" s="3">
        <v>100</v>
      </c>
      <c r="F259" s="3">
        <v>87</v>
      </c>
      <c r="G259">
        <f t="shared" ref="G259:G316" si="16">E259+F259</f>
        <v>187</v>
      </c>
      <c r="H259">
        <f t="shared" ref="H259:H316" si="17">IF(E259&gt;F259,E259/F259,F259/E259)</f>
        <v>1.1494252873563218</v>
      </c>
      <c r="I259">
        <f t="shared" ref="I259:I316" si="18">ROUND(E259/G259*100, 2)</f>
        <v>53.48</v>
      </c>
      <c r="J259">
        <f t="shared" ref="J259:J316" si="19">ROUND(F259/G259*100, 2)</f>
        <v>46.52</v>
      </c>
    </row>
    <row r="260" spans="1:10" x14ac:dyDescent="0.3">
      <c r="A260" s="3" t="s">
        <v>409</v>
      </c>
      <c r="B260" s="3" t="s">
        <v>437</v>
      </c>
      <c r="C260" s="3" t="s">
        <v>458</v>
      </c>
      <c r="D260" s="3" t="s">
        <v>387</v>
      </c>
      <c r="E260" s="3">
        <v>97</v>
      </c>
      <c r="F260" s="3">
        <v>79</v>
      </c>
      <c r="G260">
        <f t="shared" si="16"/>
        <v>176</v>
      </c>
      <c r="H260">
        <f t="shared" si="17"/>
        <v>1.2278481012658229</v>
      </c>
      <c r="I260">
        <f t="shared" si="18"/>
        <v>55.11</v>
      </c>
      <c r="J260">
        <f t="shared" si="19"/>
        <v>44.89</v>
      </c>
    </row>
    <row r="261" spans="1:10" x14ac:dyDescent="0.3">
      <c r="A261" s="3" t="s">
        <v>396</v>
      </c>
      <c r="B261" s="3" t="s">
        <v>413</v>
      </c>
      <c r="C261" s="3" t="s">
        <v>429</v>
      </c>
      <c r="D261" s="3" t="s">
        <v>419</v>
      </c>
      <c r="E261" s="3">
        <v>84</v>
      </c>
      <c r="F261" s="3">
        <v>86</v>
      </c>
      <c r="G261">
        <f t="shared" si="16"/>
        <v>170</v>
      </c>
      <c r="H261">
        <f t="shared" si="17"/>
        <v>1.0238095238095237</v>
      </c>
      <c r="I261">
        <f t="shared" si="18"/>
        <v>49.41</v>
      </c>
      <c r="J261">
        <f t="shared" si="19"/>
        <v>50.59</v>
      </c>
    </row>
    <row r="262" spans="1:10" x14ac:dyDescent="0.3">
      <c r="A262" s="3" t="s">
        <v>431</v>
      </c>
      <c r="B262" s="3" t="s">
        <v>457</v>
      </c>
      <c r="C262" s="3" t="s">
        <v>398</v>
      </c>
      <c r="D262" s="3" t="s">
        <v>394</v>
      </c>
      <c r="E262" s="3">
        <v>102</v>
      </c>
      <c r="F262" s="3">
        <v>105</v>
      </c>
      <c r="G262">
        <f t="shared" si="16"/>
        <v>207</v>
      </c>
      <c r="H262">
        <f t="shared" si="17"/>
        <v>1.0294117647058822</v>
      </c>
      <c r="I262">
        <f t="shared" si="18"/>
        <v>49.28</v>
      </c>
      <c r="J262">
        <f t="shared" si="19"/>
        <v>50.72</v>
      </c>
    </row>
    <row r="263" spans="1:10" x14ac:dyDescent="0.3">
      <c r="A263" s="3" t="s">
        <v>436</v>
      </c>
      <c r="B263" s="3" t="s">
        <v>460</v>
      </c>
      <c r="C263" s="3" t="s">
        <v>412</v>
      </c>
      <c r="D263" s="3" t="s">
        <v>451</v>
      </c>
      <c r="E263" s="3">
        <v>148</v>
      </c>
      <c r="F263" s="3">
        <v>86</v>
      </c>
      <c r="G263">
        <f t="shared" si="16"/>
        <v>234</v>
      </c>
      <c r="H263">
        <f t="shared" si="17"/>
        <v>1.7209302325581395</v>
      </c>
      <c r="I263">
        <f t="shared" si="18"/>
        <v>63.25</v>
      </c>
      <c r="J263">
        <f t="shared" si="19"/>
        <v>36.75</v>
      </c>
    </row>
    <row r="264" spans="1:10" x14ac:dyDescent="0.3">
      <c r="A264" s="3" t="s">
        <v>453</v>
      </c>
      <c r="B264" s="3" t="s">
        <v>416</v>
      </c>
      <c r="C264" s="3" t="s">
        <v>447</v>
      </c>
      <c r="D264" s="3" t="s">
        <v>414</v>
      </c>
      <c r="E264" s="3">
        <v>89</v>
      </c>
      <c r="F264" s="3">
        <v>77</v>
      </c>
      <c r="G264">
        <f t="shared" si="16"/>
        <v>166</v>
      </c>
      <c r="H264">
        <f t="shared" si="17"/>
        <v>1.1558441558441559</v>
      </c>
      <c r="I264">
        <f t="shared" si="18"/>
        <v>53.61</v>
      </c>
      <c r="J264">
        <f t="shared" si="19"/>
        <v>46.39</v>
      </c>
    </row>
    <row r="265" spans="1:10" x14ac:dyDescent="0.3">
      <c r="A265" s="3" t="s">
        <v>448</v>
      </c>
      <c r="B265" s="3" t="s">
        <v>422</v>
      </c>
      <c r="C265" s="3" t="s">
        <v>403</v>
      </c>
      <c r="D265" s="3" t="s">
        <v>441</v>
      </c>
      <c r="E265" s="3">
        <v>42</v>
      </c>
      <c r="F265" s="3">
        <v>75</v>
      </c>
      <c r="G265">
        <f t="shared" si="16"/>
        <v>117</v>
      </c>
      <c r="H265">
        <f t="shared" si="17"/>
        <v>1.7857142857142858</v>
      </c>
      <c r="I265">
        <f t="shared" si="18"/>
        <v>35.9</v>
      </c>
      <c r="J265">
        <f t="shared" si="19"/>
        <v>64.099999999999994</v>
      </c>
    </row>
    <row r="266" spans="1:10" x14ac:dyDescent="0.3">
      <c r="A266" s="3" t="s">
        <v>444</v>
      </c>
      <c r="B266" s="3" t="s">
        <v>397</v>
      </c>
      <c r="C266" s="3" t="s">
        <v>432</v>
      </c>
      <c r="D266" s="3" t="s">
        <v>407</v>
      </c>
      <c r="E266" s="3">
        <v>85</v>
      </c>
      <c r="F266" s="3">
        <v>92</v>
      </c>
      <c r="G266">
        <f t="shared" si="16"/>
        <v>177</v>
      </c>
      <c r="H266">
        <f t="shared" si="17"/>
        <v>1.0823529411764705</v>
      </c>
      <c r="I266">
        <f t="shared" si="18"/>
        <v>48.02</v>
      </c>
      <c r="J266">
        <f t="shared" si="19"/>
        <v>51.98</v>
      </c>
    </row>
    <row r="267" spans="1:10" x14ac:dyDescent="0.3">
      <c r="A267" s="3" t="s">
        <v>433</v>
      </c>
      <c r="B267" s="3" t="s">
        <v>455</v>
      </c>
      <c r="C267" s="3" t="s">
        <v>408</v>
      </c>
      <c r="D267" s="3" t="s">
        <v>427</v>
      </c>
      <c r="E267" s="3">
        <v>98</v>
      </c>
      <c r="F267" s="3">
        <v>92</v>
      </c>
      <c r="G267">
        <f t="shared" si="16"/>
        <v>190</v>
      </c>
      <c r="H267">
        <f t="shared" si="17"/>
        <v>1.0652173913043479</v>
      </c>
      <c r="I267">
        <f t="shared" si="18"/>
        <v>51.58</v>
      </c>
      <c r="J267">
        <f t="shared" si="19"/>
        <v>48.42</v>
      </c>
    </row>
    <row r="268" spans="1:10" x14ac:dyDescent="0.3">
      <c r="A268" s="3" t="s">
        <v>409</v>
      </c>
      <c r="B268" s="3" t="s">
        <v>390</v>
      </c>
      <c r="C268" s="3" t="s">
        <v>443</v>
      </c>
      <c r="D268" s="3" t="s">
        <v>399</v>
      </c>
      <c r="E268" s="3">
        <v>65</v>
      </c>
      <c r="F268" s="3">
        <v>106</v>
      </c>
      <c r="G268">
        <f t="shared" si="16"/>
        <v>171</v>
      </c>
      <c r="H268">
        <f t="shared" si="17"/>
        <v>1.6307692307692307</v>
      </c>
      <c r="I268">
        <f t="shared" si="18"/>
        <v>38.01</v>
      </c>
      <c r="J268">
        <f t="shared" si="19"/>
        <v>61.99</v>
      </c>
    </row>
    <row r="269" spans="1:10" x14ac:dyDescent="0.3">
      <c r="A269" s="3" t="s">
        <v>446</v>
      </c>
      <c r="B269" s="3" t="s">
        <v>417</v>
      </c>
      <c r="C269" s="3" t="s">
        <v>394</v>
      </c>
      <c r="D269" s="3" t="s">
        <v>388</v>
      </c>
      <c r="E269" s="3">
        <v>143</v>
      </c>
      <c r="F269" s="3">
        <v>60</v>
      </c>
      <c r="G269">
        <f t="shared" si="16"/>
        <v>203</v>
      </c>
      <c r="H269">
        <f t="shared" si="17"/>
        <v>2.3833333333333333</v>
      </c>
      <c r="I269">
        <f t="shared" si="18"/>
        <v>70.44</v>
      </c>
      <c r="J269">
        <f t="shared" si="19"/>
        <v>29.56</v>
      </c>
    </row>
    <row r="270" spans="1:10" x14ac:dyDescent="0.3">
      <c r="A270" s="3" t="s">
        <v>456</v>
      </c>
      <c r="B270" s="3" t="s">
        <v>418</v>
      </c>
      <c r="C270" s="3" t="s">
        <v>460</v>
      </c>
      <c r="D270" s="3" t="s">
        <v>437</v>
      </c>
      <c r="E270" s="3">
        <v>69</v>
      </c>
      <c r="F270" s="3">
        <v>131</v>
      </c>
      <c r="G270">
        <f t="shared" si="16"/>
        <v>200</v>
      </c>
      <c r="H270">
        <f t="shared" si="17"/>
        <v>1.8985507246376812</v>
      </c>
      <c r="I270">
        <f t="shared" si="18"/>
        <v>34.5</v>
      </c>
      <c r="J270">
        <f t="shared" si="19"/>
        <v>65.5</v>
      </c>
    </row>
    <row r="271" spans="1:10" x14ac:dyDescent="0.3">
      <c r="A271" s="3" t="s">
        <v>438</v>
      </c>
      <c r="B271" s="3" t="s">
        <v>414</v>
      </c>
      <c r="C271" s="3" t="s">
        <v>434</v>
      </c>
      <c r="D271" s="3" t="s">
        <v>421</v>
      </c>
      <c r="E271" s="3">
        <v>90</v>
      </c>
      <c r="F271" s="3">
        <v>112</v>
      </c>
      <c r="G271">
        <f t="shared" si="16"/>
        <v>202</v>
      </c>
      <c r="H271">
        <f t="shared" si="17"/>
        <v>1.2444444444444445</v>
      </c>
      <c r="I271">
        <f t="shared" si="18"/>
        <v>44.55</v>
      </c>
      <c r="J271">
        <f t="shared" si="19"/>
        <v>55.45</v>
      </c>
    </row>
    <row r="272" spans="1:10" x14ac:dyDescent="0.3">
      <c r="A272" s="3" t="s">
        <v>422</v>
      </c>
      <c r="B272" s="3" t="s">
        <v>442</v>
      </c>
      <c r="C272" s="3" t="s">
        <v>453</v>
      </c>
      <c r="D272" s="3" t="s">
        <v>396</v>
      </c>
      <c r="E272" s="3">
        <v>80</v>
      </c>
      <c r="F272" s="3">
        <v>80</v>
      </c>
      <c r="G272">
        <f t="shared" si="16"/>
        <v>160</v>
      </c>
      <c r="H272">
        <f t="shared" si="17"/>
        <v>1</v>
      </c>
      <c r="I272">
        <f t="shared" si="18"/>
        <v>50</v>
      </c>
      <c r="J272">
        <f t="shared" si="19"/>
        <v>50</v>
      </c>
    </row>
    <row r="273" spans="1:10" x14ac:dyDescent="0.3">
      <c r="A273" s="3" t="s">
        <v>424</v>
      </c>
      <c r="B273" s="3" t="s">
        <v>447</v>
      </c>
      <c r="C273" s="3" t="s">
        <v>397</v>
      </c>
      <c r="D273" s="3" t="s">
        <v>395</v>
      </c>
      <c r="E273" s="3">
        <v>103</v>
      </c>
      <c r="F273" s="3">
        <v>45</v>
      </c>
      <c r="G273">
        <f t="shared" si="16"/>
        <v>148</v>
      </c>
      <c r="H273">
        <f t="shared" si="17"/>
        <v>2.2888888888888888</v>
      </c>
      <c r="I273">
        <f t="shared" si="18"/>
        <v>69.59</v>
      </c>
      <c r="J273">
        <f t="shared" si="19"/>
        <v>30.41</v>
      </c>
    </row>
    <row r="274" spans="1:10" x14ac:dyDescent="0.3">
      <c r="A274" s="3" t="s">
        <v>429</v>
      </c>
      <c r="B274" s="3" t="s">
        <v>452</v>
      </c>
      <c r="C274" s="3" t="s">
        <v>406</v>
      </c>
      <c r="D274" s="3" t="s">
        <v>403</v>
      </c>
      <c r="E274" s="3">
        <v>83</v>
      </c>
      <c r="F274" s="3">
        <v>70</v>
      </c>
      <c r="G274">
        <f t="shared" si="16"/>
        <v>153</v>
      </c>
      <c r="H274">
        <f t="shared" si="17"/>
        <v>1.1857142857142857</v>
      </c>
      <c r="I274">
        <f t="shared" si="18"/>
        <v>54.25</v>
      </c>
      <c r="J274">
        <f t="shared" si="19"/>
        <v>45.75</v>
      </c>
    </row>
    <row r="275" spans="1:10" x14ac:dyDescent="0.3">
      <c r="A275" s="3" t="s">
        <v>428</v>
      </c>
      <c r="B275" s="3" t="s">
        <v>404</v>
      </c>
      <c r="C275" s="3" t="s">
        <v>412</v>
      </c>
      <c r="D275" s="3" t="s">
        <v>433</v>
      </c>
      <c r="E275" s="3">
        <v>93</v>
      </c>
      <c r="F275" s="3">
        <v>55</v>
      </c>
      <c r="G275">
        <f t="shared" si="16"/>
        <v>148</v>
      </c>
      <c r="H275">
        <f t="shared" si="17"/>
        <v>1.6909090909090909</v>
      </c>
      <c r="I275">
        <f t="shared" si="18"/>
        <v>62.84</v>
      </c>
      <c r="J275">
        <f t="shared" si="19"/>
        <v>37.159999999999997</v>
      </c>
    </row>
    <row r="276" spans="1:10" x14ac:dyDescent="0.3">
      <c r="A276" s="3" t="s">
        <v>441</v>
      </c>
      <c r="B276" s="3" t="s">
        <v>419</v>
      </c>
      <c r="C276" s="3" t="s">
        <v>461</v>
      </c>
      <c r="D276" s="3" t="s">
        <v>387</v>
      </c>
      <c r="E276" s="3">
        <v>37</v>
      </c>
      <c r="F276" s="3">
        <v>92</v>
      </c>
      <c r="G276">
        <f t="shared" si="16"/>
        <v>129</v>
      </c>
      <c r="H276">
        <f t="shared" si="17"/>
        <v>2.4864864864864864</v>
      </c>
      <c r="I276">
        <f t="shared" si="18"/>
        <v>28.68</v>
      </c>
      <c r="J276">
        <f t="shared" si="19"/>
        <v>71.319999999999993</v>
      </c>
    </row>
    <row r="277" spans="1:10" x14ac:dyDescent="0.3">
      <c r="A277" s="3" t="s">
        <v>389</v>
      </c>
      <c r="B277" s="3" t="s">
        <v>457</v>
      </c>
      <c r="C277" s="3" t="s">
        <v>449</v>
      </c>
      <c r="D277" s="3" t="s">
        <v>416</v>
      </c>
      <c r="E277" s="3">
        <v>95</v>
      </c>
      <c r="F277" s="3">
        <v>112</v>
      </c>
      <c r="G277">
        <f t="shared" si="16"/>
        <v>207</v>
      </c>
      <c r="H277">
        <f t="shared" si="17"/>
        <v>1.1789473684210525</v>
      </c>
      <c r="I277">
        <f t="shared" si="18"/>
        <v>45.89</v>
      </c>
      <c r="J277">
        <f t="shared" si="19"/>
        <v>54.11</v>
      </c>
    </row>
    <row r="278" spans="1:10" x14ac:dyDescent="0.3">
      <c r="A278" s="3" t="s">
        <v>398</v>
      </c>
      <c r="B278" s="3" t="s">
        <v>444</v>
      </c>
      <c r="C278" s="3" t="s">
        <v>423</v>
      </c>
      <c r="D278" s="3" t="s">
        <v>451</v>
      </c>
      <c r="E278" s="3">
        <v>168</v>
      </c>
      <c r="F278" s="3">
        <v>48</v>
      </c>
      <c r="G278">
        <f t="shared" si="16"/>
        <v>216</v>
      </c>
      <c r="H278">
        <f t="shared" si="17"/>
        <v>3.5</v>
      </c>
      <c r="I278">
        <f t="shared" si="18"/>
        <v>77.78</v>
      </c>
      <c r="J278">
        <f t="shared" si="19"/>
        <v>22.22</v>
      </c>
    </row>
    <row r="279" spans="1:10" x14ac:dyDescent="0.3">
      <c r="A279" s="3" t="s">
        <v>392</v>
      </c>
      <c r="B279" s="3" t="s">
        <v>432</v>
      </c>
      <c r="C279" s="3" t="s">
        <v>413</v>
      </c>
      <c r="D279" s="3" t="s">
        <v>426</v>
      </c>
      <c r="E279" s="3">
        <v>52</v>
      </c>
      <c r="F279" s="3">
        <v>62</v>
      </c>
      <c r="G279">
        <f t="shared" si="16"/>
        <v>114</v>
      </c>
      <c r="H279">
        <f t="shared" si="17"/>
        <v>1.1923076923076923</v>
      </c>
      <c r="I279">
        <f t="shared" si="18"/>
        <v>45.61</v>
      </c>
      <c r="J279">
        <f t="shared" si="19"/>
        <v>54.39</v>
      </c>
    </row>
    <row r="280" spans="1:10" x14ac:dyDescent="0.3">
      <c r="A280" s="3" t="s">
        <v>458</v>
      </c>
      <c r="B280" s="3" t="s">
        <v>411</v>
      </c>
      <c r="C280" s="3" t="s">
        <v>393</v>
      </c>
      <c r="D280" s="3" t="s">
        <v>436</v>
      </c>
      <c r="E280" s="3">
        <v>79</v>
      </c>
      <c r="F280" s="3">
        <v>111</v>
      </c>
      <c r="G280">
        <f t="shared" si="16"/>
        <v>190</v>
      </c>
      <c r="H280">
        <f t="shared" si="17"/>
        <v>1.4050632911392404</v>
      </c>
      <c r="I280">
        <f t="shared" si="18"/>
        <v>41.58</v>
      </c>
      <c r="J280">
        <f t="shared" si="19"/>
        <v>58.42</v>
      </c>
    </row>
    <row r="281" spans="1:10" x14ac:dyDescent="0.3">
      <c r="A281" s="3" t="s">
        <v>431</v>
      </c>
      <c r="B281" s="3" t="s">
        <v>454</v>
      </c>
      <c r="C281" s="3" t="s">
        <v>439</v>
      </c>
      <c r="D281" s="3" t="s">
        <v>402</v>
      </c>
      <c r="E281" s="3">
        <v>62</v>
      </c>
      <c r="F281" s="3">
        <v>22</v>
      </c>
      <c r="G281">
        <f t="shared" si="16"/>
        <v>84</v>
      </c>
      <c r="H281">
        <f t="shared" si="17"/>
        <v>2.8181818181818183</v>
      </c>
      <c r="I281">
        <f t="shared" si="18"/>
        <v>73.81</v>
      </c>
      <c r="J281">
        <f t="shared" si="19"/>
        <v>26.19</v>
      </c>
    </row>
    <row r="282" spans="1:10" x14ac:dyDescent="0.3">
      <c r="A282" s="3" t="s">
        <v>407</v>
      </c>
      <c r="B282" s="3" t="s">
        <v>401</v>
      </c>
      <c r="C282" s="3" t="s">
        <v>448</v>
      </c>
      <c r="D282" s="3" t="s">
        <v>455</v>
      </c>
      <c r="E282" s="3">
        <v>94</v>
      </c>
      <c r="F282" s="3">
        <v>70</v>
      </c>
      <c r="G282">
        <f t="shared" si="16"/>
        <v>164</v>
      </c>
      <c r="H282">
        <f t="shared" si="17"/>
        <v>1.3428571428571427</v>
      </c>
      <c r="I282">
        <f t="shared" si="18"/>
        <v>57.32</v>
      </c>
      <c r="J282">
        <f t="shared" si="19"/>
        <v>42.68</v>
      </c>
    </row>
    <row r="283" spans="1:10" x14ac:dyDescent="0.3">
      <c r="A283" s="3" t="s">
        <v>443</v>
      </c>
      <c r="B283" s="3" t="s">
        <v>412</v>
      </c>
      <c r="C283" s="3" t="s">
        <v>446</v>
      </c>
      <c r="D283" s="3" t="s">
        <v>422</v>
      </c>
      <c r="E283" s="3">
        <v>80</v>
      </c>
      <c r="F283" s="3">
        <v>123</v>
      </c>
      <c r="G283">
        <f t="shared" si="16"/>
        <v>203</v>
      </c>
      <c r="H283">
        <f t="shared" si="17"/>
        <v>1.5375000000000001</v>
      </c>
      <c r="I283">
        <f t="shared" si="18"/>
        <v>39.409999999999997</v>
      </c>
      <c r="J283">
        <f t="shared" si="19"/>
        <v>60.59</v>
      </c>
    </row>
    <row r="284" spans="1:10" x14ac:dyDescent="0.3">
      <c r="A284" s="3" t="s">
        <v>424</v>
      </c>
      <c r="B284" s="3" t="s">
        <v>429</v>
      </c>
      <c r="C284" s="3" t="s">
        <v>438</v>
      </c>
      <c r="D284" s="3" t="s">
        <v>390</v>
      </c>
      <c r="E284" s="3">
        <v>70</v>
      </c>
      <c r="F284" s="3">
        <v>47</v>
      </c>
      <c r="G284">
        <f t="shared" si="16"/>
        <v>117</v>
      </c>
      <c r="H284">
        <f t="shared" si="17"/>
        <v>1.4893617021276595</v>
      </c>
      <c r="I284">
        <f t="shared" si="18"/>
        <v>59.83</v>
      </c>
      <c r="J284">
        <f t="shared" si="19"/>
        <v>40.17</v>
      </c>
    </row>
    <row r="285" spans="1:10" x14ac:dyDescent="0.3">
      <c r="A285" s="3" t="s">
        <v>452</v>
      </c>
      <c r="B285" s="3" t="s">
        <v>416</v>
      </c>
      <c r="C285" s="3" t="s">
        <v>409</v>
      </c>
      <c r="D285" s="3" t="s">
        <v>460</v>
      </c>
      <c r="E285" s="3">
        <v>62</v>
      </c>
      <c r="F285" s="3">
        <v>105</v>
      </c>
      <c r="G285">
        <f t="shared" si="16"/>
        <v>167</v>
      </c>
      <c r="H285">
        <f t="shared" si="17"/>
        <v>1.6935483870967742</v>
      </c>
      <c r="I285">
        <f t="shared" si="18"/>
        <v>37.130000000000003</v>
      </c>
      <c r="J285">
        <f t="shared" si="19"/>
        <v>62.87</v>
      </c>
    </row>
    <row r="286" spans="1:10" x14ac:dyDescent="0.3">
      <c r="A286" s="3" t="s">
        <v>397</v>
      </c>
      <c r="B286" s="3" t="s">
        <v>421</v>
      </c>
      <c r="C286" s="3" t="s">
        <v>392</v>
      </c>
      <c r="D286" s="3" t="s">
        <v>451</v>
      </c>
      <c r="E286" s="3">
        <v>109</v>
      </c>
      <c r="F286" s="3">
        <v>87</v>
      </c>
      <c r="G286">
        <f t="shared" si="16"/>
        <v>196</v>
      </c>
      <c r="H286">
        <f t="shared" si="17"/>
        <v>1.2528735632183907</v>
      </c>
      <c r="I286">
        <f t="shared" si="18"/>
        <v>55.61</v>
      </c>
      <c r="J286">
        <f t="shared" si="19"/>
        <v>44.39</v>
      </c>
    </row>
    <row r="287" spans="1:10" x14ac:dyDescent="0.3">
      <c r="A287" s="3" t="s">
        <v>419</v>
      </c>
      <c r="B287" s="3" t="s">
        <v>398</v>
      </c>
      <c r="C287" s="3" t="s">
        <v>442</v>
      </c>
      <c r="D287" s="3" t="s">
        <v>456</v>
      </c>
      <c r="E287" s="3">
        <v>60</v>
      </c>
      <c r="F287" s="3">
        <v>80</v>
      </c>
      <c r="G287">
        <f t="shared" si="16"/>
        <v>140</v>
      </c>
      <c r="H287">
        <f t="shared" si="17"/>
        <v>1.3333333333333333</v>
      </c>
      <c r="I287">
        <f t="shared" si="18"/>
        <v>42.86</v>
      </c>
      <c r="J287">
        <f t="shared" si="19"/>
        <v>57.14</v>
      </c>
    </row>
    <row r="288" spans="1:10" x14ac:dyDescent="0.3">
      <c r="A288" s="3" t="s">
        <v>441</v>
      </c>
      <c r="B288" s="3" t="s">
        <v>427</v>
      </c>
      <c r="C288" s="3" t="s">
        <v>389</v>
      </c>
      <c r="D288" s="3" t="s">
        <v>393</v>
      </c>
      <c r="E288" s="3">
        <v>98</v>
      </c>
      <c r="F288" s="3">
        <v>90</v>
      </c>
      <c r="G288">
        <f t="shared" si="16"/>
        <v>188</v>
      </c>
      <c r="H288">
        <f t="shared" si="17"/>
        <v>1.0888888888888888</v>
      </c>
      <c r="I288">
        <f t="shared" si="18"/>
        <v>52.13</v>
      </c>
      <c r="J288">
        <f t="shared" si="19"/>
        <v>47.87</v>
      </c>
    </row>
    <row r="289" spans="1:10" x14ac:dyDescent="0.3">
      <c r="A289" s="3" t="s">
        <v>448</v>
      </c>
      <c r="B289" s="3" t="s">
        <v>388</v>
      </c>
      <c r="C289" s="3" t="s">
        <v>414</v>
      </c>
      <c r="D289" s="3" t="s">
        <v>461</v>
      </c>
      <c r="E289" s="3">
        <v>83</v>
      </c>
      <c r="F289" s="3">
        <v>87</v>
      </c>
      <c r="G289">
        <f t="shared" si="16"/>
        <v>170</v>
      </c>
      <c r="H289">
        <f t="shared" si="17"/>
        <v>1.0481927710843373</v>
      </c>
      <c r="I289">
        <f t="shared" si="18"/>
        <v>48.82</v>
      </c>
      <c r="J289">
        <f t="shared" si="19"/>
        <v>51.18</v>
      </c>
    </row>
    <row r="290" spans="1:10" x14ac:dyDescent="0.3">
      <c r="A290" s="3" t="s">
        <v>418</v>
      </c>
      <c r="B290" s="3" t="s">
        <v>449</v>
      </c>
      <c r="C290" s="3" t="s">
        <v>434</v>
      </c>
      <c r="D290" s="3" t="s">
        <v>444</v>
      </c>
      <c r="E290" s="3">
        <v>31</v>
      </c>
      <c r="F290" s="3">
        <v>90</v>
      </c>
      <c r="G290">
        <f t="shared" si="16"/>
        <v>121</v>
      </c>
      <c r="H290">
        <f t="shared" si="17"/>
        <v>2.903225806451613</v>
      </c>
      <c r="I290">
        <f t="shared" si="18"/>
        <v>25.62</v>
      </c>
      <c r="J290">
        <f t="shared" si="19"/>
        <v>74.38</v>
      </c>
    </row>
    <row r="291" spans="1:10" x14ac:dyDescent="0.3">
      <c r="A291" s="3" t="s">
        <v>406</v>
      </c>
      <c r="B291" s="3" t="s">
        <v>423</v>
      </c>
      <c r="C291" s="3" t="s">
        <v>433</v>
      </c>
      <c r="D291" s="3" t="s">
        <v>457</v>
      </c>
      <c r="E291" s="3">
        <v>43</v>
      </c>
      <c r="F291" s="3">
        <v>105</v>
      </c>
      <c r="G291">
        <f t="shared" si="16"/>
        <v>148</v>
      </c>
      <c r="H291">
        <f t="shared" si="17"/>
        <v>2.441860465116279</v>
      </c>
      <c r="I291">
        <f t="shared" si="18"/>
        <v>29.05</v>
      </c>
      <c r="J291">
        <f t="shared" si="19"/>
        <v>70.95</v>
      </c>
    </row>
    <row r="292" spans="1:10" x14ac:dyDescent="0.3">
      <c r="A292" s="3" t="s">
        <v>407</v>
      </c>
      <c r="B292" s="3" t="s">
        <v>454</v>
      </c>
      <c r="C292" s="3" t="s">
        <v>417</v>
      </c>
      <c r="D292" s="3" t="s">
        <v>447</v>
      </c>
      <c r="E292" s="3">
        <v>63</v>
      </c>
      <c r="F292" s="3">
        <v>20</v>
      </c>
      <c r="G292">
        <f t="shared" si="16"/>
        <v>83</v>
      </c>
      <c r="H292">
        <f t="shared" si="17"/>
        <v>3.15</v>
      </c>
      <c r="I292">
        <f t="shared" si="18"/>
        <v>75.900000000000006</v>
      </c>
      <c r="J292">
        <f t="shared" si="19"/>
        <v>24.1</v>
      </c>
    </row>
    <row r="293" spans="1:10" x14ac:dyDescent="0.3">
      <c r="A293" s="3" t="s">
        <v>402</v>
      </c>
      <c r="B293" s="3" t="s">
        <v>453</v>
      </c>
      <c r="C293" s="3" t="s">
        <v>436</v>
      </c>
      <c r="D293" s="3" t="s">
        <v>455</v>
      </c>
      <c r="E293" s="3">
        <v>130</v>
      </c>
      <c r="F293" s="3">
        <v>83</v>
      </c>
      <c r="G293">
        <f t="shared" si="16"/>
        <v>213</v>
      </c>
      <c r="H293">
        <f t="shared" si="17"/>
        <v>1.5662650602409638</v>
      </c>
      <c r="I293">
        <f t="shared" si="18"/>
        <v>61.03</v>
      </c>
      <c r="J293">
        <f t="shared" si="19"/>
        <v>38.97</v>
      </c>
    </row>
    <row r="294" spans="1:10" x14ac:dyDescent="0.3">
      <c r="A294" s="3" t="s">
        <v>408</v>
      </c>
      <c r="B294" s="3" t="s">
        <v>403</v>
      </c>
      <c r="C294" s="3" t="s">
        <v>399</v>
      </c>
      <c r="D294" s="3" t="s">
        <v>413</v>
      </c>
      <c r="E294" s="3">
        <v>92</v>
      </c>
      <c r="F294" s="3">
        <v>59</v>
      </c>
      <c r="G294">
        <f t="shared" si="16"/>
        <v>151</v>
      </c>
      <c r="H294">
        <f t="shared" si="17"/>
        <v>1.5593220338983051</v>
      </c>
      <c r="I294">
        <f t="shared" si="18"/>
        <v>60.93</v>
      </c>
      <c r="J294">
        <f t="shared" si="19"/>
        <v>39.07</v>
      </c>
    </row>
    <row r="295" spans="1:10" x14ac:dyDescent="0.3">
      <c r="A295" s="3" t="s">
        <v>458</v>
      </c>
      <c r="B295" s="3" t="s">
        <v>428</v>
      </c>
      <c r="C295" s="3" t="s">
        <v>439</v>
      </c>
      <c r="D295" s="3" t="s">
        <v>432</v>
      </c>
      <c r="E295" s="3">
        <v>129</v>
      </c>
      <c r="F295" s="3">
        <v>59</v>
      </c>
      <c r="G295">
        <f t="shared" si="16"/>
        <v>188</v>
      </c>
      <c r="H295">
        <f t="shared" si="17"/>
        <v>2.1864406779661016</v>
      </c>
      <c r="I295">
        <f t="shared" si="18"/>
        <v>68.62</v>
      </c>
      <c r="J295">
        <f t="shared" si="19"/>
        <v>31.38</v>
      </c>
    </row>
    <row r="296" spans="1:10" x14ac:dyDescent="0.3">
      <c r="A296" s="3" t="s">
        <v>404</v>
      </c>
      <c r="B296" s="3" t="s">
        <v>396</v>
      </c>
      <c r="C296" s="3" t="s">
        <v>395</v>
      </c>
      <c r="D296" s="3" t="s">
        <v>431</v>
      </c>
      <c r="E296" s="3">
        <v>71</v>
      </c>
      <c r="F296" s="3">
        <v>63</v>
      </c>
      <c r="G296">
        <f t="shared" si="16"/>
        <v>134</v>
      </c>
      <c r="H296">
        <f t="shared" si="17"/>
        <v>1.126984126984127</v>
      </c>
      <c r="I296">
        <f t="shared" si="18"/>
        <v>52.99</v>
      </c>
      <c r="J296">
        <f t="shared" si="19"/>
        <v>47.01</v>
      </c>
    </row>
    <row r="297" spans="1:10" x14ac:dyDescent="0.3">
      <c r="A297" s="3" t="s">
        <v>387</v>
      </c>
      <c r="B297" s="3" t="s">
        <v>411</v>
      </c>
      <c r="C297" s="3" t="s">
        <v>401</v>
      </c>
      <c r="D297" s="3" t="s">
        <v>426</v>
      </c>
      <c r="E297" s="3">
        <v>84</v>
      </c>
      <c r="F297" s="3">
        <v>127</v>
      </c>
      <c r="G297">
        <f t="shared" si="16"/>
        <v>211</v>
      </c>
      <c r="H297">
        <f t="shared" si="17"/>
        <v>1.5119047619047619</v>
      </c>
      <c r="I297">
        <f t="shared" si="18"/>
        <v>39.81</v>
      </c>
      <c r="J297">
        <f t="shared" si="19"/>
        <v>60.19</v>
      </c>
    </row>
    <row r="298" spans="1:10" x14ac:dyDescent="0.3">
      <c r="A298" s="3" t="s">
        <v>394</v>
      </c>
      <c r="B298" s="3" t="s">
        <v>437</v>
      </c>
      <c r="C298" s="3" t="s">
        <v>397</v>
      </c>
      <c r="D298" s="3" t="s">
        <v>433</v>
      </c>
      <c r="E298" s="3">
        <v>80</v>
      </c>
      <c r="F298" s="3">
        <v>96</v>
      </c>
      <c r="G298">
        <f t="shared" si="16"/>
        <v>176</v>
      </c>
      <c r="H298">
        <f t="shared" si="17"/>
        <v>1.2</v>
      </c>
      <c r="I298">
        <f t="shared" si="18"/>
        <v>45.45</v>
      </c>
      <c r="J298">
        <f t="shared" si="19"/>
        <v>54.55</v>
      </c>
    </row>
    <row r="299" spans="1:10" x14ac:dyDescent="0.3">
      <c r="A299" s="3" t="s">
        <v>446</v>
      </c>
      <c r="B299" s="3" t="s">
        <v>389</v>
      </c>
      <c r="C299" s="3" t="s">
        <v>416</v>
      </c>
      <c r="D299" s="3" t="s">
        <v>429</v>
      </c>
      <c r="E299" s="3">
        <v>163</v>
      </c>
      <c r="F299" s="3">
        <v>65</v>
      </c>
      <c r="G299">
        <f t="shared" si="16"/>
        <v>228</v>
      </c>
      <c r="H299">
        <f t="shared" si="17"/>
        <v>2.5076923076923077</v>
      </c>
      <c r="I299">
        <f t="shared" si="18"/>
        <v>71.489999999999995</v>
      </c>
      <c r="J299">
        <f t="shared" si="19"/>
        <v>28.51</v>
      </c>
    </row>
    <row r="300" spans="1:10" x14ac:dyDescent="0.3">
      <c r="A300" s="3" t="s">
        <v>428</v>
      </c>
      <c r="B300" s="3" t="s">
        <v>441</v>
      </c>
      <c r="C300" s="3" t="s">
        <v>437</v>
      </c>
      <c r="D300" s="3" t="s">
        <v>461</v>
      </c>
      <c r="E300" s="3">
        <v>103</v>
      </c>
      <c r="F300" s="3">
        <v>80</v>
      </c>
      <c r="G300">
        <f t="shared" si="16"/>
        <v>183</v>
      </c>
      <c r="H300">
        <f t="shared" si="17"/>
        <v>1.2875000000000001</v>
      </c>
      <c r="I300">
        <f t="shared" si="18"/>
        <v>56.28</v>
      </c>
      <c r="J300">
        <f t="shared" si="19"/>
        <v>43.72</v>
      </c>
    </row>
    <row r="301" spans="1:10" x14ac:dyDescent="0.3">
      <c r="A301" s="3" t="s">
        <v>436</v>
      </c>
      <c r="B301" s="3" t="s">
        <v>460</v>
      </c>
      <c r="C301" s="3" t="s">
        <v>408</v>
      </c>
      <c r="D301" s="3" t="s">
        <v>387</v>
      </c>
      <c r="E301" s="3">
        <v>103</v>
      </c>
      <c r="F301" s="3">
        <v>87</v>
      </c>
      <c r="G301">
        <f t="shared" si="16"/>
        <v>190</v>
      </c>
      <c r="H301">
        <f t="shared" si="17"/>
        <v>1.1839080459770115</v>
      </c>
      <c r="I301">
        <f t="shared" si="18"/>
        <v>54.21</v>
      </c>
      <c r="J301">
        <f t="shared" si="19"/>
        <v>45.79</v>
      </c>
    </row>
    <row r="302" spans="1:10" x14ac:dyDescent="0.3">
      <c r="A302" s="3" t="s">
        <v>398</v>
      </c>
      <c r="B302" s="3" t="s">
        <v>426</v>
      </c>
      <c r="C302" s="3" t="s">
        <v>421</v>
      </c>
      <c r="D302" s="3" t="s">
        <v>427</v>
      </c>
      <c r="E302" s="3">
        <v>65</v>
      </c>
      <c r="F302" s="3">
        <v>100</v>
      </c>
      <c r="G302">
        <f t="shared" si="16"/>
        <v>165</v>
      </c>
      <c r="H302">
        <f t="shared" si="17"/>
        <v>1.5384615384615385</v>
      </c>
      <c r="I302">
        <f t="shared" si="18"/>
        <v>39.39</v>
      </c>
      <c r="J302">
        <f t="shared" si="19"/>
        <v>60.61</v>
      </c>
    </row>
    <row r="303" spans="1:10" x14ac:dyDescent="0.3">
      <c r="A303" s="3" t="s">
        <v>446</v>
      </c>
      <c r="B303" s="3" t="s">
        <v>389</v>
      </c>
      <c r="C303" s="3" t="s">
        <v>428</v>
      </c>
      <c r="D303" s="3" t="s">
        <v>441</v>
      </c>
      <c r="E303" s="3">
        <v>105</v>
      </c>
      <c r="F303" s="3">
        <v>90</v>
      </c>
      <c r="G303">
        <f t="shared" si="16"/>
        <v>195</v>
      </c>
      <c r="H303">
        <f t="shared" si="17"/>
        <v>1.1666666666666667</v>
      </c>
      <c r="I303">
        <f t="shared" si="18"/>
        <v>53.85</v>
      </c>
      <c r="J303">
        <f t="shared" si="19"/>
        <v>46.15</v>
      </c>
    </row>
    <row r="304" spans="1:10" x14ac:dyDescent="0.3">
      <c r="A304" s="3" t="s">
        <v>436</v>
      </c>
      <c r="B304" s="3" t="s">
        <v>460</v>
      </c>
      <c r="C304" s="3" t="s">
        <v>421</v>
      </c>
      <c r="D304" s="3" t="s">
        <v>427</v>
      </c>
      <c r="E304" s="3">
        <v>85</v>
      </c>
      <c r="F304" s="3">
        <v>128</v>
      </c>
      <c r="G304">
        <f t="shared" si="16"/>
        <v>213</v>
      </c>
      <c r="H304">
        <f t="shared" si="17"/>
        <v>1.5058823529411764</v>
      </c>
      <c r="I304">
        <f t="shared" si="18"/>
        <v>39.909999999999997</v>
      </c>
      <c r="J304">
        <f t="shared" si="19"/>
        <v>60.09</v>
      </c>
    </row>
    <row r="305" spans="1:10" x14ac:dyDescent="0.3">
      <c r="A305" s="3" t="s">
        <v>446</v>
      </c>
      <c r="B305" s="3" t="s">
        <v>389</v>
      </c>
      <c r="C305" s="3" t="s">
        <v>421</v>
      </c>
      <c r="D305" s="3" t="s">
        <v>427</v>
      </c>
      <c r="E305" s="3">
        <v>158</v>
      </c>
      <c r="F305" s="3">
        <v>90</v>
      </c>
      <c r="G305">
        <f t="shared" si="16"/>
        <v>248</v>
      </c>
      <c r="H305">
        <f t="shared" si="17"/>
        <v>1.7555555555555555</v>
      </c>
      <c r="I305">
        <f t="shared" si="18"/>
        <v>63.71</v>
      </c>
      <c r="J305">
        <f t="shared" si="19"/>
        <v>36.29</v>
      </c>
    </row>
    <row r="306" spans="1:10" x14ac:dyDescent="0.3">
      <c r="A306" s="3" t="s">
        <v>446</v>
      </c>
      <c r="B306" s="3" t="s">
        <v>389</v>
      </c>
      <c r="C306" s="3" t="s">
        <v>421</v>
      </c>
      <c r="D306" s="3" t="s">
        <v>427</v>
      </c>
      <c r="E306" s="3">
        <v>105</v>
      </c>
      <c r="F306" s="3">
        <v>97</v>
      </c>
      <c r="G306">
        <f t="shared" si="16"/>
        <v>202</v>
      </c>
      <c r="H306">
        <f t="shared" si="17"/>
        <v>1.0824742268041236</v>
      </c>
      <c r="I306">
        <f t="shared" si="18"/>
        <v>51.98</v>
      </c>
      <c r="J306">
        <f t="shared" si="19"/>
        <v>48.02</v>
      </c>
    </row>
    <row r="307" spans="1:10" x14ac:dyDescent="0.3">
      <c r="A307" s="3" t="s">
        <v>446</v>
      </c>
      <c r="B307" s="3" t="s">
        <v>389</v>
      </c>
      <c r="C307" s="3" t="s">
        <v>395</v>
      </c>
      <c r="D307" s="3" t="s">
        <v>394</v>
      </c>
      <c r="E307" s="3">
        <v>160</v>
      </c>
      <c r="F307" s="3">
        <v>54</v>
      </c>
      <c r="G307">
        <f t="shared" si="16"/>
        <v>214</v>
      </c>
      <c r="H307">
        <f t="shared" si="17"/>
        <v>2.9629629629629628</v>
      </c>
      <c r="I307">
        <f t="shared" si="18"/>
        <v>74.77</v>
      </c>
      <c r="J307">
        <f t="shared" si="19"/>
        <v>25.23</v>
      </c>
    </row>
    <row r="308" spans="1:10" x14ac:dyDescent="0.3">
      <c r="A308" s="3" t="s">
        <v>453</v>
      </c>
      <c r="B308" s="3" t="s">
        <v>392</v>
      </c>
      <c r="C308" s="3" t="s">
        <v>416</v>
      </c>
      <c r="D308" s="3" t="s">
        <v>429</v>
      </c>
      <c r="E308" s="3">
        <v>0</v>
      </c>
      <c r="F308" s="3">
        <v>115</v>
      </c>
      <c r="G308">
        <f t="shared" si="16"/>
        <v>115</v>
      </c>
      <c r="H308" t="e">
        <f t="shared" si="17"/>
        <v>#DIV/0!</v>
      </c>
      <c r="I308">
        <f t="shared" si="18"/>
        <v>0</v>
      </c>
      <c r="J308">
        <f t="shared" si="19"/>
        <v>100</v>
      </c>
    </row>
    <row r="309" spans="1:10" x14ac:dyDescent="0.3">
      <c r="A309" s="3" t="s">
        <v>428</v>
      </c>
      <c r="B309" s="3" t="s">
        <v>441</v>
      </c>
      <c r="C309" s="3" t="s">
        <v>401</v>
      </c>
      <c r="D309" s="3" t="s">
        <v>407</v>
      </c>
      <c r="E309" s="3">
        <v>140</v>
      </c>
      <c r="F309" s="3">
        <v>55</v>
      </c>
      <c r="G309">
        <f t="shared" si="16"/>
        <v>195</v>
      </c>
      <c r="H309">
        <f t="shared" si="17"/>
        <v>2.5454545454545454</v>
      </c>
      <c r="I309">
        <f t="shared" si="18"/>
        <v>71.790000000000006</v>
      </c>
      <c r="J309">
        <f t="shared" si="19"/>
        <v>28.21</v>
      </c>
    </row>
    <row r="310" spans="1:10" x14ac:dyDescent="0.3">
      <c r="A310" s="3" t="s">
        <v>437</v>
      </c>
      <c r="B310" s="3" t="s">
        <v>461</v>
      </c>
      <c r="C310" s="3" t="s">
        <v>403</v>
      </c>
      <c r="D310" s="3" t="s">
        <v>393</v>
      </c>
      <c r="E310" s="3">
        <v>121</v>
      </c>
      <c r="F310" s="3">
        <v>72</v>
      </c>
      <c r="G310">
        <f t="shared" si="16"/>
        <v>193</v>
      </c>
      <c r="H310">
        <f t="shared" si="17"/>
        <v>1.6805555555555556</v>
      </c>
      <c r="I310">
        <f t="shared" si="18"/>
        <v>62.69</v>
      </c>
      <c r="J310">
        <f t="shared" si="19"/>
        <v>37.31</v>
      </c>
    </row>
    <row r="311" spans="1:10" x14ac:dyDescent="0.3">
      <c r="A311" s="3" t="s">
        <v>436</v>
      </c>
      <c r="B311" s="3" t="s">
        <v>460</v>
      </c>
      <c r="C311" s="3" t="s">
        <v>419</v>
      </c>
      <c r="D311" s="3" t="s">
        <v>396</v>
      </c>
      <c r="E311" s="3">
        <v>84</v>
      </c>
      <c r="F311" s="3">
        <v>60</v>
      </c>
      <c r="G311">
        <f t="shared" si="16"/>
        <v>144</v>
      </c>
      <c r="H311">
        <f t="shared" si="17"/>
        <v>1.4</v>
      </c>
      <c r="I311">
        <f t="shared" si="18"/>
        <v>58.33</v>
      </c>
      <c r="J311">
        <f t="shared" si="19"/>
        <v>41.67</v>
      </c>
    </row>
    <row r="312" spans="1:10" x14ac:dyDescent="0.3">
      <c r="A312" s="3" t="s">
        <v>414</v>
      </c>
      <c r="B312" s="3" t="s">
        <v>457</v>
      </c>
      <c r="C312" s="3" t="s">
        <v>408</v>
      </c>
      <c r="D312" s="3" t="s">
        <v>387</v>
      </c>
      <c r="E312" s="3">
        <v>0</v>
      </c>
      <c r="F312" s="3">
        <v>72</v>
      </c>
      <c r="G312">
        <f t="shared" si="16"/>
        <v>72</v>
      </c>
      <c r="H312" t="e">
        <f t="shared" si="17"/>
        <v>#DIV/0!</v>
      </c>
      <c r="I312">
        <f t="shared" si="18"/>
        <v>0</v>
      </c>
      <c r="J312">
        <f t="shared" si="19"/>
        <v>100</v>
      </c>
    </row>
    <row r="313" spans="1:10" x14ac:dyDescent="0.3">
      <c r="A313" s="3" t="s">
        <v>398</v>
      </c>
      <c r="B313" s="3" t="s">
        <v>426</v>
      </c>
      <c r="C313" s="3" t="s">
        <v>423</v>
      </c>
      <c r="D313" s="3" t="s">
        <v>397</v>
      </c>
      <c r="E313" s="3">
        <v>158</v>
      </c>
      <c r="F313" s="3">
        <v>0</v>
      </c>
      <c r="G313">
        <f t="shared" si="16"/>
        <v>158</v>
      </c>
      <c r="H313" t="e">
        <f t="shared" si="17"/>
        <v>#DIV/0!</v>
      </c>
      <c r="I313">
        <f t="shared" si="18"/>
        <v>100</v>
      </c>
      <c r="J313">
        <f t="shared" si="19"/>
        <v>0</v>
      </c>
    </row>
    <row r="314" spans="1:10" x14ac:dyDescent="0.3">
      <c r="A314" s="3" t="s">
        <v>421</v>
      </c>
      <c r="B314" s="3" t="s">
        <v>427</v>
      </c>
      <c r="C314" s="3" t="s">
        <v>422</v>
      </c>
      <c r="D314" s="3" t="s">
        <v>433</v>
      </c>
      <c r="E314" s="3">
        <v>168</v>
      </c>
      <c r="F314" s="3">
        <v>100</v>
      </c>
      <c r="G314">
        <f t="shared" si="16"/>
        <v>268</v>
      </c>
      <c r="H314">
        <f t="shared" si="17"/>
        <v>1.68</v>
      </c>
      <c r="I314">
        <f t="shared" si="18"/>
        <v>62.69</v>
      </c>
      <c r="J314">
        <f t="shared" si="19"/>
        <v>37.31</v>
      </c>
    </row>
    <row r="315" spans="1:10" x14ac:dyDescent="0.3">
      <c r="A315" s="6" t="s">
        <v>446</v>
      </c>
      <c r="B315" s="6" t="s">
        <v>389</v>
      </c>
      <c r="C315" s="6" t="s">
        <v>27</v>
      </c>
      <c r="D315" s="6" t="s">
        <v>43</v>
      </c>
      <c r="E315" s="6">
        <v>138</v>
      </c>
      <c r="F315" s="6">
        <v>77</v>
      </c>
      <c r="G315">
        <f t="shared" si="16"/>
        <v>215</v>
      </c>
      <c r="H315">
        <f t="shared" si="17"/>
        <v>1.7922077922077921</v>
      </c>
      <c r="I315">
        <f t="shared" si="18"/>
        <v>64.19</v>
      </c>
      <c r="J315">
        <f t="shared" si="19"/>
        <v>35.81</v>
      </c>
    </row>
    <row r="316" spans="1:10" x14ac:dyDescent="0.3">
      <c r="A316" s="6" t="s">
        <v>446</v>
      </c>
      <c r="B316" s="6" t="s">
        <v>389</v>
      </c>
      <c r="C316" s="6" t="s">
        <v>27</v>
      </c>
      <c r="D316" s="6" t="s">
        <v>43</v>
      </c>
      <c r="E316" s="6">
        <v>129</v>
      </c>
      <c r="F316" s="6">
        <v>89</v>
      </c>
      <c r="G316">
        <f t="shared" si="16"/>
        <v>218</v>
      </c>
      <c r="H316">
        <f t="shared" si="17"/>
        <v>1.449438202247191</v>
      </c>
      <c r="I316">
        <f t="shared" si="18"/>
        <v>59.17</v>
      </c>
      <c r="J316">
        <f t="shared" si="19"/>
        <v>40.83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B0754B-AC58-4ACD-9D84-AFC4605619E1}">
  <dimension ref="A1:F30"/>
  <sheetViews>
    <sheetView topLeftCell="A9" workbookViewId="0">
      <selection activeCell="R12" sqref="R12"/>
    </sheetView>
  </sheetViews>
  <sheetFormatPr defaultRowHeight="14.4" x14ac:dyDescent="0.3"/>
  <cols>
    <col min="3" max="3" width="9.88671875" customWidth="1"/>
    <col min="4" max="4" width="16" customWidth="1"/>
  </cols>
  <sheetData>
    <row r="1" spans="1:6" x14ac:dyDescent="0.3">
      <c r="A1" t="s">
        <v>599</v>
      </c>
      <c r="B1" t="s">
        <v>600</v>
      </c>
      <c r="E1" t="s">
        <v>599</v>
      </c>
      <c r="F1" t="s">
        <v>600</v>
      </c>
    </row>
    <row r="2" spans="1:6" x14ac:dyDescent="0.3">
      <c r="A2">
        <v>107</v>
      </c>
      <c r="B2">
        <v>59</v>
      </c>
      <c r="D2" t="s">
        <v>601</v>
      </c>
      <c r="E2">
        <f>SUM(A2:A16)</f>
        <v>1587</v>
      </c>
      <c r="F2">
        <f>SUM(B2:B16)</f>
        <v>1212</v>
      </c>
    </row>
    <row r="3" spans="1:6" x14ac:dyDescent="0.3">
      <c r="A3">
        <v>120</v>
      </c>
      <c r="B3">
        <v>70</v>
      </c>
      <c r="D3" t="s">
        <v>602</v>
      </c>
      <c r="E3">
        <f>AVERAGE(A2:A16)</f>
        <v>105.8</v>
      </c>
      <c r="F3">
        <f>AVERAGE(B2:B16)</f>
        <v>80.8</v>
      </c>
    </row>
    <row r="4" spans="1:6" x14ac:dyDescent="0.3">
      <c r="A4">
        <v>140</v>
      </c>
      <c r="B4">
        <v>30</v>
      </c>
      <c r="D4" t="s">
        <v>603</v>
      </c>
      <c r="E4">
        <f>_xlfn.STDEV.S(A2:A16)</f>
        <v>31.278016013076748</v>
      </c>
      <c r="F4">
        <f>_xlfn.STDEV.S(B2:B16)</f>
        <v>42.551145695503898</v>
      </c>
    </row>
    <row r="5" spans="1:6" x14ac:dyDescent="0.3">
      <c r="A5">
        <v>80</v>
      </c>
      <c r="B5">
        <v>93</v>
      </c>
      <c r="D5" t="s">
        <v>604</v>
      </c>
      <c r="E5">
        <f>QUARTILE(A2:A16,0)</f>
        <v>40</v>
      </c>
      <c r="F5">
        <f>QUARTILE(B2:B16,0)</f>
        <v>0</v>
      </c>
    </row>
    <row r="6" spans="1:6" x14ac:dyDescent="0.3">
      <c r="A6">
        <v>94</v>
      </c>
      <c r="B6">
        <v>53</v>
      </c>
      <c r="D6" t="s">
        <v>605</v>
      </c>
      <c r="E6">
        <f>QUARTILE(A2:A16, 1)</f>
        <v>81</v>
      </c>
      <c r="F6">
        <f>QUARTILE(B2:B16, 1)</f>
        <v>54.5</v>
      </c>
    </row>
    <row r="7" spans="1:6" x14ac:dyDescent="0.3">
      <c r="A7">
        <v>40</v>
      </c>
      <c r="B7">
        <v>88</v>
      </c>
      <c r="D7" t="s">
        <v>606</v>
      </c>
      <c r="E7">
        <f>QUARTILE(A2:A16,2)</f>
        <v>120</v>
      </c>
      <c r="F7">
        <f>QUARTILE(B2:B16,2)</f>
        <v>72</v>
      </c>
    </row>
    <row r="8" spans="1:6" x14ac:dyDescent="0.3">
      <c r="A8">
        <v>72</v>
      </c>
      <c r="B8">
        <v>54</v>
      </c>
      <c r="D8" t="s">
        <v>607</v>
      </c>
      <c r="E8">
        <f>QUARTILE(A2:A16,3)</f>
        <v>130</v>
      </c>
      <c r="F8">
        <f>QUARTILE(B2:B16,3)</f>
        <v>107.5</v>
      </c>
    </row>
    <row r="9" spans="1:6" x14ac:dyDescent="0.3">
      <c r="A9">
        <v>82</v>
      </c>
      <c r="B9">
        <v>55</v>
      </c>
      <c r="D9" t="s">
        <v>608</v>
      </c>
      <c r="E9">
        <f>QUARTILE(A2:A16,4)</f>
        <v>142</v>
      </c>
      <c r="F9">
        <f>QUARTILE(B2:B16,4)</f>
        <v>152</v>
      </c>
    </row>
    <row r="10" spans="1:6" x14ac:dyDescent="0.3">
      <c r="A10">
        <v>68</v>
      </c>
      <c r="B10">
        <v>72</v>
      </c>
      <c r="D10" t="s">
        <v>610</v>
      </c>
      <c r="E10">
        <f>E3/E4</f>
        <v>3.3825674862423183</v>
      </c>
      <c r="F10">
        <f>F3/F4</f>
        <v>1.8988912913933034</v>
      </c>
    </row>
    <row r="11" spans="1:6" x14ac:dyDescent="0.3">
      <c r="A11">
        <v>138</v>
      </c>
      <c r="B11">
        <v>122</v>
      </c>
      <c r="D11" t="s">
        <v>611</v>
      </c>
    </row>
    <row r="12" spans="1:6" x14ac:dyDescent="0.3">
      <c r="A12">
        <v>130</v>
      </c>
      <c r="B12">
        <v>93</v>
      </c>
      <c r="D12" t="s">
        <v>612</v>
      </c>
    </row>
    <row r="13" spans="1:6" x14ac:dyDescent="0.3">
      <c r="A13">
        <v>130</v>
      </c>
      <c r="B13">
        <v>123</v>
      </c>
      <c r="D13" t="s">
        <v>613</v>
      </c>
    </row>
    <row r="14" spans="1:6" x14ac:dyDescent="0.3">
      <c r="A14">
        <v>124</v>
      </c>
      <c r="B14">
        <v>148</v>
      </c>
      <c r="D14" t="s">
        <v>614</v>
      </c>
    </row>
    <row r="15" spans="1:6" x14ac:dyDescent="0.3">
      <c r="A15">
        <v>142</v>
      </c>
      <c r="B15">
        <v>152</v>
      </c>
      <c r="D15" t="s">
        <v>616</v>
      </c>
    </row>
    <row r="16" spans="1:6" x14ac:dyDescent="0.3">
      <c r="A16">
        <v>120</v>
      </c>
      <c r="B16">
        <v>0</v>
      </c>
      <c r="D16" t="s">
        <v>617</v>
      </c>
    </row>
    <row r="17" spans="1:6" x14ac:dyDescent="0.3">
      <c r="D17" t="s">
        <v>618</v>
      </c>
    </row>
    <row r="18" spans="1:6" x14ac:dyDescent="0.3">
      <c r="D18" t="s">
        <v>619</v>
      </c>
    </row>
    <row r="19" spans="1:6" x14ac:dyDescent="0.3">
      <c r="A19" t="s">
        <v>615</v>
      </c>
    </row>
    <row r="21" spans="1:6" x14ac:dyDescent="0.3">
      <c r="A21" t="s">
        <v>599</v>
      </c>
      <c r="B21" t="s">
        <v>600</v>
      </c>
      <c r="E21" t="s">
        <v>599</v>
      </c>
      <c r="F21" t="s">
        <v>600</v>
      </c>
    </row>
    <row r="22" spans="1:6" x14ac:dyDescent="0.3">
      <c r="A22">
        <v>107</v>
      </c>
      <c r="B22">
        <v>59</v>
      </c>
      <c r="D22" t="s">
        <v>601</v>
      </c>
      <c r="E22">
        <f>SUM(A22:A36)</f>
        <v>803</v>
      </c>
      <c r="F22">
        <f>SUM(B22:B36)</f>
        <v>574</v>
      </c>
    </row>
    <row r="23" spans="1:6" x14ac:dyDescent="0.3">
      <c r="A23">
        <v>120</v>
      </c>
      <c r="B23">
        <v>70</v>
      </c>
      <c r="D23" t="s">
        <v>602</v>
      </c>
      <c r="E23">
        <f>AVERAGE(A22:A36)</f>
        <v>89.222222222222229</v>
      </c>
      <c r="F23">
        <f>AVERAGE(B22:B36)</f>
        <v>63.777777777777779</v>
      </c>
    </row>
    <row r="24" spans="1:6" x14ac:dyDescent="0.3">
      <c r="A24">
        <v>140</v>
      </c>
      <c r="B24">
        <v>30</v>
      </c>
      <c r="D24" t="s">
        <v>603</v>
      </c>
      <c r="E24">
        <f>_xlfn.STDEV.S(A22:A36)</f>
        <v>29.94068209718084</v>
      </c>
      <c r="F24">
        <f>_xlfn.STDEV.S(B22:B36)</f>
        <v>19.36348223962943</v>
      </c>
    </row>
    <row r="25" spans="1:6" x14ac:dyDescent="0.3">
      <c r="A25">
        <v>80</v>
      </c>
      <c r="B25">
        <v>93</v>
      </c>
      <c r="D25" t="s">
        <v>604</v>
      </c>
      <c r="E25">
        <f>QUARTILE(A22:A36,0)</f>
        <v>40</v>
      </c>
      <c r="F25">
        <f>QUARTILE(B22:B36,0)</f>
        <v>30</v>
      </c>
    </row>
    <row r="26" spans="1:6" x14ac:dyDescent="0.3">
      <c r="A26">
        <v>94</v>
      </c>
      <c r="B26">
        <v>53</v>
      </c>
      <c r="D26" t="s">
        <v>605</v>
      </c>
      <c r="E26">
        <f>QUARTILE(A22:A36, 1)</f>
        <v>72</v>
      </c>
      <c r="F26">
        <f>QUARTILE(B22:B36, 1)</f>
        <v>54</v>
      </c>
    </row>
    <row r="27" spans="1:6" x14ac:dyDescent="0.3">
      <c r="A27">
        <v>40</v>
      </c>
      <c r="B27">
        <v>88</v>
      </c>
      <c r="D27" t="s">
        <v>606</v>
      </c>
      <c r="E27">
        <f>QUARTILE(A22:A36,2)</f>
        <v>82</v>
      </c>
      <c r="F27">
        <f>QUARTILE(B22:B36,2)</f>
        <v>59</v>
      </c>
    </row>
    <row r="28" spans="1:6" x14ac:dyDescent="0.3">
      <c r="A28">
        <v>72</v>
      </c>
      <c r="B28">
        <v>54</v>
      </c>
      <c r="D28" t="s">
        <v>607</v>
      </c>
      <c r="E28">
        <f>QUARTILE(A22:A36,3)</f>
        <v>107</v>
      </c>
      <c r="F28">
        <f>QUARTILE(B22:B36,3)</f>
        <v>72</v>
      </c>
    </row>
    <row r="29" spans="1:6" x14ac:dyDescent="0.3">
      <c r="A29">
        <v>82</v>
      </c>
      <c r="B29">
        <v>55</v>
      </c>
      <c r="D29" t="s">
        <v>608</v>
      </c>
      <c r="E29">
        <f>QUARTILE(A22:A36,4)</f>
        <v>140</v>
      </c>
      <c r="F29">
        <f>QUARTILE(B22:B36,4)</f>
        <v>93</v>
      </c>
    </row>
    <row r="30" spans="1:6" x14ac:dyDescent="0.3">
      <c r="A30">
        <v>68</v>
      </c>
      <c r="B30">
        <v>72</v>
      </c>
      <c r="D30" t="s">
        <v>610</v>
      </c>
      <c r="E30">
        <f>E23/E24</f>
        <v>2.979966252359469</v>
      </c>
      <c r="F30">
        <f>F23/F24</f>
        <v>3.2937142704244464</v>
      </c>
    </row>
  </sheetData>
  <sortState xmlns:xlrd2="http://schemas.microsoft.com/office/spreadsheetml/2017/richdata2" ref="A13:B29">
    <sortCondition ref="B22:B29"/>
  </sortState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3557CA-4358-46FD-986E-B754CFE27C1E}">
  <dimension ref="A1:F31"/>
  <sheetViews>
    <sheetView topLeftCell="A8" workbookViewId="0">
      <selection activeCell="O19" sqref="O19"/>
    </sheetView>
  </sheetViews>
  <sheetFormatPr defaultRowHeight="14.4" x14ac:dyDescent="0.3"/>
  <cols>
    <col min="4" max="4" width="17.5546875" customWidth="1"/>
  </cols>
  <sheetData>
    <row r="1" spans="1:6" x14ac:dyDescent="0.3">
      <c r="A1" t="s">
        <v>599</v>
      </c>
      <c r="B1" t="s">
        <v>600</v>
      </c>
      <c r="E1" t="s">
        <v>599</v>
      </c>
      <c r="F1" t="s">
        <v>600</v>
      </c>
    </row>
    <row r="2" spans="1:6" x14ac:dyDescent="0.3">
      <c r="A2">
        <v>73</v>
      </c>
      <c r="B2">
        <v>17</v>
      </c>
      <c r="D2" t="s">
        <v>601</v>
      </c>
      <c r="E2">
        <f>SUM(A2:A17)</f>
        <v>1820</v>
      </c>
      <c r="F2">
        <f>SUM(B2:B17)</f>
        <v>1192</v>
      </c>
    </row>
    <row r="3" spans="1:6" x14ac:dyDescent="0.3">
      <c r="A3">
        <v>107</v>
      </c>
      <c r="B3">
        <v>105</v>
      </c>
      <c r="D3" t="s">
        <v>602</v>
      </c>
      <c r="E3">
        <f>AVERAGE(A2:A17)</f>
        <v>113.75</v>
      </c>
      <c r="F3">
        <f>AVERAGE(B2:B17)</f>
        <v>74.5</v>
      </c>
    </row>
    <row r="4" spans="1:6" x14ac:dyDescent="0.3">
      <c r="A4">
        <v>119</v>
      </c>
      <c r="B4">
        <v>67</v>
      </c>
      <c r="D4" t="s">
        <v>603</v>
      </c>
      <c r="E4">
        <f>_xlfn.STDEV.S(A2:A17)</f>
        <v>29.620938540161081</v>
      </c>
      <c r="F4">
        <f>_xlfn.STDEV.S(B2:B17)</f>
        <v>27.681522116145757</v>
      </c>
    </row>
    <row r="5" spans="1:6" x14ac:dyDescent="0.3">
      <c r="A5">
        <v>98</v>
      </c>
      <c r="B5">
        <v>37</v>
      </c>
      <c r="D5" t="s">
        <v>604</v>
      </c>
      <c r="E5">
        <f>QUARTILE(A2:A17,0)</f>
        <v>65</v>
      </c>
      <c r="F5">
        <f>QUARTILE(B2:B17,0)</f>
        <v>17</v>
      </c>
    </row>
    <row r="6" spans="1:6" x14ac:dyDescent="0.3">
      <c r="A6">
        <v>65</v>
      </c>
      <c r="B6">
        <v>97</v>
      </c>
      <c r="D6" t="s">
        <v>605</v>
      </c>
      <c r="E6">
        <f>QUARTILE(A2:A17, 1)</f>
        <v>95</v>
      </c>
      <c r="F6">
        <f>QUARTILE(B2:B17, 1)</f>
        <v>58.5</v>
      </c>
    </row>
    <row r="7" spans="1:6" x14ac:dyDescent="0.3">
      <c r="A7">
        <v>120</v>
      </c>
      <c r="B7">
        <v>37</v>
      </c>
      <c r="D7" t="s">
        <v>606</v>
      </c>
      <c r="E7">
        <f>QUARTILE(A2:A17,2)</f>
        <v>106</v>
      </c>
      <c r="F7">
        <f>QUARTILE(B2:B17,2)</f>
        <v>83</v>
      </c>
    </row>
    <row r="8" spans="1:6" x14ac:dyDescent="0.3">
      <c r="A8">
        <v>95</v>
      </c>
      <c r="B8">
        <v>60</v>
      </c>
      <c r="D8" t="s">
        <v>607</v>
      </c>
      <c r="E8">
        <f>QUARTILE(A2:A17,3)</f>
        <v>131.25</v>
      </c>
      <c r="F8">
        <f>QUARTILE(B2:B17,3)</f>
        <v>97</v>
      </c>
    </row>
    <row r="9" spans="1:6" x14ac:dyDescent="0.3">
      <c r="A9">
        <v>95</v>
      </c>
      <c r="B9">
        <v>112</v>
      </c>
      <c r="D9" t="s">
        <v>608</v>
      </c>
      <c r="E9">
        <f>QUARTILE(A2:A17,4)</f>
        <v>163</v>
      </c>
      <c r="F9">
        <f>QUARTILE(B2:B17,4)</f>
        <v>112</v>
      </c>
    </row>
    <row r="10" spans="1:6" x14ac:dyDescent="0.3">
      <c r="A10">
        <v>90</v>
      </c>
      <c r="B10">
        <v>98</v>
      </c>
      <c r="D10" t="s">
        <v>610</v>
      </c>
      <c r="E10">
        <f>E3/E4</f>
        <v>3.8401889206101241</v>
      </c>
      <c r="F10">
        <f>F3/F4</f>
        <v>2.6913259931088294</v>
      </c>
    </row>
    <row r="11" spans="1:6" x14ac:dyDescent="0.3">
      <c r="A11">
        <v>163</v>
      </c>
      <c r="B11">
        <v>65</v>
      </c>
    </row>
    <row r="12" spans="1:6" x14ac:dyDescent="0.3">
      <c r="A12">
        <v>105</v>
      </c>
      <c r="B12">
        <v>90</v>
      </c>
    </row>
    <row r="13" spans="1:6" x14ac:dyDescent="0.3">
      <c r="A13">
        <v>158</v>
      </c>
      <c r="B13">
        <v>77</v>
      </c>
    </row>
    <row r="14" spans="1:6" x14ac:dyDescent="0.3">
      <c r="A14">
        <v>138</v>
      </c>
      <c r="B14">
        <v>90</v>
      </c>
    </row>
    <row r="15" spans="1:6" x14ac:dyDescent="0.3">
      <c r="A15">
        <v>105</v>
      </c>
      <c r="B15">
        <v>89</v>
      </c>
    </row>
    <row r="16" spans="1:6" x14ac:dyDescent="0.3">
      <c r="A16">
        <v>129</v>
      </c>
      <c r="B16">
        <v>97</v>
      </c>
    </row>
    <row r="17" spans="1:6" x14ac:dyDescent="0.3">
      <c r="A17">
        <v>160</v>
      </c>
      <c r="B17">
        <v>54</v>
      </c>
    </row>
    <row r="22" spans="1:6" x14ac:dyDescent="0.3">
      <c r="A22" t="s">
        <v>599</v>
      </c>
      <c r="B22" t="s">
        <v>600</v>
      </c>
      <c r="E22" t="s">
        <v>599</v>
      </c>
      <c r="F22" t="s">
        <v>600</v>
      </c>
    </row>
    <row r="23" spans="1:6" x14ac:dyDescent="0.3">
      <c r="A23">
        <v>73</v>
      </c>
      <c r="B23">
        <v>17</v>
      </c>
      <c r="D23" t="s">
        <v>601</v>
      </c>
      <c r="E23">
        <f>SUM(A23:A38)</f>
        <v>862</v>
      </c>
      <c r="F23">
        <f>SUM(B23:B38)</f>
        <v>630</v>
      </c>
    </row>
    <row r="24" spans="1:6" x14ac:dyDescent="0.3">
      <c r="A24">
        <v>107</v>
      </c>
      <c r="B24">
        <v>105</v>
      </c>
      <c r="D24" t="s">
        <v>602</v>
      </c>
      <c r="E24">
        <f>AVERAGE(A23:A38)</f>
        <v>95.777777777777771</v>
      </c>
      <c r="F24">
        <f>AVERAGE(B23:B38)</f>
        <v>70</v>
      </c>
    </row>
    <row r="25" spans="1:6" x14ac:dyDescent="0.3">
      <c r="A25">
        <v>119</v>
      </c>
      <c r="B25">
        <v>67</v>
      </c>
      <c r="D25" t="s">
        <v>603</v>
      </c>
      <c r="E25">
        <f>_xlfn.STDEV.S(A23:A38)</f>
        <v>18.565948519923381</v>
      </c>
      <c r="F25">
        <f>_xlfn.STDEV.S(B23:B38)</f>
        <v>34.637407524235989</v>
      </c>
    </row>
    <row r="26" spans="1:6" x14ac:dyDescent="0.3">
      <c r="A26">
        <v>98</v>
      </c>
      <c r="B26">
        <v>37</v>
      </c>
      <c r="D26" t="s">
        <v>604</v>
      </c>
      <c r="E26">
        <f>QUARTILE(A23:A38,0)</f>
        <v>65</v>
      </c>
      <c r="F26">
        <f>QUARTILE(B23:B38,0)</f>
        <v>17</v>
      </c>
    </row>
    <row r="27" spans="1:6" x14ac:dyDescent="0.3">
      <c r="A27">
        <v>65</v>
      </c>
      <c r="B27">
        <v>97</v>
      </c>
      <c r="D27" t="s">
        <v>605</v>
      </c>
      <c r="E27">
        <f>QUARTILE(A23:A38, 1)</f>
        <v>90</v>
      </c>
      <c r="F27">
        <f>QUARTILE(B23:B38, 1)</f>
        <v>37</v>
      </c>
    </row>
    <row r="28" spans="1:6" x14ac:dyDescent="0.3">
      <c r="A28">
        <v>120</v>
      </c>
      <c r="B28">
        <v>37</v>
      </c>
      <c r="D28" t="s">
        <v>606</v>
      </c>
      <c r="E28">
        <f>QUARTILE(A23:A38,2)</f>
        <v>95</v>
      </c>
      <c r="F28">
        <f>QUARTILE(B23:B38,2)</f>
        <v>67</v>
      </c>
    </row>
    <row r="29" spans="1:6" x14ac:dyDescent="0.3">
      <c r="A29">
        <v>95</v>
      </c>
      <c r="B29">
        <v>60</v>
      </c>
      <c r="D29" t="s">
        <v>607</v>
      </c>
      <c r="E29">
        <f>QUARTILE(A23:A38,3)</f>
        <v>107</v>
      </c>
      <c r="F29">
        <f>QUARTILE(B23:B38,3)</f>
        <v>98</v>
      </c>
    </row>
    <row r="30" spans="1:6" x14ac:dyDescent="0.3">
      <c r="A30">
        <v>95</v>
      </c>
      <c r="B30">
        <v>112</v>
      </c>
      <c r="D30" t="s">
        <v>608</v>
      </c>
      <c r="E30">
        <f>QUARTILE(A23:A38,4)</f>
        <v>120</v>
      </c>
      <c r="F30">
        <f>QUARTILE(B23:B38,4)</f>
        <v>112</v>
      </c>
    </row>
    <row r="31" spans="1:6" x14ac:dyDescent="0.3">
      <c r="A31">
        <v>90</v>
      </c>
      <c r="B31">
        <v>98</v>
      </c>
      <c r="D31" t="s">
        <v>610</v>
      </c>
      <c r="E31">
        <f>E24/E25</f>
        <v>5.1587872106290336</v>
      </c>
      <c r="F31">
        <f>F24/F25</f>
        <v>2.020936467344463</v>
      </c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D1F75-5E5C-498B-821B-F4C0D2A10BF5}">
  <dimension ref="A1:F31"/>
  <sheetViews>
    <sheetView topLeftCell="A12" workbookViewId="0">
      <selection activeCell="Q19" sqref="Q19"/>
    </sheetView>
  </sheetViews>
  <sheetFormatPr defaultRowHeight="14.4" x14ac:dyDescent="0.3"/>
  <cols>
    <col min="4" max="4" width="15.77734375" customWidth="1"/>
  </cols>
  <sheetData>
    <row r="1" spans="1:6" x14ac:dyDescent="0.3">
      <c r="A1" t="s">
        <v>599</v>
      </c>
      <c r="B1" t="s">
        <v>600</v>
      </c>
      <c r="E1" t="s">
        <v>599</v>
      </c>
      <c r="F1" t="s">
        <v>600</v>
      </c>
    </row>
    <row r="2" spans="1:6" x14ac:dyDescent="0.3">
      <c r="A2">
        <v>149</v>
      </c>
      <c r="B2">
        <v>62</v>
      </c>
      <c r="D2" t="s">
        <v>601</v>
      </c>
      <c r="E2">
        <f>SUM(A2:A17)</f>
        <v>2155</v>
      </c>
      <c r="F2">
        <f>SUM(B2:B17)</f>
        <v>1097</v>
      </c>
    </row>
    <row r="3" spans="1:6" x14ac:dyDescent="0.3">
      <c r="A3">
        <v>115</v>
      </c>
      <c r="B3">
        <v>93</v>
      </c>
      <c r="D3" t="s">
        <v>602</v>
      </c>
      <c r="E3">
        <f>AVERAGE(A2:A17)</f>
        <v>134.6875</v>
      </c>
      <c r="F3">
        <f>AVERAGE(B2:B17)</f>
        <v>68.5625</v>
      </c>
    </row>
    <row r="4" spans="1:6" x14ac:dyDescent="0.3">
      <c r="A4">
        <v>79</v>
      </c>
      <c r="B4">
        <v>65</v>
      </c>
      <c r="D4" t="s">
        <v>603</v>
      </c>
      <c r="E4">
        <f>_xlfn.STDEV.S(A2:A17)</f>
        <v>33.189795118379386</v>
      </c>
      <c r="F4">
        <f>_xlfn.STDEV.S(B2:B17)</f>
        <v>21.459943305299451</v>
      </c>
    </row>
    <row r="5" spans="1:6" x14ac:dyDescent="0.3">
      <c r="A5">
        <v>130</v>
      </c>
      <c r="B5">
        <v>27</v>
      </c>
      <c r="D5" t="s">
        <v>604</v>
      </c>
      <c r="E5">
        <f>QUARTILE(A2:A17,0)</f>
        <v>79</v>
      </c>
      <c r="F5">
        <f>QUARTILE(B2:B17,0)</f>
        <v>27</v>
      </c>
    </row>
    <row r="6" spans="1:6" x14ac:dyDescent="0.3">
      <c r="A6">
        <v>132</v>
      </c>
      <c r="B6">
        <v>72</v>
      </c>
      <c r="D6" t="s">
        <v>605</v>
      </c>
      <c r="E6">
        <f>QUARTILE(A2:A17, 1)</f>
        <v>112.5</v>
      </c>
      <c r="F6">
        <f>QUARTILE(B2:B17, 1)</f>
        <v>58.5</v>
      </c>
    </row>
    <row r="7" spans="1:6" x14ac:dyDescent="0.3">
      <c r="A7">
        <v>223</v>
      </c>
      <c r="B7">
        <v>39</v>
      </c>
      <c r="D7" t="s">
        <v>606</v>
      </c>
      <c r="E7">
        <f>QUARTILE(A2:A17,2)</f>
        <v>131</v>
      </c>
      <c r="F7">
        <f>QUARTILE(B2:B17,2)</f>
        <v>68.5</v>
      </c>
    </row>
    <row r="8" spans="1:6" x14ac:dyDescent="0.3">
      <c r="A8">
        <v>103</v>
      </c>
      <c r="B8">
        <v>37</v>
      </c>
      <c r="D8" t="s">
        <v>607</v>
      </c>
      <c r="E8">
        <f>QUARTILE(A2:A17,3)</f>
        <v>151.25</v>
      </c>
      <c r="F8">
        <f>QUARTILE(B2:B17,3)</f>
        <v>89.25</v>
      </c>
    </row>
    <row r="9" spans="1:6" x14ac:dyDescent="0.3">
      <c r="A9">
        <v>143</v>
      </c>
      <c r="B9">
        <v>60</v>
      </c>
      <c r="D9" t="s">
        <v>608</v>
      </c>
      <c r="E9">
        <f>QUARTILE(A2:A17,4)</f>
        <v>223</v>
      </c>
      <c r="F9">
        <f>QUARTILE(B2:B17,4)</f>
        <v>97</v>
      </c>
    </row>
    <row r="10" spans="1:6" x14ac:dyDescent="0.3">
      <c r="A10">
        <v>123</v>
      </c>
      <c r="B10">
        <v>80</v>
      </c>
      <c r="D10" t="s">
        <v>610</v>
      </c>
      <c r="E10">
        <f>E3/E4</f>
        <v>4.0580997719209968</v>
      </c>
      <c r="F10">
        <f>F3/F4</f>
        <v>3.1949059242420623</v>
      </c>
    </row>
    <row r="11" spans="1:6" x14ac:dyDescent="0.3">
      <c r="A11">
        <v>163</v>
      </c>
      <c r="B11">
        <v>65</v>
      </c>
    </row>
    <row r="12" spans="1:6" x14ac:dyDescent="0.3">
      <c r="A12">
        <v>105</v>
      </c>
      <c r="B12">
        <v>90</v>
      </c>
    </row>
    <row r="13" spans="1:6" x14ac:dyDescent="0.3">
      <c r="A13">
        <v>138</v>
      </c>
      <c r="B13">
        <v>77</v>
      </c>
    </row>
    <row r="14" spans="1:6" x14ac:dyDescent="0.3">
      <c r="A14">
        <v>158</v>
      </c>
      <c r="B14">
        <v>90</v>
      </c>
    </row>
    <row r="15" spans="1:6" x14ac:dyDescent="0.3">
      <c r="A15">
        <v>129</v>
      </c>
      <c r="B15">
        <v>89</v>
      </c>
    </row>
    <row r="16" spans="1:6" x14ac:dyDescent="0.3">
      <c r="A16">
        <v>105</v>
      </c>
      <c r="B16">
        <v>97</v>
      </c>
    </row>
    <row r="17" spans="1:6" x14ac:dyDescent="0.3">
      <c r="A17">
        <v>160</v>
      </c>
      <c r="B17">
        <v>54</v>
      </c>
    </row>
    <row r="22" spans="1:6" x14ac:dyDescent="0.3">
      <c r="A22" t="s">
        <v>599</v>
      </c>
      <c r="B22" t="s">
        <v>600</v>
      </c>
      <c r="E22" t="s">
        <v>599</v>
      </c>
      <c r="F22" t="s">
        <v>600</v>
      </c>
    </row>
    <row r="23" spans="1:6" x14ac:dyDescent="0.3">
      <c r="A23">
        <v>149</v>
      </c>
      <c r="B23">
        <v>62</v>
      </c>
      <c r="D23" t="s">
        <v>601</v>
      </c>
      <c r="E23">
        <f>SUM(A23:A38)</f>
        <v>1197</v>
      </c>
      <c r="F23">
        <f>SUM(B23:B38)</f>
        <v>535</v>
      </c>
    </row>
    <row r="24" spans="1:6" x14ac:dyDescent="0.3">
      <c r="A24">
        <v>115</v>
      </c>
      <c r="B24">
        <v>93</v>
      </c>
      <c r="D24" t="s">
        <v>602</v>
      </c>
      <c r="E24">
        <f>AVERAGE(A23:A38)</f>
        <v>133</v>
      </c>
      <c r="F24">
        <f>AVERAGE(B23:B38)</f>
        <v>59.444444444444443</v>
      </c>
    </row>
    <row r="25" spans="1:6" x14ac:dyDescent="0.3">
      <c r="A25">
        <v>79</v>
      </c>
      <c r="B25">
        <v>65</v>
      </c>
      <c r="D25" t="s">
        <v>603</v>
      </c>
      <c r="E25">
        <f>_xlfn.STDEV.S(A23:A38)</f>
        <v>39.852854351978351</v>
      </c>
      <c r="F25">
        <f>_xlfn.STDEV.S(B23:B38)</f>
        <v>21.558705382693503</v>
      </c>
    </row>
    <row r="26" spans="1:6" x14ac:dyDescent="0.3">
      <c r="A26">
        <v>130</v>
      </c>
      <c r="B26">
        <v>27</v>
      </c>
      <c r="D26" t="s">
        <v>604</v>
      </c>
      <c r="E26">
        <f>QUARTILE(A23:A38,0)</f>
        <v>79</v>
      </c>
      <c r="F26">
        <f>QUARTILE(B23:B38,0)</f>
        <v>27</v>
      </c>
    </row>
    <row r="27" spans="1:6" x14ac:dyDescent="0.3">
      <c r="A27">
        <v>132</v>
      </c>
      <c r="B27">
        <v>72</v>
      </c>
      <c r="D27" t="s">
        <v>605</v>
      </c>
      <c r="E27">
        <f>QUARTILE(A23:A38, 1)</f>
        <v>115</v>
      </c>
      <c r="F27">
        <f>QUARTILE(B23:B38, 1)</f>
        <v>39</v>
      </c>
    </row>
    <row r="28" spans="1:6" x14ac:dyDescent="0.3">
      <c r="A28">
        <v>223</v>
      </c>
      <c r="B28">
        <v>39</v>
      </c>
      <c r="D28" t="s">
        <v>606</v>
      </c>
      <c r="E28">
        <f>QUARTILE(A23:A38,2)</f>
        <v>130</v>
      </c>
      <c r="F28">
        <f>QUARTILE(B23:B38,2)</f>
        <v>62</v>
      </c>
    </row>
    <row r="29" spans="1:6" x14ac:dyDescent="0.3">
      <c r="A29">
        <v>103</v>
      </c>
      <c r="B29">
        <v>37</v>
      </c>
      <c r="D29" t="s">
        <v>607</v>
      </c>
      <c r="E29">
        <f>QUARTILE(A23:A38,3)</f>
        <v>143</v>
      </c>
      <c r="F29">
        <f>QUARTILE(B23:B38,3)</f>
        <v>72</v>
      </c>
    </row>
    <row r="30" spans="1:6" x14ac:dyDescent="0.3">
      <c r="A30">
        <v>143</v>
      </c>
      <c r="B30">
        <v>60</v>
      </c>
      <c r="D30" t="s">
        <v>608</v>
      </c>
      <c r="E30">
        <f>QUARTILE(A23:A38,4)</f>
        <v>223</v>
      </c>
      <c r="F30">
        <f>QUARTILE(B23:B38,4)</f>
        <v>93</v>
      </c>
    </row>
    <row r="31" spans="1:6" x14ac:dyDescent="0.3">
      <c r="A31">
        <v>123</v>
      </c>
      <c r="B31">
        <v>80</v>
      </c>
      <c r="D31" t="s">
        <v>610</v>
      </c>
      <c r="E31">
        <f>E24/E25</f>
        <v>3.33727664335786</v>
      </c>
      <c r="F31">
        <f>F24/F25</f>
        <v>2.7573290412959652</v>
      </c>
    </row>
  </sheetData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A6282C-DA67-44C0-A02C-AEF2CC40CE08}">
  <dimension ref="A1:F10"/>
  <sheetViews>
    <sheetView workbookViewId="0">
      <selection activeCell="L19" sqref="L19"/>
    </sheetView>
  </sheetViews>
  <sheetFormatPr defaultRowHeight="14.4" x14ac:dyDescent="0.3"/>
  <sheetData>
    <row r="1" spans="1:6" x14ac:dyDescent="0.3">
      <c r="A1" t="s">
        <v>599</v>
      </c>
      <c r="B1" t="s">
        <v>600</v>
      </c>
      <c r="E1" t="s">
        <v>599</v>
      </c>
      <c r="F1" t="s">
        <v>600</v>
      </c>
    </row>
    <row r="2" spans="1:6" x14ac:dyDescent="0.3">
      <c r="A2">
        <v>88</v>
      </c>
      <c r="B2">
        <v>47</v>
      </c>
      <c r="D2" t="s">
        <v>601</v>
      </c>
      <c r="E2">
        <f>SUM(A2:A10)</f>
        <v>722</v>
      </c>
      <c r="F2">
        <f>SUM(B2:B10)</f>
        <v>791</v>
      </c>
    </row>
    <row r="3" spans="1:6" x14ac:dyDescent="0.3">
      <c r="A3">
        <v>84</v>
      </c>
      <c r="B3">
        <v>77</v>
      </c>
      <c r="D3" t="s">
        <v>602</v>
      </c>
      <c r="E3">
        <f>AVERAGE(A2:A10)</f>
        <v>80.222222222222229</v>
      </c>
      <c r="F3">
        <f>AVERAGE(B2:B10)</f>
        <v>87.888888888888886</v>
      </c>
    </row>
    <row r="4" spans="1:6" x14ac:dyDescent="0.3">
      <c r="A4">
        <v>39</v>
      </c>
      <c r="B4">
        <v>111</v>
      </c>
      <c r="D4" t="s">
        <v>603</v>
      </c>
      <c r="E4">
        <f>_xlfn.STDEV.S(A2:A10)</f>
        <v>32.526057929673009</v>
      </c>
      <c r="F4">
        <f>_xlfn.STDEV.S(B2:B10)</f>
        <v>34.595680526781251</v>
      </c>
    </row>
    <row r="5" spans="1:6" x14ac:dyDescent="0.3">
      <c r="A5">
        <v>104</v>
      </c>
      <c r="B5">
        <v>45</v>
      </c>
      <c r="D5" t="s">
        <v>604</v>
      </c>
      <c r="E5">
        <f>QUARTILE(A2:A10,0)</f>
        <v>39</v>
      </c>
      <c r="F5">
        <f>QUARTILE(B2:B10,0)</f>
        <v>45</v>
      </c>
    </row>
    <row r="6" spans="1:6" x14ac:dyDescent="0.3">
      <c r="A6">
        <v>67</v>
      </c>
      <c r="B6">
        <v>140</v>
      </c>
      <c r="D6" t="s">
        <v>605</v>
      </c>
      <c r="E6">
        <f>QUARTILE(A2:A10, 1)</f>
        <v>67</v>
      </c>
      <c r="F6">
        <f>QUARTILE(B2:B10, 1)</f>
        <v>59</v>
      </c>
    </row>
    <row r="7" spans="1:6" x14ac:dyDescent="0.3">
      <c r="A7">
        <v>45</v>
      </c>
      <c r="B7">
        <v>108</v>
      </c>
      <c r="D7" t="s">
        <v>606</v>
      </c>
      <c r="E7">
        <f>QUARTILE(A2:A10,2)</f>
        <v>77</v>
      </c>
      <c r="F7">
        <f>QUARTILE(B2:B10,2)</f>
        <v>79</v>
      </c>
    </row>
    <row r="8" spans="1:6" x14ac:dyDescent="0.3">
      <c r="A8">
        <v>148</v>
      </c>
      <c r="B8">
        <v>59</v>
      </c>
      <c r="D8" t="s">
        <v>607</v>
      </c>
      <c r="E8">
        <f>QUARTILE(A2:A10,3)</f>
        <v>88</v>
      </c>
      <c r="F8">
        <f>QUARTILE(B2:B10,3)</f>
        <v>111</v>
      </c>
    </row>
    <row r="9" spans="1:6" x14ac:dyDescent="0.3">
      <c r="A9">
        <v>77</v>
      </c>
      <c r="B9">
        <v>79</v>
      </c>
      <c r="D9" t="s">
        <v>608</v>
      </c>
      <c r="E9">
        <f>QUARTILE(A2:A10,4)</f>
        <v>148</v>
      </c>
      <c r="F9">
        <f>QUARTILE(B2:B10,4)</f>
        <v>140</v>
      </c>
    </row>
    <row r="10" spans="1:6" x14ac:dyDescent="0.3">
      <c r="A10">
        <v>70</v>
      </c>
      <c r="B10">
        <v>125</v>
      </c>
      <c r="D10" t="s">
        <v>610</v>
      </c>
      <c r="E10">
        <f>E3/E4</f>
        <v>2.4663985532976858</v>
      </c>
      <c r="F10">
        <f>F3/F4</f>
        <v>2.5404584488763629</v>
      </c>
    </row>
  </sheetData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DD7D01-D5E4-41C7-9472-0BF4A25390AB}">
  <dimension ref="A1:F26"/>
  <sheetViews>
    <sheetView topLeftCell="A2" workbookViewId="0">
      <selection activeCell="P20" sqref="P20"/>
    </sheetView>
  </sheetViews>
  <sheetFormatPr defaultRowHeight="14.4" x14ac:dyDescent="0.3"/>
  <cols>
    <col min="4" max="4" width="14.5546875" customWidth="1"/>
  </cols>
  <sheetData>
    <row r="1" spans="1:6" x14ac:dyDescent="0.3">
      <c r="A1" t="s">
        <v>599</v>
      </c>
      <c r="B1" t="s">
        <v>600</v>
      </c>
      <c r="E1" t="s">
        <v>599</v>
      </c>
      <c r="F1" t="s">
        <v>600</v>
      </c>
    </row>
    <row r="2" spans="1:6" x14ac:dyDescent="0.3">
      <c r="A2">
        <v>115</v>
      </c>
      <c r="B2">
        <v>72</v>
      </c>
      <c r="D2" t="s">
        <v>601</v>
      </c>
      <c r="E2">
        <f>SUM(A2:A12)</f>
        <v>1378</v>
      </c>
      <c r="F2">
        <f>SUM(B2:B12)</f>
        <v>846</v>
      </c>
    </row>
    <row r="3" spans="1:6" x14ac:dyDescent="0.3">
      <c r="A3">
        <v>153</v>
      </c>
      <c r="B3">
        <v>36</v>
      </c>
      <c r="D3" t="s">
        <v>602</v>
      </c>
      <c r="E3">
        <f>AVERAGE(A2:A12)</f>
        <v>125.27272727272727</v>
      </c>
      <c r="F3">
        <f>AVERAGE(B2:B12)</f>
        <v>76.909090909090907</v>
      </c>
    </row>
    <row r="4" spans="1:6" x14ac:dyDescent="0.3">
      <c r="A4">
        <v>111</v>
      </c>
      <c r="B4">
        <v>39</v>
      </c>
      <c r="D4" t="s">
        <v>603</v>
      </c>
      <c r="E4">
        <f>_xlfn.STDEV.S(A2:A12)</f>
        <v>22.588009691386763</v>
      </c>
      <c r="F4">
        <f>_xlfn.STDEV.S(B2:B12)</f>
        <v>31.312791461173003</v>
      </c>
    </row>
    <row r="5" spans="1:6" x14ac:dyDescent="0.3">
      <c r="A5">
        <v>138</v>
      </c>
      <c r="B5">
        <v>71</v>
      </c>
      <c r="D5" t="s">
        <v>604</v>
      </c>
      <c r="E5">
        <f>QUARTILE(A2:A12,0)</f>
        <v>84</v>
      </c>
      <c r="F5">
        <f>QUARTILE(B2:B12,0)</f>
        <v>36</v>
      </c>
    </row>
    <row r="6" spans="1:6" x14ac:dyDescent="0.3">
      <c r="A6">
        <v>132</v>
      </c>
      <c r="B6">
        <v>49</v>
      </c>
      <c r="D6" t="s">
        <v>605</v>
      </c>
      <c r="E6">
        <f>QUARTILE(A2:A12, 1)</f>
        <v>112.5</v>
      </c>
      <c r="F6">
        <f>QUARTILE(B2:B12, 1)</f>
        <v>56</v>
      </c>
    </row>
    <row r="7" spans="1:6" x14ac:dyDescent="0.3">
      <c r="A7">
        <v>157</v>
      </c>
      <c r="B7">
        <v>75</v>
      </c>
      <c r="D7" t="s">
        <v>606</v>
      </c>
      <c r="E7">
        <f>QUARTILE(A2:A12,2)</f>
        <v>122</v>
      </c>
      <c r="F7">
        <f>QUARTILE(B2:B12,2)</f>
        <v>72</v>
      </c>
    </row>
    <row r="8" spans="1:6" x14ac:dyDescent="0.3">
      <c r="A8">
        <v>84</v>
      </c>
      <c r="B8">
        <v>105</v>
      </c>
      <c r="D8" t="s">
        <v>607</v>
      </c>
      <c r="E8">
        <f>QUARTILE(A2:A12,3)</f>
        <v>143</v>
      </c>
      <c r="F8">
        <f>QUARTILE(B2:B12,3)</f>
        <v>97.5</v>
      </c>
    </row>
    <row r="9" spans="1:6" x14ac:dyDescent="0.3">
      <c r="A9">
        <v>114</v>
      </c>
      <c r="B9">
        <v>90</v>
      </c>
      <c r="D9" t="s">
        <v>608</v>
      </c>
      <c r="E9">
        <f>QUARTILE(A2:A12,4)</f>
        <v>157</v>
      </c>
      <c r="F9">
        <f>QUARTILE(B2:B12,4)</f>
        <v>138</v>
      </c>
    </row>
    <row r="10" spans="1:6" x14ac:dyDescent="0.3">
      <c r="A10">
        <v>104</v>
      </c>
      <c r="B10">
        <v>63</v>
      </c>
      <c r="D10" t="s">
        <v>610</v>
      </c>
      <c r="E10">
        <f>E3/E4</f>
        <v>5.5459834214829531</v>
      </c>
      <c r="F10">
        <f>F3/F4</f>
        <v>2.4561556897428343</v>
      </c>
    </row>
    <row r="11" spans="1:6" x14ac:dyDescent="0.3">
      <c r="A11">
        <v>122</v>
      </c>
      <c r="B11">
        <v>138</v>
      </c>
    </row>
    <row r="12" spans="1:6" x14ac:dyDescent="0.3">
      <c r="A12">
        <v>148</v>
      </c>
      <c r="B12">
        <v>108</v>
      </c>
    </row>
    <row r="17" spans="1:6" x14ac:dyDescent="0.3">
      <c r="A17" t="s">
        <v>599</v>
      </c>
      <c r="B17" t="s">
        <v>600</v>
      </c>
      <c r="E17" t="s">
        <v>599</v>
      </c>
      <c r="F17" t="s">
        <v>600</v>
      </c>
    </row>
    <row r="18" spans="1:6" x14ac:dyDescent="0.3">
      <c r="A18">
        <v>115</v>
      </c>
      <c r="B18">
        <v>72</v>
      </c>
      <c r="D18" t="s">
        <v>601</v>
      </c>
      <c r="E18">
        <f>SUM(A18:A28)</f>
        <v>1108</v>
      </c>
      <c r="F18">
        <f>SUM(B18:B28)</f>
        <v>600</v>
      </c>
    </row>
    <row r="19" spans="1:6" x14ac:dyDescent="0.3">
      <c r="A19">
        <v>153</v>
      </c>
      <c r="B19">
        <v>36</v>
      </c>
      <c r="D19" t="s">
        <v>602</v>
      </c>
      <c r="E19">
        <f>AVERAGE(A18:A28)</f>
        <v>123.11111111111111</v>
      </c>
      <c r="F19">
        <f>AVERAGE(B18:B28)</f>
        <v>66.666666666666671</v>
      </c>
    </row>
    <row r="20" spans="1:6" x14ac:dyDescent="0.3">
      <c r="A20">
        <v>111</v>
      </c>
      <c r="B20">
        <v>39</v>
      </c>
      <c r="D20" t="s">
        <v>603</v>
      </c>
      <c r="E20">
        <f>_xlfn.STDEV.S(A18:A28)</f>
        <v>23.803594499804216</v>
      </c>
      <c r="F20">
        <f>_xlfn.STDEV.S(B18:B28)</f>
        <v>22.808989455914087</v>
      </c>
    </row>
    <row r="21" spans="1:6" x14ac:dyDescent="0.3">
      <c r="A21">
        <v>138</v>
      </c>
      <c r="B21">
        <v>71</v>
      </c>
      <c r="D21" t="s">
        <v>604</v>
      </c>
      <c r="E21">
        <f>QUARTILE(A18:A28,0)</f>
        <v>84</v>
      </c>
      <c r="F21">
        <f>QUARTILE(B18:B28,0)</f>
        <v>36</v>
      </c>
    </row>
    <row r="22" spans="1:6" x14ac:dyDescent="0.3">
      <c r="A22">
        <v>132</v>
      </c>
      <c r="B22">
        <v>49</v>
      </c>
      <c r="D22" t="s">
        <v>605</v>
      </c>
      <c r="E22">
        <f>QUARTILE(A18:A28, 1)</f>
        <v>111</v>
      </c>
      <c r="F22">
        <f>QUARTILE(B18:B28, 1)</f>
        <v>49</v>
      </c>
    </row>
    <row r="23" spans="1:6" x14ac:dyDescent="0.3">
      <c r="A23">
        <v>157</v>
      </c>
      <c r="B23">
        <v>75</v>
      </c>
      <c r="D23" t="s">
        <v>606</v>
      </c>
      <c r="E23">
        <f>QUARTILE(A18:A28,2)</f>
        <v>115</v>
      </c>
      <c r="F23">
        <f>QUARTILE(B18:B28,2)</f>
        <v>71</v>
      </c>
    </row>
    <row r="24" spans="1:6" x14ac:dyDescent="0.3">
      <c r="A24">
        <v>84</v>
      </c>
      <c r="B24">
        <v>105</v>
      </c>
      <c r="D24" t="s">
        <v>607</v>
      </c>
      <c r="E24">
        <f>QUARTILE(A18:A28,3)</f>
        <v>138</v>
      </c>
      <c r="F24">
        <f>QUARTILE(B18:B28,3)</f>
        <v>75</v>
      </c>
    </row>
    <row r="25" spans="1:6" x14ac:dyDescent="0.3">
      <c r="A25">
        <v>114</v>
      </c>
      <c r="B25">
        <v>90</v>
      </c>
      <c r="D25" t="s">
        <v>608</v>
      </c>
      <c r="E25">
        <f>QUARTILE(A18:A28,4)</f>
        <v>157</v>
      </c>
      <c r="F25">
        <f>QUARTILE(B18:B28,4)</f>
        <v>105</v>
      </c>
    </row>
    <row r="26" spans="1:6" x14ac:dyDescent="0.3">
      <c r="A26">
        <v>104</v>
      </c>
      <c r="B26">
        <v>63</v>
      </c>
      <c r="D26" t="s">
        <v>610</v>
      </c>
      <c r="E26">
        <f>E19/E20</f>
        <v>5.1719546437460817</v>
      </c>
      <c r="F26">
        <f>F19/F20</f>
        <v>2.9228242134760967</v>
      </c>
    </row>
  </sheetData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BDEB54-455F-41C7-975D-A88B6C76AC88}">
  <dimension ref="A1:F26"/>
  <sheetViews>
    <sheetView workbookViewId="0">
      <selection activeCell="G19" sqref="G19"/>
    </sheetView>
  </sheetViews>
  <sheetFormatPr defaultRowHeight="14.4" x14ac:dyDescent="0.3"/>
  <cols>
    <col min="4" max="4" width="15.88671875" customWidth="1"/>
  </cols>
  <sheetData>
    <row r="1" spans="1:6" x14ac:dyDescent="0.3">
      <c r="A1" t="s">
        <v>599</v>
      </c>
      <c r="B1" t="s">
        <v>600</v>
      </c>
      <c r="E1" t="s">
        <v>599</v>
      </c>
      <c r="F1" t="s">
        <v>600</v>
      </c>
    </row>
    <row r="2" spans="1:6" x14ac:dyDescent="0.3">
      <c r="A2">
        <v>89</v>
      </c>
      <c r="B2">
        <v>60</v>
      </c>
      <c r="D2" t="s">
        <v>601</v>
      </c>
      <c r="E2">
        <f>SUM(A2:A12)</f>
        <v>1018</v>
      </c>
      <c r="F2">
        <f>SUM(B2:B12)</f>
        <v>719</v>
      </c>
    </row>
    <row r="3" spans="1:6" x14ac:dyDescent="0.3">
      <c r="A3">
        <v>77</v>
      </c>
      <c r="B3">
        <v>60</v>
      </c>
      <c r="D3" t="s">
        <v>602</v>
      </c>
      <c r="E3">
        <f>AVERAGE(A2:A12)</f>
        <v>92.545454545454547</v>
      </c>
      <c r="F3">
        <f>AVERAGE(B2:B12)</f>
        <v>65.36363636363636</v>
      </c>
    </row>
    <row r="4" spans="1:6" x14ac:dyDescent="0.3">
      <c r="A4">
        <v>86</v>
      </c>
      <c r="B4">
        <v>89</v>
      </c>
      <c r="D4" t="s">
        <v>603</v>
      </c>
      <c r="E4">
        <f>_xlfn.STDEV.S(A2:A12)</f>
        <v>37.744837094266657</v>
      </c>
      <c r="F4">
        <f>_xlfn.STDEV.S(B2:B12)</f>
        <v>29.506855905950832</v>
      </c>
    </row>
    <row r="5" spans="1:6" x14ac:dyDescent="0.3">
      <c r="A5">
        <v>53</v>
      </c>
      <c r="B5">
        <v>47</v>
      </c>
      <c r="D5" t="s">
        <v>604</v>
      </c>
      <c r="E5">
        <f>QUARTILE(A2:A12,0)</f>
        <v>53</v>
      </c>
      <c r="F5">
        <f>QUARTILE(B2:B12,0)</f>
        <v>0</v>
      </c>
    </row>
    <row r="6" spans="1:6" x14ac:dyDescent="0.3">
      <c r="A6">
        <v>74</v>
      </c>
      <c r="B6">
        <v>81</v>
      </c>
      <c r="D6" t="s">
        <v>605</v>
      </c>
      <c r="E6">
        <f>QUARTILE(A2:A12, 1)</f>
        <v>69.5</v>
      </c>
      <c r="F6">
        <f>QUARTILE(B2:B12, 1)</f>
        <v>50</v>
      </c>
    </row>
    <row r="7" spans="1:6" x14ac:dyDescent="0.3">
      <c r="A7">
        <v>83</v>
      </c>
      <c r="B7">
        <v>52</v>
      </c>
      <c r="D7" t="s">
        <v>606</v>
      </c>
      <c r="E7">
        <f>QUARTILE(A2:A12,2)</f>
        <v>83</v>
      </c>
      <c r="F7">
        <f>QUARTILE(B2:B12,2)</f>
        <v>60</v>
      </c>
    </row>
    <row r="8" spans="1:6" x14ac:dyDescent="0.3">
      <c r="A8">
        <v>105</v>
      </c>
      <c r="B8">
        <v>102</v>
      </c>
      <c r="D8" t="s">
        <v>607</v>
      </c>
      <c r="E8">
        <f>QUARTILE(A2:A12,3)</f>
        <v>97</v>
      </c>
      <c r="F8">
        <f>QUARTILE(B2:B12,3)</f>
        <v>85</v>
      </c>
    </row>
    <row r="9" spans="1:6" x14ac:dyDescent="0.3">
      <c r="A9">
        <v>168</v>
      </c>
      <c r="B9">
        <v>48</v>
      </c>
      <c r="D9" t="s">
        <v>608</v>
      </c>
      <c r="E9">
        <f>QUARTILE(A2:A12,4)</f>
        <v>168</v>
      </c>
      <c r="F9">
        <f>QUARTILE(B2:B12,4)</f>
        <v>102</v>
      </c>
    </row>
    <row r="10" spans="1:6" x14ac:dyDescent="0.3">
      <c r="A10">
        <v>60</v>
      </c>
      <c r="B10">
        <v>80</v>
      </c>
      <c r="D10" t="s">
        <v>610</v>
      </c>
      <c r="E10">
        <f>E3/E4</f>
        <v>2.4518705515757002</v>
      </c>
      <c r="F10">
        <f>F3/F4</f>
        <v>2.2152016660797149</v>
      </c>
    </row>
    <row r="11" spans="1:6" x14ac:dyDescent="0.3">
      <c r="A11">
        <v>65</v>
      </c>
      <c r="B11">
        <v>100</v>
      </c>
    </row>
    <row r="12" spans="1:6" x14ac:dyDescent="0.3">
      <c r="A12">
        <v>158</v>
      </c>
      <c r="B12">
        <v>0</v>
      </c>
    </row>
    <row r="17" spans="1:6" x14ac:dyDescent="0.3">
      <c r="A17" t="s">
        <v>599</v>
      </c>
      <c r="B17" t="s">
        <v>600</v>
      </c>
      <c r="E17" t="s">
        <v>599</v>
      </c>
      <c r="F17" t="s">
        <v>600</v>
      </c>
    </row>
    <row r="18" spans="1:6" x14ac:dyDescent="0.3">
      <c r="A18">
        <v>89</v>
      </c>
      <c r="B18">
        <v>60</v>
      </c>
      <c r="D18" t="s">
        <v>601</v>
      </c>
      <c r="E18">
        <f>SUM(A18:A28)</f>
        <v>795</v>
      </c>
      <c r="F18">
        <f>SUM(B18:B28)</f>
        <v>619</v>
      </c>
    </row>
    <row r="19" spans="1:6" x14ac:dyDescent="0.3">
      <c r="A19">
        <v>77</v>
      </c>
      <c r="B19">
        <v>60</v>
      </c>
      <c r="D19" t="s">
        <v>602</v>
      </c>
      <c r="E19">
        <f>AVERAGE(A18:A28)</f>
        <v>88.333333333333329</v>
      </c>
      <c r="F19">
        <f>AVERAGE(B18:B28)</f>
        <v>68.777777777777771</v>
      </c>
    </row>
    <row r="20" spans="1:6" x14ac:dyDescent="0.3">
      <c r="A20">
        <v>86</v>
      </c>
      <c r="B20">
        <v>89</v>
      </c>
      <c r="D20" t="s">
        <v>603</v>
      </c>
      <c r="E20">
        <f>_xlfn.STDEV.S(A18:A28)</f>
        <v>33.622908856908857</v>
      </c>
      <c r="F20">
        <f>_xlfn.STDEV.S(B18:B28)</f>
        <v>19.778636061276934</v>
      </c>
    </row>
    <row r="21" spans="1:6" x14ac:dyDescent="0.3">
      <c r="A21">
        <v>53</v>
      </c>
      <c r="B21">
        <v>47</v>
      </c>
      <c r="D21" t="s">
        <v>604</v>
      </c>
      <c r="E21">
        <f>QUARTILE(A18:A28,0)</f>
        <v>53</v>
      </c>
      <c r="F21">
        <f>QUARTILE(B18:B28,0)</f>
        <v>47</v>
      </c>
    </row>
    <row r="22" spans="1:6" x14ac:dyDescent="0.3">
      <c r="A22">
        <v>74</v>
      </c>
      <c r="B22">
        <v>81</v>
      </c>
      <c r="D22" t="s">
        <v>605</v>
      </c>
      <c r="E22">
        <f>QUARTILE(A18:A28, 1)</f>
        <v>74</v>
      </c>
      <c r="F22">
        <f>QUARTILE(B18:B28, 1)</f>
        <v>52</v>
      </c>
    </row>
    <row r="23" spans="1:6" x14ac:dyDescent="0.3">
      <c r="A23">
        <v>83</v>
      </c>
      <c r="B23">
        <v>52</v>
      </c>
      <c r="D23" t="s">
        <v>606</v>
      </c>
      <c r="E23">
        <f>QUARTILE(A18:A28,2)</f>
        <v>83</v>
      </c>
      <c r="F23">
        <f>QUARTILE(B18:B28,2)</f>
        <v>60</v>
      </c>
    </row>
    <row r="24" spans="1:6" x14ac:dyDescent="0.3">
      <c r="A24">
        <v>105</v>
      </c>
      <c r="B24">
        <v>102</v>
      </c>
      <c r="D24" t="s">
        <v>607</v>
      </c>
      <c r="E24">
        <f>QUARTILE(A18:A28,3)</f>
        <v>89</v>
      </c>
      <c r="F24">
        <f>QUARTILE(B18:B28,3)</f>
        <v>81</v>
      </c>
    </row>
    <row r="25" spans="1:6" x14ac:dyDescent="0.3">
      <c r="A25">
        <v>168</v>
      </c>
      <c r="B25">
        <v>48</v>
      </c>
      <c r="D25" t="s">
        <v>608</v>
      </c>
      <c r="E25">
        <f>QUARTILE(A18:A28,4)</f>
        <v>168</v>
      </c>
      <c r="F25">
        <f>QUARTILE(B18:B28,4)</f>
        <v>102</v>
      </c>
    </row>
    <row r="26" spans="1:6" x14ac:dyDescent="0.3">
      <c r="A26">
        <v>60</v>
      </c>
      <c r="B26">
        <v>80</v>
      </c>
      <c r="D26" t="s">
        <v>610</v>
      </c>
      <c r="E26">
        <f>E19/E20</f>
        <v>2.6271770152088592</v>
      </c>
      <c r="F26">
        <f>F19/F20</f>
        <v>3.4773771843869699</v>
      </c>
    </row>
  </sheetData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0BF352-890A-49AA-BF87-9E2C49464FB6}">
  <dimension ref="A1:F27"/>
  <sheetViews>
    <sheetView topLeftCell="A7" workbookViewId="0">
      <selection activeCell="P25" sqref="P25"/>
    </sheetView>
  </sheetViews>
  <sheetFormatPr defaultRowHeight="14.4" x14ac:dyDescent="0.3"/>
  <sheetData>
    <row r="1" spans="1:6" x14ac:dyDescent="0.3">
      <c r="A1" t="s">
        <v>599</v>
      </c>
      <c r="B1" t="s">
        <v>600</v>
      </c>
      <c r="E1" t="s">
        <v>599</v>
      </c>
      <c r="F1" t="s">
        <v>600</v>
      </c>
    </row>
    <row r="2" spans="1:6" x14ac:dyDescent="0.3">
      <c r="A2">
        <v>113</v>
      </c>
      <c r="B2">
        <v>90</v>
      </c>
      <c r="D2" t="s">
        <v>601</v>
      </c>
      <c r="E2">
        <f>SUM(A2:A13)</f>
        <v>1051</v>
      </c>
      <c r="F2">
        <f>SUM(B2:B13)</f>
        <v>918</v>
      </c>
    </row>
    <row r="3" spans="1:6" x14ac:dyDescent="0.3">
      <c r="A3">
        <v>65</v>
      </c>
      <c r="B3">
        <v>42</v>
      </c>
      <c r="D3" t="s">
        <v>602</v>
      </c>
      <c r="E3">
        <f>AVERAGE(A2:A13)</f>
        <v>87.583333333333329</v>
      </c>
      <c r="F3">
        <f>AVERAGE(B2:B13)</f>
        <v>76.5</v>
      </c>
    </row>
    <row r="4" spans="1:6" x14ac:dyDescent="0.3">
      <c r="A4">
        <v>103</v>
      </c>
      <c r="B4">
        <v>75</v>
      </c>
      <c r="D4" t="s">
        <v>603</v>
      </c>
      <c r="E4">
        <f>_xlfn.STDEV.S(A2:A13)</f>
        <v>26.575649597237543</v>
      </c>
      <c r="F4">
        <f>_xlfn.STDEV.S(B2:B13)</f>
        <v>25.386109301240815</v>
      </c>
    </row>
    <row r="5" spans="1:6" x14ac:dyDescent="0.3">
      <c r="A5">
        <v>70</v>
      </c>
      <c r="B5">
        <v>100</v>
      </c>
      <c r="D5" t="s">
        <v>604</v>
      </c>
      <c r="E5">
        <f>QUARTILE(A2:A13,0)</f>
        <v>37</v>
      </c>
      <c r="F5">
        <f>QUARTILE(B2:B13,0)</f>
        <v>40</v>
      </c>
    </row>
    <row r="6" spans="1:6" x14ac:dyDescent="0.3">
      <c r="A6">
        <v>72</v>
      </c>
      <c r="B6">
        <v>107</v>
      </c>
      <c r="D6" t="s">
        <v>605</v>
      </c>
      <c r="E6">
        <f>QUARTILE(A2:A13, 1)</f>
        <v>71.5</v>
      </c>
      <c r="F6">
        <f>QUARTILE(B2:B13, 1)</f>
        <v>51.75</v>
      </c>
    </row>
    <row r="7" spans="1:6" x14ac:dyDescent="0.3">
      <c r="A7">
        <v>85</v>
      </c>
      <c r="B7">
        <v>40</v>
      </c>
      <c r="D7" t="s">
        <v>606</v>
      </c>
      <c r="E7">
        <f>QUARTILE(A2:A13,2)</f>
        <v>87.5</v>
      </c>
      <c r="F7">
        <f>QUARTILE(B2:B13,2)</f>
        <v>85</v>
      </c>
    </row>
    <row r="8" spans="1:6" x14ac:dyDescent="0.3">
      <c r="A8">
        <v>75</v>
      </c>
      <c r="B8">
        <v>42</v>
      </c>
      <c r="D8" t="s">
        <v>607</v>
      </c>
      <c r="E8">
        <f>QUARTILE(A2:A13,3)</f>
        <v>103</v>
      </c>
      <c r="F8">
        <f>QUARTILE(B2:B13,3)</f>
        <v>94</v>
      </c>
    </row>
    <row r="9" spans="1:6" x14ac:dyDescent="0.3">
      <c r="A9">
        <v>37</v>
      </c>
      <c r="B9">
        <v>92</v>
      </c>
      <c r="D9" t="s">
        <v>608</v>
      </c>
      <c r="E9">
        <f>QUARTILE(A2:A13,4)</f>
        <v>140</v>
      </c>
      <c r="F9">
        <f>QUARTILE(B2:B13,4)</f>
        <v>107</v>
      </c>
    </row>
    <row r="10" spans="1:6" x14ac:dyDescent="0.3">
      <c r="A10">
        <v>98</v>
      </c>
      <c r="B10">
        <v>90</v>
      </c>
      <c r="D10" t="s">
        <v>610</v>
      </c>
      <c r="E10">
        <f>E3/E4</f>
        <v>3.295623424476418</v>
      </c>
      <c r="F10">
        <f>F3/F4</f>
        <v>3.0134590177731906</v>
      </c>
    </row>
    <row r="11" spans="1:6" x14ac:dyDescent="0.3">
      <c r="A11">
        <v>103</v>
      </c>
      <c r="B11">
        <v>80</v>
      </c>
    </row>
    <row r="12" spans="1:6" x14ac:dyDescent="0.3">
      <c r="A12">
        <v>90</v>
      </c>
      <c r="B12">
        <v>105</v>
      </c>
    </row>
    <row r="13" spans="1:6" x14ac:dyDescent="0.3">
      <c r="A13">
        <v>140</v>
      </c>
      <c r="B13">
        <v>55</v>
      </c>
    </row>
    <row r="18" spans="1:6" x14ac:dyDescent="0.3">
      <c r="A18" t="s">
        <v>599</v>
      </c>
      <c r="B18" t="s">
        <v>600</v>
      </c>
      <c r="E18" t="s">
        <v>599</v>
      </c>
      <c r="F18" t="s">
        <v>600</v>
      </c>
    </row>
    <row r="19" spans="1:6" x14ac:dyDescent="0.3">
      <c r="A19">
        <v>113</v>
      </c>
      <c r="B19">
        <v>90</v>
      </c>
      <c r="D19" t="s">
        <v>601</v>
      </c>
      <c r="E19">
        <f>SUM(A19:A30)</f>
        <v>718</v>
      </c>
      <c r="F19">
        <f>SUM(B19:B30)</f>
        <v>678</v>
      </c>
    </row>
    <row r="20" spans="1:6" x14ac:dyDescent="0.3">
      <c r="A20">
        <v>65</v>
      </c>
      <c r="B20">
        <v>42</v>
      </c>
      <c r="D20" t="s">
        <v>602</v>
      </c>
      <c r="E20">
        <f>AVERAGE(A19:A30)</f>
        <v>79.777777777777771</v>
      </c>
      <c r="F20">
        <f>AVERAGE(B19:B30)</f>
        <v>75.333333333333329</v>
      </c>
    </row>
    <row r="21" spans="1:6" x14ac:dyDescent="0.3">
      <c r="A21">
        <v>103</v>
      </c>
      <c r="B21">
        <v>75</v>
      </c>
      <c r="D21" t="s">
        <v>603</v>
      </c>
      <c r="E21">
        <f>_xlfn.STDEV.S(A19:A30)</f>
        <v>22.993356528450654</v>
      </c>
      <c r="F21">
        <f>_xlfn.STDEV.S(B19:B30)</f>
        <v>26.90260210462921</v>
      </c>
    </row>
    <row r="22" spans="1:6" x14ac:dyDescent="0.3">
      <c r="A22">
        <v>70</v>
      </c>
      <c r="B22">
        <v>100</v>
      </c>
      <c r="D22" t="s">
        <v>604</v>
      </c>
      <c r="E22">
        <f>QUARTILE(A19:A30,0)</f>
        <v>37</v>
      </c>
      <c r="F22">
        <f>QUARTILE(B19:B30,0)</f>
        <v>40</v>
      </c>
    </row>
    <row r="23" spans="1:6" x14ac:dyDescent="0.3">
      <c r="A23">
        <v>72</v>
      </c>
      <c r="B23">
        <v>107</v>
      </c>
      <c r="D23" t="s">
        <v>605</v>
      </c>
      <c r="E23">
        <f>QUARTILE(A19:A30, 1)</f>
        <v>70</v>
      </c>
      <c r="F23">
        <f>QUARTILE(B19:B30, 1)</f>
        <v>42</v>
      </c>
    </row>
    <row r="24" spans="1:6" x14ac:dyDescent="0.3">
      <c r="A24">
        <v>85</v>
      </c>
      <c r="B24">
        <v>40</v>
      </c>
      <c r="D24" t="s">
        <v>606</v>
      </c>
      <c r="E24">
        <f>QUARTILE(A19:A30,2)</f>
        <v>75</v>
      </c>
      <c r="F24">
        <f>QUARTILE(B19:B30,2)</f>
        <v>90</v>
      </c>
    </row>
    <row r="25" spans="1:6" x14ac:dyDescent="0.3">
      <c r="A25">
        <v>75</v>
      </c>
      <c r="B25">
        <v>42</v>
      </c>
      <c r="D25" t="s">
        <v>607</v>
      </c>
      <c r="E25">
        <f>QUARTILE(A19:A30,3)</f>
        <v>98</v>
      </c>
      <c r="F25">
        <f>QUARTILE(B19:B30,3)</f>
        <v>92</v>
      </c>
    </row>
    <row r="26" spans="1:6" x14ac:dyDescent="0.3">
      <c r="A26">
        <v>37</v>
      </c>
      <c r="B26">
        <v>92</v>
      </c>
      <c r="D26" t="s">
        <v>608</v>
      </c>
      <c r="E26">
        <f>QUARTILE(A19:A30,4)</f>
        <v>113</v>
      </c>
      <c r="F26">
        <f>QUARTILE(B19:B30,4)</f>
        <v>107</v>
      </c>
    </row>
    <row r="27" spans="1:6" x14ac:dyDescent="0.3">
      <c r="A27">
        <v>98</v>
      </c>
      <c r="B27">
        <v>90</v>
      </c>
      <c r="D27" t="s">
        <v>610</v>
      </c>
      <c r="E27">
        <f>E20/E21</f>
        <v>3.4696012162932952</v>
      </c>
      <c r="F27">
        <f>F20/F21</f>
        <v>2.8002247901652049</v>
      </c>
    </row>
  </sheetData>
  <pageMargins left="0.7" right="0.7" top="0.75" bottom="0.75" header="0.3" footer="0.3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03BAE0-60B7-47C7-9EB4-D367873962FD}">
  <dimension ref="A1:F27"/>
  <sheetViews>
    <sheetView topLeftCell="A8" workbookViewId="0">
      <selection activeCell="Q25" sqref="Q25"/>
    </sheetView>
  </sheetViews>
  <sheetFormatPr defaultRowHeight="14.4" x14ac:dyDescent="0.3"/>
  <sheetData>
    <row r="1" spans="1:6" x14ac:dyDescent="0.3">
      <c r="A1" t="s">
        <v>599</v>
      </c>
      <c r="B1" t="s">
        <v>600</v>
      </c>
      <c r="E1" t="s">
        <v>599</v>
      </c>
      <c r="F1" t="s">
        <v>600</v>
      </c>
    </row>
    <row r="2" spans="1:6" x14ac:dyDescent="0.3">
      <c r="A2">
        <v>118</v>
      </c>
      <c r="B2">
        <v>70</v>
      </c>
      <c r="D2" t="s">
        <v>601</v>
      </c>
      <c r="E2">
        <f>SUM(A2:A13)</f>
        <v>1262</v>
      </c>
      <c r="F2">
        <f>SUM(B2:B13)</f>
        <v>1000</v>
      </c>
    </row>
    <row r="3" spans="1:6" x14ac:dyDescent="0.3">
      <c r="A3">
        <v>59</v>
      </c>
      <c r="B3">
        <v>125</v>
      </c>
      <c r="D3" t="s">
        <v>602</v>
      </c>
      <c r="E3">
        <f>AVERAGE(A2:A13)</f>
        <v>105.16666666666667</v>
      </c>
      <c r="F3">
        <f>AVERAGE(B2:B13)</f>
        <v>83.333333333333329</v>
      </c>
    </row>
    <row r="4" spans="1:6" x14ac:dyDescent="0.3">
      <c r="A4">
        <v>147</v>
      </c>
      <c r="B4">
        <v>7</v>
      </c>
      <c r="D4" t="s">
        <v>603</v>
      </c>
      <c r="E4">
        <f>_xlfn.STDEV.S(A2:A13)</f>
        <v>29.082432477148089</v>
      </c>
      <c r="F4">
        <f>_xlfn.STDEV.S(B2:B13)</f>
        <v>41.609293833629692</v>
      </c>
    </row>
    <row r="5" spans="1:6" x14ac:dyDescent="0.3">
      <c r="A5">
        <v>119</v>
      </c>
      <c r="B5">
        <v>65</v>
      </c>
      <c r="D5" t="s">
        <v>604</v>
      </c>
      <c r="E5">
        <f>QUARTILE(A2:A13,0)</f>
        <v>59</v>
      </c>
      <c r="F5">
        <f>QUARTILE(B2:B13,0)</f>
        <v>7</v>
      </c>
    </row>
    <row r="6" spans="1:6" x14ac:dyDescent="0.3">
      <c r="A6">
        <v>97</v>
      </c>
      <c r="B6">
        <v>69</v>
      </c>
      <c r="D6" t="s">
        <v>605</v>
      </c>
      <c r="E6">
        <f>QUARTILE(A2:A13, 1)</f>
        <v>84</v>
      </c>
      <c r="F6">
        <f>QUARTILE(B2:B13, 1)</f>
        <v>62.75</v>
      </c>
    </row>
    <row r="7" spans="1:6" x14ac:dyDescent="0.3">
      <c r="A7">
        <v>75</v>
      </c>
      <c r="B7">
        <v>157</v>
      </c>
      <c r="D7" t="s">
        <v>606</v>
      </c>
      <c r="E7">
        <f>QUARTILE(A2:A13,2)</f>
        <v>102</v>
      </c>
      <c r="F7">
        <f>QUARTILE(B2:B13,2)</f>
        <v>74</v>
      </c>
    </row>
    <row r="8" spans="1:6" x14ac:dyDescent="0.3">
      <c r="A8">
        <v>84</v>
      </c>
      <c r="B8">
        <v>110</v>
      </c>
      <c r="D8" t="s">
        <v>607</v>
      </c>
      <c r="E8">
        <f>QUARTILE(A2:A13,3)</f>
        <v>119.5</v>
      </c>
      <c r="F8">
        <f>QUARTILE(B2:B13,3)</f>
        <v>113.75</v>
      </c>
    </row>
    <row r="9" spans="1:6" x14ac:dyDescent="0.3">
      <c r="A9">
        <v>121</v>
      </c>
      <c r="B9">
        <v>56</v>
      </c>
      <c r="D9" t="s">
        <v>608</v>
      </c>
      <c r="E9">
        <f>QUARTILE(A2:A13,4)</f>
        <v>158</v>
      </c>
      <c r="F9">
        <f>QUARTILE(B2:B13,4)</f>
        <v>157</v>
      </c>
    </row>
    <row r="10" spans="1:6" x14ac:dyDescent="0.3">
      <c r="A10">
        <v>84</v>
      </c>
      <c r="B10">
        <v>43</v>
      </c>
      <c r="D10" t="s">
        <v>610</v>
      </c>
      <c r="E10">
        <f>E3/E4</f>
        <v>3.616157855753737</v>
      </c>
      <c r="F10">
        <f>F3/F4</f>
        <v>2.0027576931858717</v>
      </c>
    </row>
    <row r="11" spans="1:6" x14ac:dyDescent="0.3">
      <c r="A11">
        <v>107</v>
      </c>
      <c r="B11">
        <v>78</v>
      </c>
    </row>
    <row r="12" spans="1:6" x14ac:dyDescent="0.3">
      <c r="A12">
        <v>93</v>
      </c>
      <c r="B12">
        <v>130</v>
      </c>
    </row>
    <row r="13" spans="1:6" x14ac:dyDescent="0.3">
      <c r="A13">
        <v>158</v>
      </c>
      <c r="B13">
        <v>90</v>
      </c>
    </row>
    <row r="18" spans="1:6" x14ac:dyDescent="0.3">
      <c r="A18" t="s">
        <v>599</v>
      </c>
      <c r="B18" t="s">
        <v>600</v>
      </c>
      <c r="E18" t="s">
        <v>599</v>
      </c>
      <c r="F18" t="s">
        <v>600</v>
      </c>
    </row>
    <row r="19" spans="1:6" x14ac:dyDescent="0.3">
      <c r="A19">
        <v>118</v>
      </c>
      <c r="B19">
        <v>70</v>
      </c>
      <c r="D19" t="s">
        <v>601</v>
      </c>
      <c r="E19">
        <f>SUM(A19:A30)</f>
        <v>904</v>
      </c>
      <c r="F19">
        <f>SUM(B19:B30)</f>
        <v>702</v>
      </c>
    </row>
    <row r="20" spans="1:6" x14ac:dyDescent="0.3">
      <c r="A20">
        <v>59</v>
      </c>
      <c r="B20">
        <v>125</v>
      </c>
      <c r="D20" t="s">
        <v>602</v>
      </c>
      <c r="E20">
        <f>AVERAGE(A19:A30)</f>
        <v>100.44444444444444</v>
      </c>
      <c r="F20">
        <f>AVERAGE(B19:B30)</f>
        <v>78</v>
      </c>
    </row>
    <row r="21" spans="1:6" x14ac:dyDescent="0.3">
      <c r="A21">
        <v>147</v>
      </c>
      <c r="B21">
        <v>7</v>
      </c>
      <c r="D21" t="s">
        <v>603</v>
      </c>
      <c r="E21">
        <f>_xlfn.STDEV.S(A19:A30)</f>
        <v>27.749374367321821</v>
      </c>
      <c r="F21">
        <f>_xlfn.STDEV.S(B19:B30)</f>
        <v>45.467021015236966</v>
      </c>
    </row>
    <row r="22" spans="1:6" x14ac:dyDescent="0.3">
      <c r="A22">
        <v>119</v>
      </c>
      <c r="B22">
        <v>65</v>
      </c>
      <c r="D22" t="s">
        <v>604</v>
      </c>
      <c r="E22">
        <f>QUARTILE(A19:A30,0)</f>
        <v>59</v>
      </c>
      <c r="F22">
        <f>QUARTILE(B19:B30,0)</f>
        <v>7</v>
      </c>
    </row>
    <row r="23" spans="1:6" x14ac:dyDescent="0.3">
      <c r="A23">
        <v>97</v>
      </c>
      <c r="B23">
        <v>69</v>
      </c>
      <c r="D23" t="s">
        <v>605</v>
      </c>
      <c r="E23">
        <f>QUARTILE(A19:A30, 1)</f>
        <v>84</v>
      </c>
      <c r="F23">
        <f>QUARTILE(B19:B30, 1)</f>
        <v>56</v>
      </c>
    </row>
    <row r="24" spans="1:6" x14ac:dyDescent="0.3">
      <c r="A24">
        <v>75</v>
      </c>
      <c r="B24">
        <v>157</v>
      </c>
      <c r="D24" t="s">
        <v>606</v>
      </c>
      <c r="E24">
        <f>QUARTILE(A19:A30,2)</f>
        <v>97</v>
      </c>
      <c r="F24">
        <f>QUARTILE(B19:B30,2)</f>
        <v>69</v>
      </c>
    </row>
    <row r="25" spans="1:6" x14ac:dyDescent="0.3">
      <c r="A25">
        <v>84</v>
      </c>
      <c r="B25">
        <v>110</v>
      </c>
      <c r="D25" t="s">
        <v>607</v>
      </c>
      <c r="E25">
        <f>QUARTILE(A19:A30,3)</f>
        <v>119</v>
      </c>
      <c r="F25">
        <f>QUARTILE(B19:B30,3)</f>
        <v>110</v>
      </c>
    </row>
    <row r="26" spans="1:6" x14ac:dyDescent="0.3">
      <c r="A26">
        <v>121</v>
      </c>
      <c r="B26">
        <v>56</v>
      </c>
      <c r="D26" t="s">
        <v>608</v>
      </c>
      <c r="E26">
        <f>QUARTILE(A19:A30,4)</f>
        <v>147</v>
      </c>
      <c r="F26">
        <f>QUARTILE(B19:B30,4)</f>
        <v>157</v>
      </c>
    </row>
    <row r="27" spans="1:6" x14ac:dyDescent="0.3">
      <c r="A27">
        <v>84</v>
      </c>
      <c r="B27">
        <v>43</v>
      </c>
      <c r="D27" t="s">
        <v>610</v>
      </c>
      <c r="E27">
        <f>E20/E21</f>
        <v>3.6197012269483699</v>
      </c>
      <c r="F27">
        <f>F20/F21</f>
        <v>1.7155291518628533</v>
      </c>
    </row>
  </sheetData>
  <pageMargins left="0.7" right="0.7" top="0.75" bottom="0.75" header="0.3" footer="0.3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91E3C4-5D1A-4447-9137-F6A271304EB7}">
  <dimension ref="A1:F26"/>
  <sheetViews>
    <sheetView topLeftCell="A3" workbookViewId="0">
      <selection activeCell="P20" sqref="P20"/>
    </sheetView>
  </sheetViews>
  <sheetFormatPr defaultRowHeight="14.4" x14ac:dyDescent="0.3"/>
  <sheetData>
    <row r="1" spans="1:6" x14ac:dyDescent="0.3">
      <c r="A1" t="s">
        <v>599</v>
      </c>
      <c r="B1" t="s">
        <v>600</v>
      </c>
      <c r="E1" t="s">
        <v>599</v>
      </c>
      <c r="F1" t="s">
        <v>600</v>
      </c>
    </row>
    <row r="2" spans="1:6" x14ac:dyDescent="0.3">
      <c r="A2">
        <v>132</v>
      </c>
      <c r="B2">
        <v>118</v>
      </c>
      <c r="D2" t="s">
        <v>601</v>
      </c>
      <c r="E2">
        <f>SUM(A2:A13)</f>
        <v>1141</v>
      </c>
      <c r="F2">
        <f>SUM(B2:B13)</f>
        <v>737</v>
      </c>
    </row>
    <row r="3" spans="1:6" x14ac:dyDescent="0.3">
      <c r="A3">
        <v>47</v>
      </c>
      <c r="B3">
        <v>62</v>
      </c>
      <c r="D3" t="s">
        <v>602</v>
      </c>
      <c r="E3">
        <f>AVERAGE(A2:A13)</f>
        <v>103.72727272727273</v>
      </c>
      <c r="F3">
        <f>AVERAGE(B2:B13)</f>
        <v>67</v>
      </c>
    </row>
    <row r="4" spans="1:6" x14ac:dyDescent="0.3">
      <c r="A4">
        <v>75</v>
      </c>
      <c r="B4">
        <v>85</v>
      </c>
      <c r="D4" t="s">
        <v>603</v>
      </c>
      <c r="E4">
        <f>_xlfn.STDEV.S(A2:A13)</f>
        <v>41.689545234005401</v>
      </c>
      <c r="F4">
        <f>_xlfn.STDEV.S(B2:B13)</f>
        <v>36.408790147435546</v>
      </c>
    </row>
    <row r="5" spans="1:6" x14ac:dyDescent="0.3">
      <c r="A5">
        <v>168</v>
      </c>
      <c r="B5">
        <v>51</v>
      </c>
      <c r="D5" t="s">
        <v>604</v>
      </c>
      <c r="E5">
        <f>QUARTILE(A2:A13,0)</f>
        <v>47</v>
      </c>
      <c r="F5">
        <f>QUARTILE(B2:B13,0)</f>
        <v>0</v>
      </c>
    </row>
    <row r="6" spans="1:6" x14ac:dyDescent="0.3">
      <c r="A6">
        <v>135</v>
      </c>
      <c r="B6">
        <v>22</v>
      </c>
      <c r="D6" t="s">
        <v>605</v>
      </c>
      <c r="E6">
        <f>QUARTILE(A2:A13, 1)</f>
        <v>70</v>
      </c>
      <c r="F6">
        <f>QUARTILE(B2:B13, 1)</f>
        <v>51.5</v>
      </c>
    </row>
    <row r="7" spans="1:6" x14ac:dyDescent="0.3">
      <c r="A7">
        <v>80</v>
      </c>
      <c r="B7">
        <v>109</v>
      </c>
      <c r="D7" t="s">
        <v>606</v>
      </c>
      <c r="E7">
        <f>QUARTILE(A2:A13,2)</f>
        <v>92</v>
      </c>
      <c r="F7">
        <f>QUARTILE(B2:B13,2)</f>
        <v>62</v>
      </c>
    </row>
    <row r="8" spans="1:6" x14ac:dyDescent="0.3">
      <c r="A8">
        <v>92</v>
      </c>
      <c r="B8">
        <v>54</v>
      </c>
      <c r="D8" t="s">
        <v>607</v>
      </c>
      <c r="E8">
        <f>QUARTILE(A2:A13,3)</f>
        <v>133.5</v>
      </c>
      <c r="F8">
        <f>QUARTILE(B2:B13,3)</f>
        <v>92.5</v>
      </c>
    </row>
    <row r="9" spans="1:6" x14ac:dyDescent="0.3">
      <c r="A9">
        <v>62</v>
      </c>
      <c r="B9">
        <v>52</v>
      </c>
      <c r="D9" t="s">
        <v>608</v>
      </c>
      <c r="E9">
        <f>QUARTILE(A2:A13,4)</f>
        <v>168</v>
      </c>
      <c r="F9">
        <f>QUARTILE(B2:B13,4)</f>
        <v>118</v>
      </c>
    </row>
    <row r="10" spans="1:6" x14ac:dyDescent="0.3">
      <c r="A10">
        <v>127</v>
      </c>
      <c r="B10">
        <v>84</v>
      </c>
      <c r="D10" t="s">
        <v>610</v>
      </c>
      <c r="E10">
        <f>E3/E4</f>
        <v>2.4880883719178661</v>
      </c>
      <c r="F10">
        <f>F3/F4</f>
        <v>1.8402149516280795</v>
      </c>
    </row>
    <row r="11" spans="1:6" x14ac:dyDescent="0.3">
      <c r="A11">
        <v>65</v>
      </c>
      <c r="B11">
        <v>100</v>
      </c>
    </row>
    <row r="12" spans="1:6" x14ac:dyDescent="0.3">
      <c r="A12">
        <v>158</v>
      </c>
      <c r="B12">
        <v>0</v>
      </c>
    </row>
    <row r="17" spans="1:6" x14ac:dyDescent="0.3">
      <c r="A17" t="s">
        <v>599</v>
      </c>
      <c r="B17" t="s">
        <v>600</v>
      </c>
      <c r="E17" t="s">
        <v>599</v>
      </c>
      <c r="F17" t="s">
        <v>600</v>
      </c>
    </row>
    <row r="18" spans="1:6" x14ac:dyDescent="0.3">
      <c r="A18">
        <v>132</v>
      </c>
      <c r="B18">
        <v>118</v>
      </c>
      <c r="D18" t="s">
        <v>601</v>
      </c>
      <c r="E18">
        <f>SUM(A18:A29)</f>
        <v>918</v>
      </c>
      <c r="F18">
        <f>SUM(B18:B29)</f>
        <v>637</v>
      </c>
    </row>
    <row r="19" spans="1:6" x14ac:dyDescent="0.3">
      <c r="A19">
        <v>47</v>
      </c>
      <c r="B19">
        <v>62</v>
      </c>
      <c r="D19" t="s">
        <v>602</v>
      </c>
      <c r="E19">
        <f>AVERAGE(A18:A29)</f>
        <v>102</v>
      </c>
      <c r="F19">
        <f>AVERAGE(B18:B29)</f>
        <v>70.777777777777771</v>
      </c>
    </row>
    <row r="20" spans="1:6" x14ac:dyDescent="0.3">
      <c r="A20">
        <v>75</v>
      </c>
      <c r="B20">
        <v>85</v>
      </c>
      <c r="D20" t="s">
        <v>603</v>
      </c>
      <c r="E20">
        <f>_xlfn.STDEV.S(A18:A29)</f>
        <v>40.168395536789866</v>
      </c>
      <c r="F20">
        <f>_xlfn.STDEV.S(B18:B29)</f>
        <v>30.71961009590526</v>
      </c>
    </row>
    <row r="21" spans="1:6" x14ac:dyDescent="0.3">
      <c r="A21">
        <v>168</v>
      </c>
      <c r="B21">
        <v>51</v>
      </c>
      <c r="D21" t="s">
        <v>604</v>
      </c>
      <c r="E21">
        <f>QUARTILE(A18:A29,0)</f>
        <v>47</v>
      </c>
      <c r="F21">
        <f>QUARTILE(B18:B29,0)</f>
        <v>22</v>
      </c>
    </row>
    <row r="22" spans="1:6" x14ac:dyDescent="0.3">
      <c r="A22">
        <v>135</v>
      </c>
      <c r="B22">
        <v>22</v>
      </c>
      <c r="D22" t="s">
        <v>605</v>
      </c>
      <c r="E22">
        <f>QUARTILE(A18:A29, 1)</f>
        <v>75</v>
      </c>
      <c r="F22">
        <f>QUARTILE(B18:B29, 1)</f>
        <v>52</v>
      </c>
    </row>
    <row r="23" spans="1:6" x14ac:dyDescent="0.3">
      <c r="A23">
        <v>80</v>
      </c>
      <c r="B23">
        <v>109</v>
      </c>
      <c r="D23" t="s">
        <v>606</v>
      </c>
      <c r="E23">
        <f>QUARTILE(A18:A29,2)</f>
        <v>92</v>
      </c>
      <c r="F23">
        <f>QUARTILE(B18:B29,2)</f>
        <v>62</v>
      </c>
    </row>
    <row r="24" spans="1:6" x14ac:dyDescent="0.3">
      <c r="A24">
        <v>92</v>
      </c>
      <c r="B24">
        <v>54</v>
      </c>
      <c r="D24" t="s">
        <v>607</v>
      </c>
      <c r="E24">
        <f>QUARTILE(A18:A29,3)</f>
        <v>132</v>
      </c>
      <c r="F24">
        <f>QUARTILE(B18:B29,3)</f>
        <v>85</v>
      </c>
    </row>
    <row r="25" spans="1:6" x14ac:dyDescent="0.3">
      <c r="A25">
        <v>62</v>
      </c>
      <c r="B25">
        <v>52</v>
      </c>
      <c r="D25" t="s">
        <v>608</v>
      </c>
      <c r="E25">
        <f>QUARTILE(A18:A29,4)</f>
        <v>168</v>
      </c>
      <c r="F25">
        <f>QUARTILE(B18:B29,4)</f>
        <v>118</v>
      </c>
    </row>
    <row r="26" spans="1:6" x14ac:dyDescent="0.3">
      <c r="A26">
        <v>127</v>
      </c>
      <c r="B26">
        <v>84</v>
      </c>
      <c r="D26" t="s">
        <v>610</v>
      </c>
      <c r="E26">
        <f>E19/E20</f>
        <v>2.5393097891246148</v>
      </c>
      <c r="F26">
        <f>F19/F20</f>
        <v>2.3039933630932388</v>
      </c>
    </row>
  </sheetData>
  <pageMargins left="0.7" right="0.7" top="0.75" bottom="0.75" header="0.3" footer="0.3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558619-EC69-486F-A1D7-BAD44F8159B2}">
  <dimension ref="A1:F10"/>
  <sheetViews>
    <sheetView workbookViewId="0">
      <selection activeCell="R9" sqref="R9"/>
    </sheetView>
  </sheetViews>
  <sheetFormatPr defaultRowHeight="14.4" x14ac:dyDescent="0.3"/>
  <sheetData>
    <row r="1" spans="1:6" x14ac:dyDescent="0.3">
      <c r="A1" t="s">
        <v>599</v>
      </c>
      <c r="B1" t="s">
        <v>600</v>
      </c>
      <c r="E1" t="s">
        <v>599</v>
      </c>
      <c r="F1" t="s">
        <v>600</v>
      </c>
    </row>
    <row r="2" spans="1:6" x14ac:dyDescent="0.3">
      <c r="A2">
        <v>113</v>
      </c>
      <c r="B2">
        <v>90</v>
      </c>
      <c r="D2" t="s">
        <v>601</v>
      </c>
      <c r="E2">
        <f>SUM(A2:A10)</f>
        <v>750</v>
      </c>
      <c r="F2">
        <f>SUM(B2:B10)</f>
        <v>743</v>
      </c>
    </row>
    <row r="3" spans="1:6" x14ac:dyDescent="0.3">
      <c r="A3">
        <v>57</v>
      </c>
      <c r="B3">
        <v>65</v>
      </c>
      <c r="D3" t="s">
        <v>602</v>
      </c>
      <c r="E3">
        <f>AVERAGE(A2:A10)</f>
        <v>83.333333333333329</v>
      </c>
      <c r="F3">
        <f>AVERAGE(B2:B10)</f>
        <v>82.555555555555557</v>
      </c>
    </row>
    <row r="4" spans="1:6" x14ac:dyDescent="0.3">
      <c r="A4">
        <v>64</v>
      </c>
      <c r="B4">
        <v>116</v>
      </c>
      <c r="D4" t="s">
        <v>603</v>
      </c>
      <c r="E4">
        <f>_xlfn.STDEV.S(A2:A10)</f>
        <v>19.05255888325765</v>
      </c>
      <c r="F4">
        <f>_xlfn.STDEV.S(B2:B10)</f>
        <v>26.139582586142751</v>
      </c>
    </row>
    <row r="5" spans="1:6" x14ac:dyDescent="0.3">
      <c r="A5">
        <v>80</v>
      </c>
      <c r="B5">
        <v>60</v>
      </c>
      <c r="D5" t="s">
        <v>604</v>
      </c>
      <c r="E5">
        <f>QUARTILE(A2:A10,0)</f>
        <v>57</v>
      </c>
      <c r="F5">
        <f>QUARTILE(B2:B10,0)</f>
        <v>60</v>
      </c>
    </row>
    <row r="6" spans="1:6" x14ac:dyDescent="0.3">
      <c r="A6">
        <v>72</v>
      </c>
      <c r="B6">
        <v>132</v>
      </c>
      <c r="D6" t="s">
        <v>605</v>
      </c>
      <c r="E6">
        <f>QUARTILE(A2:A10, 1)</f>
        <v>72</v>
      </c>
      <c r="F6">
        <f>QUARTILE(B2:B10, 1)</f>
        <v>60</v>
      </c>
    </row>
    <row r="7" spans="1:6" x14ac:dyDescent="0.3">
      <c r="A7">
        <v>109</v>
      </c>
      <c r="B7">
        <v>80</v>
      </c>
      <c r="D7" t="s">
        <v>606</v>
      </c>
      <c r="E7">
        <f>QUARTILE(A2:A10,2)</f>
        <v>80</v>
      </c>
      <c r="F7">
        <f>QUARTILE(B2:B10,2)</f>
        <v>80</v>
      </c>
    </row>
    <row r="8" spans="1:6" x14ac:dyDescent="0.3">
      <c r="A8">
        <v>95</v>
      </c>
      <c r="B8">
        <v>60</v>
      </c>
      <c r="D8" t="s">
        <v>607</v>
      </c>
      <c r="E8">
        <f>QUARTILE(A2:A10,3)</f>
        <v>95</v>
      </c>
      <c r="F8">
        <f>QUARTILE(B2:B10,3)</f>
        <v>90</v>
      </c>
    </row>
    <row r="9" spans="1:6" x14ac:dyDescent="0.3">
      <c r="A9">
        <v>80</v>
      </c>
      <c r="B9">
        <v>80</v>
      </c>
      <c r="D9" t="s">
        <v>608</v>
      </c>
      <c r="E9">
        <f>QUARTILE(A2:A10,4)</f>
        <v>113</v>
      </c>
      <c r="F9">
        <f>QUARTILE(B2:B10,4)</f>
        <v>132</v>
      </c>
    </row>
    <row r="10" spans="1:6" x14ac:dyDescent="0.3">
      <c r="A10">
        <v>80</v>
      </c>
      <c r="B10">
        <v>60</v>
      </c>
      <c r="D10" t="s">
        <v>610</v>
      </c>
      <c r="E10">
        <f>E3/E4</f>
        <v>4.3738656756789833</v>
      </c>
      <c r="F10">
        <f>F3/F4</f>
        <v>3.1582583724699695</v>
      </c>
    </row>
  </sheetData>
  <pageMargins left="0.7" right="0.7" top="0.75" bottom="0.75" header="0.3" footer="0.3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101F79-82D0-4C69-8D8B-C94C2982DE9E}">
  <dimension ref="A1:F29"/>
  <sheetViews>
    <sheetView topLeftCell="A7" workbookViewId="0">
      <selection activeCell="Q22" sqref="Q22"/>
    </sheetView>
  </sheetViews>
  <sheetFormatPr defaultRowHeight="14.4" x14ac:dyDescent="0.3"/>
  <sheetData>
    <row r="1" spans="1:6" x14ac:dyDescent="0.3">
      <c r="A1" t="s">
        <v>599</v>
      </c>
      <c r="B1" t="s">
        <v>600</v>
      </c>
      <c r="E1" t="s">
        <v>599</v>
      </c>
      <c r="F1" t="s">
        <v>600</v>
      </c>
    </row>
    <row r="2" spans="1:6" x14ac:dyDescent="0.3">
      <c r="A2">
        <v>132</v>
      </c>
      <c r="B2">
        <v>118</v>
      </c>
      <c r="D2" t="s">
        <v>601</v>
      </c>
      <c r="E2">
        <f>SUM(A2:A15)</f>
        <v>1661</v>
      </c>
      <c r="F2">
        <f>SUM(B2:B15)</f>
        <v>1239</v>
      </c>
    </row>
    <row r="3" spans="1:6" x14ac:dyDescent="0.3">
      <c r="A3">
        <v>168</v>
      </c>
      <c r="B3">
        <v>85</v>
      </c>
      <c r="D3" t="s">
        <v>602</v>
      </c>
      <c r="E3">
        <f>AVERAGE(A2:A15)</f>
        <v>118.64285714285714</v>
      </c>
      <c r="F3">
        <f>AVERAGE(B2:B15)</f>
        <v>88.5</v>
      </c>
    </row>
    <row r="4" spans="1:6" x14ac:dyDescent="0.3">
      <c r="A4">
        <v>174</v>
      </c>
      <c r="B4">
        <v>30</v>
      </c>
      <c r="D4" t="s">
        <v>603</v>
      </c>
      <c r="E4">
        <f>_xlfn.STDEV.S(A2:A15)</f>
        <v>31.789226870984852</v>
      </c>
      <c r="F4">
        <f>_xlfn.STDEV.S(B2:B15)</f>
        <v>34.364001737059311</v>
      </c>
    </row>
    <row r="5" spans="1:6" x14ac:dyDescent="0.3">
      <c r="A5">
        <v>109</v>
      </c>
      <c r="B5">
        <v>109</v>
      </c>
      <c r="D5" t="s">
        <v>604</v>
      </c>
      <c r="E5">
        <f>QUARTILE(A2:A15,0)</f>
        <v>87</v>
      </c>
      <c r="F5">
        <f>QUARTILE(B2:B15,0)</f>
        <v>25</v>
      </c>
    </row>
    <row r="6" spans="1:6" x14ac:dyDescent="0.3">
      <c r="A6">
        <v>88</v>
      </c>
      <c r="B6">
        <v>67</v>
      </c>
      <c r="D6" t="s">
        <v>605</v>
      </c>
      <c r="E6">
        <f>QUARTILE(A2:A15, 1)</f>
        <v>93.25</v>
      </c>
      <c r="F6">
        <f>QUARTILE(B2:B15, 1)</f>
        <v>71.5</v>
      </c>
    </row>
    <row r="7" spans="1:6" x14ac:dyDescent="0.3">
      <c r="A7">
        <v>87</v>
      </c>
      <c r="B7">
        <v>104</v>
      </c>
      <c r="D7" t="s">
        <v>606</v>
      </c>
      <c r="E7">
        <f>QUARTILE(A2:A15,2)</f>
        <v>104.5</v>
      </c>
      <c r="F7">
        <f>QUARTILE(B2:B15,2)</f>
        <v>94</v>
      </c>
    </row>
    <row r="8" spans="1:6" x14ac:dyDescent="0.3">
      <c r="A8">
        <v>130</v>
      </c>
      <c r="B8">
        <v>25</v>
      </c>
      <c r="D8" t="s">
        <v>607</v>
      </c>
      <c r="E8">
        <f>QUARTILE(A2:A15,3)</f>
        <v>131.5</v>
      </c>
      <c r="F8">
        <f>QUARTILE(B2:B15,3)</f>
        <v>104.75</v>
      </c>
    </row>
    <row r="9" spans="1:6" x14ac:dyDescent="0.3">
      <c r="A9">
        <v>92</v>
      </c>
      <c r="B9">
        <v>98</v>
      </c>
      <c r="D9" t="s">
        <v>608</v>
      </c>
      <c r="E9">
        <f>QUARTILE(A2:A15,4)</f>
        <v>174</v>
      </c>
      <c r="F9">
        <f>QUARTILE(B2:B15,4)</f>
        <v>158</v>
      </c>
    </row>
    <row r="10" spans="1:6" x14ac:dyDescent="0.3">
      <c r="A10">
        <v>98</v>
      </c>
      <c r="B10">
        <v>90</v>
      </c>
      <c r="D10" t="s">
        <v>610</v>
      </c>
      <c r="E10">
        <f>E3/E4</f>
        <v>3.7321718336958569</v>
      </c>
      <c r="F10">
        <f>F3/F4</f>
        <v>2.5753694426268923</v>
      </c>
    </row>
    <row r="11" spans="1:6" x14ac:dyDescent="0.3">
      <c r="A11">
        <v>100</v>
      </c>
      <c r="B11">
        <v>65</v>
      </c>
    </row>
    <row r="12" spans="1:6" x14ac:dyDescent="0.3">
      <c r="A12">
        <v>128</v>
      </c>
      <c r="B12">
        <v>85</v>
      </c>
    </row>
    <row r="13" spans="1:6" x14ac:dyDescent="0.3">
      <c r="A13">
        <v>90</v>
      </c>
      <c r="B13">
        <v>158</v>
      </c>
    </row>
    <row r="14" spans="1:6" x14ac:dyDescent="0.3">
      <c r="A14">
        <v>97</v>
      </c>
      <c r="B14">
        <v>105</v>
      </c>
    </row>
    <row r="15" spans="1:6" x14ac:dyDescent="0.3">
      <c r="A15">
        <v>168</v>
      </c>
      <c r="B15">
        <v>100</v>
      </c>
    </row>
    <row r="20" spans="1:6" x14ac:dyDescent="0.3">
      <c r="A20" t="s">
        <v>599</v>
      </c>
      <c r="B20" t="s">
        <v>600</v>
      </c>
      <c r="E20" t="s">
        <v>599</v>
      </c>
      <c r="F20" t="s">
        <v>600</v>
      </c>
    </row>
    <row r="21" spans="1:6" x14ac:dyDescent="0.3">
      <c r="A21">
        <v>132</v>
      </c>
      <c r="B21">
        <v>118</v>
      </c>
      <c r="D21" t="s">
        <v>601</v>
      </c>
      <c r="E21">
        <f>SUM(A21:A34)</f>
        <v>1078</v>
      </c>
      <c r="F21">
        <f>SUM(B21:B34)</f>
        <v>726</v>
      </c>
    </row>
    <row r="22" spans="1:6" x14ac:dyDescent="0.3">
      <c r="A22">
        <v>168</v>
      </c>
      <c r="B22">
        <v>85</v>
      </c>
      <c r="D22" t="s">
        <v>602</v>
      </c>
      <c r="E22">
        <f>AVERAGE(A21:A34)</f>
        <v>119.77777777777777</v>
      </c>
      <c r="F22">
        <f>AVERAGE(B21:B34)</f>
        <v>80.666666666666671</v>
      </c>
    </row>
    <row r="23" spans="1:6" x14ac:dyDescent="0.3">
      <c r="A23">
        <v>174</v>
      </c>
      <c r="B23">
        <v>30</v>
      </c>
      <c r="D23" t="s">
        <v>603</v>
      </c>
      <c r="E23">
        <f>_xlfn.STDEV.S(A21:A34)</f>
        <v>33.476774701939931</v>
      </c>
      <c r="F23">
        <f>_xlfn.STDEV.S(B21:B34)</f>
        <v>33.541019662496844</v>
      </c>
    </row>
    <row r="24" spans="1:6" x14ac:dyDescent="0.3">
      <c r="A24">
        <v>109</v>
      </c>
      <c r="B24">
        <v>109</v>
      </c>
      <c r="D24" t="s">
        <v>604</v>
      </c>
      <c r="E24">
        <f>QUARTILE(A21:A34,0)</f>
        <v>87</v>
      </c>
      <c r="F24">
        <f>QUARTILE(B21:B34,0)</f>
        <v>25</v>
      </c>
    </row>
    <row r="25" spans="1:6" x14ac:dyDescent="0.3">
      <c r="A25">
        <v>88</v>
      </c>
      <c r="B25">
        <v>67</v>
      </c>
      <c r="D25" t="s">
        <v>605</v>
      </c>
      <c r="E25">
        <f>QUARTILE(A21:A34, 1)</f>
        <v>92</v>
      </c>
      <c r="F25">
        <f>QUARTILE(B21:B34, 1)</f>
        <v>67</v>
      </c>
    </row>
    <row r="26" spans="1:6" x14ac:dyDescent="0.3">
      <c r="A26">
        <v>87</v>
      </c>
      <c r="B26">
        <v>104</v>
      </c>
      <c r="D26" t="s">
        <v>606</v>
      </c>
      <c r="E26">
        <f>QUARTILE(A21:A34,2)</f>
        <v>109</v>
      </c>
      <c r="F26">
        <f>QUARTILE(B21:B34,2)</f>
        <v>90</v>
      </c>
    </row>
    <row r="27" spans="1:6" x14ac:dyDescent="0.3">
      <c r="A27">
        <v>130</v>
      </c>
      <c r="B27">
        <v>25</v>
      </c>
      <c r="D27" t="s">
        <v>607</v>
      </c>
      <c r="E27">
        <f>QUARTILE(A21:A34,3)</f>
        <v>132</v>
      </c>
      <c r="F27">
        <f>QUARTILE(B21:B34,3)</f>
        <v>104</v>
      </c>
    </row>
    <row r="28" spans="1:6" x14ac:dyDescent="0.3">
      <c r="A28">
        <v>92</v>
      </c>
      <c r="B28">
        <v>98</v>
      </c>
      <c r="D28" t="s">
        <v>608</v>
      </c>
      <c r="E28">
        <f>QUARTILE(A21:A34,4)</f>
        <v>174</v>
      </c>
      <c r="F28">
        <f>QUARTILE(B21:B34,4)</f>
        <v>118</v>
      </c>
    </row>
    <row r="29" spans="1:6" x14ac:dyDescent="0.3">
      <c r="A29">
        <v>98</v>
      </c>
      <c r="B29">
        <v>90</v>
      </c>
      <c r="D29" t="s">
        <v>610</v>
      </c>
      <c r="E29">
        <f>E22/E23</f>
        <v>3.5779366096112248</v>
      </c>
      <c r="F29">
        <f>F22/F23</f>
        <v>2.4050153357997739</v>
      </c>
    </row>
  </sheetData>
  <pageMargins left="0.7" right="0.7" top="0.75" bottom="0.75" header="0.3" footer="0.3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15D37D-9163-4DC5-9C21-A4B6F991C74D}">
  <dimension ref="A1:F26"/>
  <sheetViews>
    <sheetView topLeftCell="A5" workbookViewId="0">
      <selection activeCell="Q21" sqref="Q21"/>
    </sheetView>
  </sheetViews>
  <sheetFormatPr defaultRowHeight="14.4" x14ac:dyDescent="0.3"/>
  <sheetData>
    <row r="1" spans="1:6" x14ac:dyDescent="0.3">
      <c r="A1" t="s">
        <v>599</v>
      </c>
      <c r="B1" t="s">
        <v>600</v>
      </c>
      <c r="E1" t="s">
        <v>599</v>
      </c>
      <c r="F1" t="s">
        <v>600</v>
      </c>
    </row>
    <row r="2" spans="1:6" x14ac:dyDescent="0.3">
      <c r="A2">
        <v>66</v>
      </c>
      <c r="B2">
        <v>79</v>
      </c>
      <c r="D2" t="s">
        <v>601</v>
      </c>
      <c r="E2">
        <f>SUM(A2:A15)</f>
        <v>1213</v>
      </c>
      <c r="F2">
        <f>SUM(B2:B15)</f>
        <v>1022</v>
      </c>
    </row>
    <row r="3" spans="1:6" x14ac:dyDescent="0.3">
      <c r="A3">
        <v>117</v>
      </c>
      <c r="B3">
        <v>96</v>
      </c>
      <c r="D3" t="s">
        <v>602</v>
      </c>
      <c r="E3">
        <f>AVERAGE(A2:A15)</f>
        <v>110.27272727272727</v>
      </c>
      <c r="F3">
        <f>AVERAGE(B2:B15)</f>
        <v>92.909090909090907</v>
      </c>
    </row>
    <row r="4" spans="1:6" x14ac:dyDescent="0.3">
      <c r="A4">
        <v>71</v>
      </c>
      <c r="B4">
        <v>95</v>
      </c>
      <c r="D4" t="s">
        <v>603</v>
      </c>
      <c r="E4">
        <f>_xlfn.STDEV.S(A2:A15)</f>
        <v>45.084567002669353</v>
      </c>
      <c r="F4">
        <f>_xlfn.STDEV.S(B2:B15)</f>
        <v>33.898243451407758</v>
      </c>
    </row>
    <row r="5" spans="1:6" x14ac:dyDescent="0.3">
      <c r="A5">
        <v>46</v>
      </c>
      <c r="B5">
        <v>147</v>
      </c>
      <c r="D5" t="s">
        <v>604</v>
      </c>
      <c r="E5">
        <f>QUARTILE(A2:A15,0)</f>
        <v>46</v>
      </c>
      <c r="F5">
        <f>QUARTILE(B2:B15,0)</f>
        <v>39</v>
      </c>
    </row>
    <row r="6" spans="1:6" x14ac:dyDescent="0.3">
      <c r="A6">
        <v>204</v>
      </c>
      <c r="B6">
        <v>44</v>
      </c>
      <c r="D6" t="s">
        <v>605</v>
      </c>
      <c r="E6">
        <f>QUARTILE(A2:A15, 1)</f>
        <v>72</v>
      </c>
      <c r="F6">
        <f>QUARTILE(B2:B15, 1)</f>
        <v>74.5</v>
      </c>
    </row>
    <row r="7" spans="1:6" x14ac:dyDescent="0.3">
      <c r="A7">
        <v>103</v>
      </c>
      <c r="B7">
        <v>107</v>
      </c>
      <c r="D7" t="s">
        <v>606</v>
      </c>
      <c r="E7">
        <f>QUARTILE(A2:A15,2)</f>
        <v>117</v>
      </c>
      <c r="F7">
        <f>QUARTILE(B2:B15,2)</f>
        <v>96</v>
      </c>
    </row>
    <row r="8" spans="1:6" x14ac:dyDescent="0.3">
      <c r="A8">
        <v>143</v>
      </c>
      <c r="B8">
        <v>39</v>
      </c>
      <c r="D8" t="s">
        <v>607</v>
      </c>
      <c r="E8">
        <f>QUARTILE(A2:A15,3)</f>
        <v>133</v>
      </c>
      <c r="F8">
        <f>QUARTILE(B2:B15,3)</f>
        <v>106</v>
      </c>
    </row>
    <row r="9" spans="1:6" x14ac:dyDescent="0.3">
      <c r="A9">
        <v>73</v>
      </c>
      <c r="B9">
        <v>70</v>
      </c>
      <c r="D9" t="s">
        <v>608</v>
      </c>
      <c r="E9">
        <f>QUARTILE(A2:A15,4)</f>
        <v>204</v>
      </c>
      <c r="F9">
        <f>QUARTILE(B2:B15,4)</f>
        <v>147</v>
      </c>
    </row>
    <row r="10" spans="1:6" x14ac:dyDescent="0.3">
      <c r="A10">
        <v>141</v>
      </c>
      <c r="B10">
        <v>101</v>
      </c>
      <c r="D10" t="s">
        <v>610</v>
      </c>
      <c r="E10">
        <f>E3/E4</f>
        <v>2.4459085359785817</v>
      </c>
      <c r="F10">
        <f>F3/F4</f>
        <v>2.7408231651375581</v>
      </c>
    </row>
    <row r="11" spans="1:6" x14ac:dyDescent="0.3">
      <c r="A11">
        <v>125</v>
      </c>
      <c r="B11">
        <v>139</v>
      </c>
    </row>
    <row r="12" spans="1:6" x14ac:dyDescent="0.3">
      <c r="A12">
        <v>124</v>
      </c>
      <c r="B12">
        <v>105</v>
      </c>
    </row>
    <row r="17" spans="1:6" x14ac:dyDescent="0.3">
      <c r="A17" t="s">
        <v>599</v>
      </c>
      <c r="B17" t="s">
        <v>600</v>
      </c>
      <c r="E17" t="s">
        <v>599</v>
      </c>
      <c r="F17" t="s">
        <v>600</v>
      </c>
    </row>
    <row r="18" spans="1:6" x14ac:dyDescent="0.3">
      <c r="A18">
        <v>66</v>
      </c>
      <c r="B18">
        <v>79</v>
      </c>
      <c r="D18" t="s">
        <v>601</v>
      </c>
      <c r="E18">
        <f>SUM(A18:A31)</f>
        <v>964</v>
      </c>
      <c r="F18">
        <f>SUM(B18:B31)</f>
        <v>778</v>
      </c>
    </row>
    <row r="19" spans="1:6" x14ac:dyDescent="0.3">
      <c r="A19">
        <v>117</v>
      </c>
      <c r="B19">
        <v>96</v>
      </c>
      <c r="D19" t="s">
        <v>602</v>
      </c>
      <c r="E19">
        <f>AVERAGE(A18:A31)</f>
        <v>107.11111111111111</v>
      </c>
      <c r="F19">
        <f>AVERAGE(B18:B31)</f>
        <v>86.444444444444443</v>
      </c>
    </row>
    <row r="20" spans="1:6" x14ac:dyDescent="0.3">
      <c r="A20">
        <v>71</v>
      </c>
      <c r="B20">
        <v>95</v>
      </c>
      <c r="D20" t="s">
        <v>603</v>
      </c>
      <c r="E20">
        <f>_xlfn.STDEV.S(A18:A31)</f>
        <v>49.788162359250734</v>
      </c>
      <c r="F20">
        <f>_xlfn.STDEV.S(B18:B31)</f>
        <v>33.249477857220214</v>
      </c>
    </row>
    <row r="21" spans="1:6" x14ac:dyDescent="0.3">
      <c r="A21">
        <v>46</v>
      </c>
      <c r="B21">
        <v>147</v>
      </c>
      <c r="D21" t="s">
        <v>604</v>
      </c>
      <c r="E21">
        <f>QUARTILE(A18:A31,0)</f>
        <v>46</v>
      </c>
      <c r="F21">
        <f>QUARTILE(B18:B31,0)</f>
        <v>39</v>
      </c>
    </row>
    <row r="22" spans="1:6" x14ac:dyDescent="0.3">
      <c r="A22">
        <v>204</v>
      </c>
      <c r="B22">
        <v>44</v>
      </c>
      <c r="D22" t="s">
        <v>605</v>
      </c>
      <c r="E22">
        <f>QUARTILE(A18:A31, 1)</f>
        <v>71</v>
      </c>
      <c r="F22">
        <f>QUARTILE(B18:B31, 1)</f>
        <v>70</v>
      </c>
    </row>
    <row r="23" spans="1:6" x14ac:dyDescent="0.3">
      <c r="A23">
        <v>103</v>
      </c>
      <c r="B23">
        <v>107</v>
      </c>
      <c r="D23" t="s">
        <v>606</v>
      </c>
      <c r="E23">
        <f>QUARTILE(A18:A31,2)</f>
        <v>103</v>
      </c>
      <c r="F23">
        <f>QUARTILE(B18:B31,2)</f>
        <v>95</v>
      </c>
    </row>
    <row r="24" spans="1:6" x14ac:dyDescent="0.3">
      <c r="A24">
        <v>143</v>
      </c>
      <c r="B24">
        <v>39</v>
      </c>
      <c r="D24" t="s">
        <v>607</v>
      </c>
      <c r="E24">
        <f>QUARTILE(A18:A31,3)</f>
        <v>141</v>
      </c>
      <c r="F24">
        <f>QUARTILE(B18:B31,3)</f>
        <v>101</v>
      </c>
    </row>
    <row r="25" spans="1:6" x14ac:dyDescent="0.3">
      <c r="A25">
        <v>73</v>
      </c>
      <c r="B25">
        <v>70</v>
      </c>
      <c r="D25" t="s">
        <v>608</v>
      </c>
      <c r="E25">
        <f>QUARTILE(A18:A31,4)</f>
        <v>204</v>
      </c>
      <c r="F25">
        <f>QUARTILE(B18:B31,4)</f>
        <v>147</v>
      </c>
    </row>
    <row r="26" spans="1:6" x14ac:dyDescent="0.3">
      <c r="A26">
        <v>141</v>
      </c>
      <c r="B26">
        <v>101</v>
      </c>
      <c r="D26" t="s">
        <v>610</v>
      </c>
      <c r="E26">
        <f>E19/E20</f>
        <v>2.1513369049100817</v>
      </c>
      <c r="F26">
        <f>F19/F20</f>
        <v>2.5998737428495526</v>
      </c>
    </row>
  </sheetData>
  <pageMargins left="0.7" right="0.7" top="0.75" bottom="0.75" header="0.3" footer="0.3"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59839C-1B71-430E-A894-4458613002FA}">
  <dimension ref="A1:F27"/>
  <sheetViews>
    <sheetView workbookViewId="0">
      <selection activeCell="P7" sqref="P7"/>
    </sheetView>
  </sheetViews>
  <sheetFormatPr defaultRowHeight="14.4" x14ac:dyDescent="0.3"/>
  <sheetData>
    <row r="1" spans="1:6" x14ac:dyDescent="0.3">
      <c r="A1" t="s">
        <v>599</v>
      </c>
      <c r="B1" t="s">
        <v>600</v>
      </c>
      <c r="E1" t="s">
        <v>599</v>
      </c>
      <c r="F1" t="s">
        <v>600</v>
      </c>
    </row>
    <row r="2" spans="1:6" x14ac:dyDescent="0.3">
      <c r="A2">
        <v>122</v>
      </c>
      <c r="B2">
        <v>48</v>
      </c>
      <c r="D2" t="s">
        <v>601</v>
      </c>
      <c r="E2">
        <f>SUM(A2:A15)</f>
        <v>1294</v>
      </c>
      <c r="F2">
        <f>SUM(B2:B15)</f>
        <v>919</v>
      </c>
    </row>
    <row r="3" spans="1:6" x14ac:dyDescent="0.3">
      <c r="A3">
        <v>35</v>
      </c>
      <c r="B3">
        <v>63</v>
      </c>
      <c r="D3" t="s">
        <v>602</v>
      </c>
      <c r="E3">
        <f>AVERAGE(A2:A15)</f>
        <v>107.83333333333333</v>
      </c>
      <c r="F3">
        <f>AVERAGE(B2:B15)</f>
        <v>76.583333333333329</v>
      </c>
    </row>
    <row r="4" spans="1:6" x14ac:dyDescent="0.3">
      <c r="A4">
        <v>107</v>
      </c>
      <c r="B4">
        <v>55</v>
      </c>
      <c r="D4" t="s">
        <v>603</v>
      </c>
      <c r="E4">
        <f>_xlfn.STDEV.S(A2:A15)</f>
        <v>30.249968695200415</v>
      </c>
      <c r="F4">
        <f>_xlfn.STDEV.S(B2:B15)</f>
        <v>25.871916446333486</v>
      </c>
    </row>
    <row r="5" spans="1:6" x14ac:dyDescent="0.3">
      <c r="A5">
        <v>98</v>
      </c>
      <c r="B5">
        <v>115</v>
      </c>
      <c r="D5" t="s">
        <v>604</v>
      </c>
      <c r="E5">
        <f>QUARTILE(A2:A15,0)</f>
        <v>35</v>
      </c>
      <c r="F5">
        <f>QUARTILE(B2:B15,0)</f>
        <v>45</v>
      </c>
    </row>
    <row r="6" spans="1:6" x14ac:dyDescent="0.3">
      <c r="A6">
        <v>155</v>
      </c>
      <c r="B6">
        <v>45</v>
      </c>
      <c r="D6" t="s">
        <v>605</v>
      </c>
      <c r="E6">
        <f>QUARTILE(A2:A15, 1)</f>
        <v>98</v>
      </c>
      <c r="F6">
        <f>QUARTILE(B2:B15, 1)</f>
        <v>54.25</v>
      </c>
    </row>
    <row r="7" spans="1:6" x14ac:dyDescent="0.3">
      <c r="A7">
        <v>108</v>
      </c>
      <c r="B7">
        <v>52</v>
      </c>
      <c r="D7" t="s">
        <v>606</v>
      </c>
      <c r="E7">
        <f>QUARTILE(A2:A15,2)</f>
        <v>107.5</v>
      </c>
      <c r="F7">
        <f>QUARTILE(B2:B15,2)</f>
        <v>71.5</v>
      </c>
    </row>
    <row r="8" spans="1:6" x14ac:dyDescent="0.3">
      <c r="A8">
        <v>98</v>
      </c>
      <c r="B8">
        <v>86</v>
      </c>
      <c r="D8" t="s">
        <v>607</v>
      </c>
      <c r="E8">
        <f>QUARTILE(A2:A15,3)</f>
        <v>121.25</v>
      </c>
      <c r="F8">
        <f>QUARTILE(B2:B15,3)</f>
        <v>93.25</v>
      </c>
    </row>
    <row r="9" spans="1:6" x14ac:dyDescent="0.3">
      <c r="A9">
        <v>99</v>
      </c>
      <c r="B9">
        <v>90</v>
      </c>
      <c r="D9" t="s">
        <v>608</v>
      </c>
      <c r="E9">
        <f>QUARTILE(A2:A15,4)</f>
        <v>155</v>
      </c>
      <c r="F9">
        <f>QUARTILE(B2:B15,4)</f>
        <v>119</v>
      </c>
    </row>
    <row r="10" spans="1:6" x14ac:dyDescent="0.3">
      <c r="A10">
        <v>144</v>
      </c>
      <c r="B10">
        <v>72</v>
      </c>
      <c r="D10" t="s">
        <v>610</v>
      </c>
      <c r="E10">
        <f>E3/E4</f>
        <v>3.5647419810534418</v>
      </c>
      <c r="F10">
        <f>F3/F4</f>
        <v>2.9600951090032823</v>
      </c>
    </row>
    <row r="11" spans="1:6" x14ac:dyDescent="0.3">
      <c r="A11">
        <v>120</v>
      </c>
      <c r="B11">
        <v>103</v>
      </c>
    </row>
    <row r="12" spans="1:6" x14ac:dyDescent="0.3">
      <c r="A12">
        <v>87</v>
      </c>
      <c r="B12">
        <v>119</v>
      </c>
    </row>
    <row r="13" spans="1:6" x14ac:dyDescent="0.3">
      <c r="A13">
        <v>121</v>
      </c>
      <c r="B13">
        <v>71</v>
      </c>
    </row>
    <row r="18" spans="1:6" x14ac:dyDescent="0.3">
      <c r="A18" t="s">
        <v>599</v>
      </c>
      <c r="B18" t="s">
        <v>600</v>
      </c>
      <c r="E18" t="s">
        <v>599</v>
      </c>
      <c r="F18" t="s">
        <v>600</v>
      </c>
    </row>
    <row r="19" spans="1:6" x14ac:dyDescent="0.3">
      <c r="A19">
        <v>122</v>
      </c>
      <c r="B19">
        <v>48</v>
      </c>
      <c r="D19" t="s">
        <v>601</v>
      </c>
      <c r="E19">
        <f>SUM(A19:A32)</f>
        <v>966</v>
      </c>
      <c r="F19">
        <f>SUM(B19:B32)</f>
        <v>626</v>
      </c>
    </row>
    <row r="20" spans="1:6" x14ac:dyDescent="0.3">
      <c r="A20">
        <v>35</v>
      </c>
      <c r="B20">
        <v>63</v>
      </c>
      <c r="D20" t="s">
        <v>602</v>
      </c>
      <c r="E20">
        <f>AVERAGE(A19:A32)</f>
        <v>107.33333333333333</v>
      </c>
      <c r="F20">
        <f>AVERAGE(B19:B32)</f>
        <v>69.555555555555557</v>
      </c>
    </row>
    <row r="21" spans="1:6" x14ac:dyDescent="0.3">
      <c r="A21">
        <v>107</v>
      </c>
      <c r="B21">
        <v>55</v>
      </c>
      <c r="D21" t="s">
        <v>603</v>
      </c>
      <c r="E21">
        <f>_xlfn.STDEV.S(A19:A32)</f>
        <v>34.110115801621077</v>
      </c>
      <c r="F21">
        <f>_xlfn.STDEV.S(B19:B32)</f>
        <v>23.426006441085459</v>
      </c>
    </row>
    <row r="22" spans="1:6" x14ac:dyDescent="0.3">
      <c r="A22">
        <v>98</v>
      </c>
      <c r="B22">
        <v>115</v>
      </c>
      <c r="D22" t="s">
        <v>604</v>
      </c>
      <c r="E22">
        <f>QUARTILE(A19:A32,0)</f>
        <v>35</v>
      </c>
      <c r="F22">
        <f>QUARTILE(B19:B32,0)</f>
        <v>45</v>
      </c>
    </row>
    <row r="23" spans="1:6" x14ac:dyDescent="0.3">
      <c r="A23">
        <v>155</v>
      </c>
      <c r="B23">
        <v>45</v>
      </c>
      <c r="D23" t="s">
        <v>605</v>
      </c>
      <c r="E23">
        <f>QUARTILE(A19:A32, 1)</f>
        <v>98</v>
      </c>
      <c r="F23">
        <f>QUARTILE(B19:B32, 1)</f>
        <v>52</v>
      </c>
    </row>
    <row r="24" spans="1:6" x14ac:dyDescent="0.3">
      <c r="A24">
        <v>108</v>
      </c>
      <c r="B24">
        <v>52</v>
      </c>
      <c r="D24" t="s">
        <v>606</v>
      </c>
      <c r="E24">
        <f>QUARTILE(A19:A32,2)</f>
        <v>107</v>
      </c>
      <c r="F24">
        <f>QUARTILE(B19:B32,2)</f>
        <v>63</v>
      </c>
    </row>
    <row r="25" spans="1:6" x14ac:dyDescent="0.3">
      <c r="A25">
        <v>98</v>
      </c>
      <c r="B25">
        <v>86</v>
      </c>
      <c r="D25" t="s">
        <v>607</v>
      </c>
      <c r="E25">
        <f>QUARTILE(A19:A32,3)</f>
        <v>122</v>
      </c>
      <c r="F25">
        <f>QUARTILE(B19:B32,3)</f>
        <v>86</v>
      </c>
    </row>
    <row r="26" spans="1:6" x14ac:dyDescent="0.3">
      <c r="A26">
        <v>99</v>
      </c>
      <c r="B26">
        <v>90</v>
      </c>
      <c r="D26" t="s">
        <v>608</v>
      </c>
      <c r="E26">
        <f>QUARTILE(A19:A32,4)</f>
        <v>155</v>
      </c>
      <c r="F26">
        <f>QUARTILE(B19:B32,4)</f>
        <v>115</v>
      </c>
    </row>
    <row r="27" spans="1:6" x14ac:dyDescent="0.3">
      <c r="A27">
        <v>144</v>
      </c>
      <c r="B27">
        <v>72</v>
      </c>
      <c r="D27" t="s">
        <v>610</v>
      </c>
      <c r="E27">
        <f>E20/E21</f>
        <v>3.1466716195736963</v>
      </c>
      <c r="F27">
        <f>F20/F21</f>
        <v>2.9691597554402729</v>
      </c>
    </row>
  </sheetData>
  <pageMargins left="0.7" right="0.7" top="0.75" bottom="0.75" header="0.3" footer="0.3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95A561-35CE-4D07-8E31-DFE74116B4B2}">
  <dimension ref="A1:F27"/>
  <sheetViews>
    <sheetView topLeftCell="A5" workbookViewId="0">
      <selection activeCell="P20" sqref="P20"/>
    </sheetView>
  </sheetViews>
  <sheetFormatPr defaultRowHeight="14.4" x14ac:dyDescent="0.3"/>
  <sheetData>
    <row r="1" spans="1:6" x14ac:dyDescent="0.3">
      <c r="A1" t="s">
        <v>599</v>
      </c>
      <c r="B1" t="s">
        <v>600</v>
      </c>
      <c r="E1" t="s">
        <v>599</v>
      </c>
      <c r="F1" t="s">
        <v>600</v>
      </c>
    </row>
    <row r="2" spans="1:6" x14ac:dyDescent="0.3">
      <c r="A2">
        <v>62</v>
      </c>
      <c r="B2">
        <v>47</v>
      </c>
      <c r="D2" t="s">
        <v>601</v>
      </c>
      <c r="E2">
        <f>SUM(A2:A15)</f>
        <v>1096</v>
      </c>
      <c r="F2">
        <f>SUM(B2:B15)</f>
        <v>863</v>
      </c>
    </row>
    <row r="3" spans="1:6" x14ac:dyDescent="0.3">
      <c r="A3">
        <v>57</v>
      </c>
      <c r="B3">
        <v>65</v>
      </c>
      <c r="D3" t="s">
        <v>602</v>
      </c>
      <c r="E3">
        <f>AVERAGE(A2:A15)</f>
        <v>91.333333333333329</v>
      </c>
      <c r="F3">
        <f>AVERAGE(B2:B15)</f>
        <v>71.916666666666671</v>
      </c>
    </row>
    <row r="4" spans="1:6" x14ac:dyDescent="0.3">
      <c r="A4">
        <v>98</v>
      </c>
      <c r="B4">
        <v>22</v>
      </c>
      <c r="D4" t="s">
        <v>603</v>
      </c>
      <c r="E4">
        <f>_xlfn.STDEV.S(A2:A15)</f>
        <v>30.362456881464457</v>
      </c>
      <c r="F4">
        <f>_xlfn.STDEV.S(B2:B15)</f>
        <v>25.571498101431501</v>
      </c>
    </row>
    <row r="5" spans="1:6" x14ac:dyDescent="0.3">
      <c r="A5">
        <v>102</v>
      </c>
      <c r="B5">
        <v>78</v>
      </c>
      <c r="D5" t="s">
        <v>604</v>
      </c>
      <c r="E5">
        <f>QUARTILE(A2:A15,0)</f>
        <v>40</v>
      </c>
      <c r="F5">
        <f>QUARTILE(B2:B15,0)</f>
        <v>22</v>
      </c>
    </row>
    <row r="6" spans="1:6" x14ac:dyDescent="0.3">
      <c r="A6">
        <v>81</v>
      </c>
      <c r="B6">
        <v>74</v>
      </c>
      <c r="D6" t="s">
        <v>605</v>
      </c>
      <c r="E6">
        <f>QUARTILE(A2:A15, 1)</f>
        <v>76.25</v>
      </c>
      <c r="F6">
        <f>QUARTILE(B2:B15, 1)</f>
        <v>61.5</v>
      </c>
    </row>
    <row r="7" spans="1:6" x14ac:dyDescent="0.3">
      <c r="A7">
        <v>40</v>
      </c>
      <c r="B7">
        <v>85</v>
      </c>
      <c r="D7" t="s">
        <v>606</v>
      </c>
      <c r="E7">
        <f>QUARTILE(A2:A15,2)</f>
        <v>91.5</v>
      </c>
      <c r="F7">
        <f>QUARTILE(B2:B15,2)</f>
        <v>71.5</v>
      </c>
    </row>
    <row r="8" spans="1:6" x14ac:dyDescent="0.3">
      <c r="A8">
        <v>148</v>
      </c>
      <c r="B8">
        <v>86</v>
      </c>
      <c r="D8" t="s">
        <v>607</v>
      </c>
      <c r="E8">
        <f>QUARTILE(A2:A15,3)</f>
        <v>103.5</v>
      </c>
      <c r="F8">
        <f>QUARTILE(B2:B15,3)</f>
        <v>85.25</v>
      </c>
    </row>
    <row r="9" spans="1:6" x14ac:dyDescent="0.3">
      <c r="A9">
        <v>131</v>
      </c>
      <c r="B9">
        <v>69</v>
      </c>
      <c r="D9" t="s">
        <v>608</v>
      </c>
      <c r="E9">
        <f>QUARTILE(A2:A15,4)</f>
        <v>148</v>
      </c>
      <c r="F9">
        <f>QUARTILE(B2:B15,4)</f>
        <v>128</v>
      </c>
    </row>
    <row r="10" spans="1:6" x14ac:dyDescent="0.3">
      <c r="A10">
        <v>105</v>
      </c>
      <c r="B10">
        <v>62</v>
      </c>
      <c r="D10" t="s">
        <v>610</v>
      </c>
      <c r="E10">
        <f>E3/E4</f>
        <v>3.0081008822803832</v>
      </c>
      <c r="F10">
        <f>F3/F4</f>
        <v>2.8123759656709653</v>
      </c>
    </row>
    <row r="11" spans="1:6" x14ac:dyDescent="0.3">
      <c r="A11">
        <v>103</v>
      </c>
      <c r="B11">
        <v>87</v>
      </c>
    </row>
    <row r="12" spans="1:6" x14ac:dyDescent="0.3">
      <c r="A12">
        <v>85</v>
      </c>
      <c r="B12">
        <v>128</v>
      </c>
    </row>
    <row r="13" spans="1:6" x14ac:dyDescent="0.3">
      <c r="A13">
        <v>84</v>
      </c>
      <c r="B13">
        <v>60</v>
      </c>
    </row>
    <row r="18" spans="1:6" x14ac:dyDescent="0.3">
      <c r="A18" t="s">
        <v>599</v>
      </c>
      <c r="B18" t="s">
        <v>600</v>
      </c>
      <c r="E18" t="s">
        <v>599</v>
      </c>
      <c r="F18" t="s">
        <v>600</v>
      </c>
    </row>
    <row r="19" spans="1:6" x14ac:dyDescent="0.3">
      <c r="A19">
        <v>62</v>
      </c>
      <c r="B19">
        <v>47</v>
      </c>
      <c r="D19" t="s">
        <v>601</v>
      </c>
      <c r="E19">
        <f>SUM(A19:A32)</f>
        <v>824</v>
      </c>
      <c r="F19">
        <f>SUM(B19:B32)</f>
        <v>588</v>
      </c>
    </row>
    <row r="20" spans="1:6" x14ac:dyDescent="0.3">
      <c r="A20">
        <v>57</v>
      </c>
      <c r="B20">
        <v>65</v>
      </c>
      <c r="D20" t="s">
        <v>602</v>
      </c>
      <c r="E20">
        <f>AVERAGE(A19:A32)</f>
        <v>91.555555555555557</v>
      </c>
      <c r="F20">
        <f>AVERAGE(B19:B32)</f>
        <v>65.333333333333329</v>
      </c>
    </row>
    <row r="21" spans="1:6" x14ac:dyDescent="0.3">
      <c r="A21">
        <v>98</v>
      </c>
      <c r="B21">
        <v>22</v>
      </c>
      <c r="D21" t="s">
        <v>603</v>
      </c>
      <c r="E21">
        <f>_xlfn.STDEV.S(A19:A32)</f>
        <v>35.196275055434164</v>
      </c>
      <c r="F21">
        <f>_xlfn.STDEV.S(B19:B32)</f>
        <v>20.273134932713294</v>
      </c>
    </row>
    <row r="22" spans="1:6" x14ac:dyDescent="0.3">
      <c r="A22">
        <v>102</v>
      </c>
      <c r="B22">
        <v>78</v>
      </c>
      <c r="D22" t="s">
        <v>604</v>
      </c>
      <c r="E22">
        <f>QUARTILE(A19:A32,0)</f>
        <v>40</v>
      </c>
      <c r="F22">
        <f>QUARTILE(B19:B32,0)</f>
        <v>22</v>
      </c>
    </row>
    <row r="23" spans="1:6" x14ac:dyDescent="0.3">
      <c r="A23">
        <v>81</v>
      </c>
      <c r="B23">
        <v>74</v>
      </c>
      <c r="D23" t="s">
        <v>605</v>
      </c>
      <c r="E23">
        <f>QUARTILE(A19:A32, 1)</f>
        <v>62</v>
      </c>
      <c r="F23">
        <f>QUARTILE(B19:B32, 1)</f>
        <v>62</v>
      </c>
    </row>
    <row r="24" spans="1:6" x14ac:dyDescent="0.3">
      <c r="A24">
        <v>40</v>
      </c>
      <c r="B24">
        <v>85</v>
      </c>
      <c r="D24" t="s">
        <v>606</v>
      </c>
      <c r="E24">
        <f>QUARTILE(A19:A32,2)</f>
        <v>98</v>
      </c>
      <c r="F24">
        <f>QUARTILE(B19:B32,2)</f>
        <v>69</v>
      </c>
    </row>
    <row r="25" spans="1:6" x14ac:dyDescent="0.3">
      <c r="A25">
        <v>148</v>
      </c>
      <c r="B25">
        <v>86</v>
      </c>
      <c r="D25" t="s">
        <v>607</v>
      </c>
      <c r="E25">
        <f>QUARTILE(A19:A32,3)</f>
        <v>105</v>
      </c>
      <c r="F25">
        <f>QUARTILE(B19:B32,3)</f>
        <v>78</v>
      </c>
    </row>
    <row r="26" spans="1:6" x14ac:dyDescent="0.3">
      <c r="A26">
        <v>131</v>
      </c>
      <c r="B26">
        <v>69</v>
      </c>
      <c r="D26" t="s">
        <v>608</v>
      </c>
      <c r="E26">
        <f>QUARTILE(A19:A32,4)</f>
        <v>148</v>
      </c>
      <c r="F26">
        <f>QUARTILE(B19:B32,4)</f>
        <v>86</v>
      </c>
    </row>
    <row r="27" spans="1:6" x14ac:dyDescent="0.3">
      <c r="A27">
        <v>105</v>
      </c>
      <c r="B27">
        <v>62</v>
      </c>
      <c r="D27" t="s">
        <v>610</v>
      </c>
      <c r="E27">
        <f>E20/E21</f>
        <v>2.6012853749823091</v>
      </c>
      <c r="F27">
        <f>F20/F21</f>
        <v>3.2226556746243347</v>
      </c>
    </row>
  </sheetData>
  <pageMargins left="0.7" right="0.7" top="0.75" bottom="0.75" header="0.3" footer="0.3"/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6B0B41-4143-45E2-B2BA-70C616F9A13A}">
  <dimension ref="A1:F30"/>
  <sheetViews>
    <sheetView topLeftCell="A10" workbookViewId="0">
      <selection activeCell="P31" sqref="P31"/>
    </sheetView>
  </sheetViews>
  <sheetFormatPr defaultRowHeight="14.4" x14ac:dyDescent="0.3"/>
  <sheetData>
    <row r="1" spans="1:6" x14ac:dyDescent="0.3">
      <c r="A1" t="s">
        <v>599</v>
      </c>
      <c r="B1" t="s">
        <v>600</v>
      </c>
      <c r="E1" t="s">
        <v>599</v>
      </c>
      <c r="F1" t="s">
        <v>600</v>
      </c>
    </row>
    <row r="2" spans="1:6" x14ac:dyDescent="0.3">
      <c r="A2">
        <v>88</v>
      </c>
      <c r="B2">
        <v>47</v>
      </c>
      <c r="D2" t="s">
        <v>601</v>
      </c>
      <c r="E2">
        <f>SUM(A2:A16)</f>
        <v>1599</v>
      </c>
      <c r="F2">
        <f>SUM(B2:B16)</f>
        <v>1163</v>
      </c>
    </row>
    <row r="3" spans="1:6" x14ac:dyDescent="0.3">
      <c r="A3">
        <v>136</v>
      </c>
      <c r="B3">
        <v>98</v>
      </c>
      <c r="D3" t="s">
        <v>602</v>
      </c>
      <c r="E3">
        <f>AVERAGE(A2:A16)</f>
        <v>106.6</v>
      </c>
      <c r="F3">
        <f>AVERAGE(B2:B16)</f>
        <v>77.533333333333331</v>
      </c>
    </row>
    <row r="4" spans="1:6" x14ac:dyDescent="0.3">
      <c r="A4">
        <v>140</v>
      </c>
      <c r="B4">
        <v>30</v>
      </c>
      <c r="D4" t="s">
        <v>603</v>
      </c>
      <c r="E4">
        <f>_xlfn.STDEV.S(A2:A16)</f>
        <v>42.208326869740496</v>
      </c>
      <c r="F4">
        <f>_xlfn.STDEV.S(B2:B16)</f>
        <v>45.34292615591712</v>
      </c>
    </row>
    <row r="5" spans="1:6" x14ac:dyDescent="0.3">
      <c r="A5">
        <v>40</v>
      </c>
      <c r="B5">
        <v>57</v>
      </c>
      <c r="D5" t="s">
        <v>604</v>
      </c>
      <c r="E5">
        <f>QUARTILE(A2:A16,0)</f>
        <v>0</v>
      </c>
      <c r="F5">
        <f>QUARTILE(B2:B16,0)</f>
        <v>0</v>
      </c>
    </row>
    <row r="6" spans="1:6" x14ac:dyDescent="0.3">
      <c r="A6">
        <v>111</v>
      </c>
      <c r="B6">
        <v>48</v>
      </c>
      <c r="D6" t="s">
        <v>605</v>
      </c>
      <c r="E6">
        <f>QUARTILE(A2:A16, 1)</f>
        <v>96.5</v>
      </c>
      <c r="F6">
        <f>QUARTILE(B2:B16, 1)</f>
        <v>45</v>
      </c>
    </row>
    <row r="7" spans="1:6" x14ac:dyDescent="0.3">
      <c r="A7">
        <v>60</v>
      </c>
      <c r="B7">
        <v>43</v>
      </c>
      <c r="D7" t="s">
        <v>606</v>
      </c>
      <c r="E7">
        <f>QUARTILE(A2:A16,2)</f>
        <v>124</v>
      </c>
      <c r="F7">
        <f>QUARTILE(B2:B16,2)</f>
        <v>83</v>
      </c>
    </row>
    <row r="8" spans="1:6" x14ac:dyDescent="0.3">
      <c r="A8">
        <v>105</v>
      </c>
      <c r="B8">
        <v>84</v>
      </c>
      <c r="D8" t="s">
        <v>607</v>
      </c>
      <c r="E8">
        <f>QUARTILE(A2:A16,3)</f>
        <v>135.5</v>
      </c>
      <c r="F8">
        <f>QUARTILE(B2:B16,3)</f>
        <v>110</v>
      </c>
    </row>
    <row r="9" spans="1:6" x14ac:dyDescent="0.3">
      <c r="A9">
        <v>135</v>
      </c>
      <c r="B9">
        <v>35</v>
      </c>
      <c r="D9" t="s">
        <v>608</v>
      </c>
      <c r="E9">
        <f>QUARTILE(A2:A16,4)</f>
        <v>142</v>
      </c>
      <c r="F9">
        <f>QUARTILE(B2:B16,4)</f>
        <v>152</v>
      </c>
    </row>
    <row r="10" spans="1:6" x14ac:dyDescent="0.3">
      <c r="A10">
        <v>0</v>
      </c>
      <c r="B10">
        <v>83</v>
      </c>
      <c r="D10" t="s">
        <v>610</v>
      </c>
      <c r="E10">
        <f>E3/E4</f>
        <v>2.5255680076819731</v>
      </c>
      <c r="F10">
        <f>F3/F4</f>
        <v>1.7099322850652738</v>
      </c>
    </row>
    <row r="11" spans="1:6" x14ac:dyDescent="0.3">
      <c r="A11">
        <v>138</v>
      </c>
      <c r="B11">
        <v>122</v>
      </c>
    </row>
    <row r="12" spans="1:6" x14ac:dyDescent="0.3">
      <c r="A12">
        <v>130</v>
      </c>
      <c r="B12">
        <v>93</v>
      </c>
    </row>
    <row r="13" spans="1:6" x14ac:dyDescent="0.3">
      <c r="A13">
        <v>130</v>
      </c>
      <c r="B13">
        <v>123</v>
      </c>
    </row>
    <row r="14" spans="1:6" x14ac:dyDescent="0.3">
      <c r="A14">
        <v>124</v>
      </c>
      <c r="B14">
        <v>148</v>
      </c>
    </row>
    <row r="15" spans="1:6" x14ac:dyDescent="0.3">
      <c r="A15">
        <v>142</v>
      </c>
      <c r="B15">
        <v>152</v>
      </c>
    </row>
    <row r="16" spans="1:6" x14ac:dyDescent="0.3">
      <c r="A16">
        <v>120</v>
      </c>
      <c r="B16">
        <v>0</v>
      </c>
    </row>
    <row r="21" spans="1:6" x14ac:dyDescent="0.3">
      <c r="A21" t="s">
        <v>599</v>
      </c>
      <c r="B21" t="s">
        <v>600</v>
      </c>
      <c r="E21" t="s">
        <v>599</v>
      </c>
      <c r="F21" t="s">
        <v>600</v>
      </c>
    </row>
    <row r="22" spans="1:6" x14ac:dyDescent="0.3">
      <c r="A22">
        <v>88</v>
      </c>
      <c r="B22">
        <v>47</v>
      </c>
      <c r="D22" t="s">
        <v>601</v>
      </c>
      <c r="E22">
        <f>SUM(A22:A36)</f>
        <v>815</v>
      </c>
      <c r="F22">
        <f>SUM(B22:B36)</f>
        <v>525</v>
      </c>
    </row>
    <row r="23" spans="1:6" x14ac:dyDescent="0.3">
      <c r="A23">
        <v>136</v>
      </c>
      <c r="B23">
        <v>98</v>
      </c>
      <c r="D23" t="s">
        <v>602</v>
      </c>
      <c r="E23">
        <f>AVERAGE(A22:A36)</f>
        <v>90.555555555555557</v>
      </c>
      <c r="F23">
        <f>AVERAGE(B22:B36)</f>
        <v>58.333333333333336</v>
      </c>
    </row>
    <row r="24" spans="1:6" x14ac:dyDescent="0.3">
      <c r="A24">
        <v>140</v>
      </c>
      <c r="B24">
        <v>30</v>
      </c>
      <c r="D24" t="s">
        <v>603</v>
      </c>
      <c r="E24">
        <f>_xlfn.STDEV.S(A22:A36)</f>
        <v>48.487398133719005</v>
      </c>
      <c r="F24">
        <f>_xlfn.STDEV.S(B22:B36)</f>
        <v>24.135036772294342</v>
      </c>
    </row>
    <row r="25" spans="1:6" x14ac:dyDescent="0.3">
      <c r="A25">
        <v>40</v>
      </c>
      <c r="B25">
        <v>57</v>
      </c>
      <c r="D25" t="s">
        <v>604</v>
      </c>
      <c r="E25">
        <f>QUARTILE(A22:A36,0)</f>
        <v>0</v>
      </c>
      <c r="F25">
        <f>QUARTILE(B22:B36,0)</f>
        <v>30</v>
      </c>
    </row>
    <row r="26" spans="1:6" x14ac:dyDescent="0.3">
      <c r="A26">
        <v>111</v>
      </c>
      <c r="B26">
        <v>48</v>
      </c>
      <c r="D26" t="s">
        <v>605</v>
      </c>
      <c r="E26">
        <f>QUARTILE(A22:A36, 1)</f>
        <v>60</v>
      </c>
      <c r="F26">
        <f>QUARTILE(B22:B36, 1)</f>
        <v>43</v>
      </c>
    </row>
    <row r="27" spans="1:6" x14ac:dyDescent="0.3">
      <c r="A27">
        <v>60</v>
      </c>
      <c r="B27">
        <v>43</v>
      </c>
      <c r="D27" t="s">
        <v>606</v>
      </c>
      <c r="E27">
        <f>QUARTILE(A22:A36,2)</f>
        <v>105</v>
      </c>
      <c r="F27">
        <f>QUARTILE(B22:B36,2)</f>
        <v>48</v>
      </c>
    </row>
    <row r="28" spans="1:6" x14ac:dyDescent="0.3">
      <c r="A28">
        <v>105</v>
      </c>
      <c r="B28">
        <v>84</v>
      </c>
      <c r="D28" t="s">
        <v>607</v>
      </c>
      <c r="E28">
        <f>QUARTILE(A22:A36,3)</f>
        <v>135</v>
      </c>
      <c r="F28">
        <f>QUARTILE(B22:B36,3)</f>
        <v>83</v>
      </c>
    </row>
    <row r="29" spans="1:6" x14ac:dyDescent="0.3">
      <c r="A29">
        <v>135</v>
      </c>
      <c r="B29">
        <v>35</v>
      </c>
      <c r="D29" t="s">
        <v>608</v>
      </c>
      <c r="E29">
        <f>QUARTILE(A22:A36,4)</f>
        <v>140</v>
      </c>
      <c r="F29">
        <f>QUARTILE(B22:B36,4)</f>
        <v>98</v>
      </c>
    </row>
    <row r="30" spans="1:6" x14ac:dyDescent="0.3">
      <c r="A30">
        <v>0</v>
      </c>
      <c r="B30">
        <v>83</v>
      </c>
      <c r="D30" t="s">
        <v>610</v>
      </c>
      <c r="E30">
        <f>E23/E24</f>
        <v>1.8676101222387844</v>
      </c>
      <c r="F30">
        <f>F23/F24</f>
        <v>2.416956472189705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Raw</vt:lpstr>
      <vt:lpstr>Transformed</vt:lpstr>
      <vt:lpstr>Analysis (Quals Only)</vt:lpstr>
      <vt:lpstr>Sheet1</vt:lpstr>
      <vt:lpstr>Score Scattersheet (Quals Only)</vt:lpstr>
      <vt:lpstr>Analysis</vt:lpstr>
      <vt:lpstr>Score Scattersheet</vt:lpstr>
      <vt:lpstr>Event Stats</vt:lpstr>
      <vt:lpstr>10B</vt:lpstr>
      <vt:lpstr>10C</vt:lpstr>
      <vt:lpstr>229V</vt:lpstr>
      <vt:lpstr>299Y</vt:lpstr>
      <vt:lpstr>886N</vt:lpstr>
      <vt:lpstr>938X</vt:lpstr>
      <vt:lpstr>1000A</vt:lpstr>
      <vt:lpstr>1469A</vt:lpstr>
      <vt:lpstr>1698Y</vt:lpstr>
      <vt:lpstr>5327K</vt:lpstr>
      <vt:lpstr>9364C</vt:lpstr>
      <vt:lpstr>9364H</vt:lpstr>
      <vt:lpstr>51581S</vt:lpstr>
      <vt:lpstr>66475C</vt:lpstr>
      <vt:lpstr>80001B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Maurer</dc:creator>
  <cp:lastModifiedBy>Jacob Maurer</cp:lastModifiedBy>
  <dcterms:created xsi:type="dcterms:W3CDTF">2024-01-15T23:58:44Z</dcterms:created>
  <dcterms:modified xsi:type="dcterms:W3CDTF">2024-01-27T16:28:21Z</dcterms:modified>
</cp:coreProperties>
</file>