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Mijn Documenten\"/>
    </mc:Choice>
  </mc:AlternateContent>
  <bookViews>
    <workbookView xWindow="0" yWindow="0" windowWidth="14370" windowHeight="12345" tabRatio="657" activeTab="6"/>
  </bookViews>
  <sheets>
    <sheet name="Demografisch" sheetId="1" r:id="rId1"/>
    <sheet name="8WT" sheetId="3" r:id="rId2"/>
    <sheet name="15WT" sheetId="4" r:id="rId3"/>
    <sheet name="Doolhoven" sheetId="11" r:id="rId4"/>
    <sheet name="Fluency" sheetId="2" r:id="rId5"/>
    <sheet name="Lindenboom" sheetId="10" r:id="rId6"/>
    <sheet name="LLT" sheetId="9" r:id="rId7"/>
    <sheet name="RBMT" sheetId="7" r:id="rId8"/>
    <sheet name="Stroop" sheetId="8" r:id="rId9"/>
    <sheet name="TMT-AB" sheetId="5" r:id="rId10"/>
    <sheet name="TMT-ABC" sheetId="6" r:id="rId11"/>
    <sheet name="VAT" sheetId="13" r:id="rId12"/>
    <sheet name="Samenvatting" sheetId="12" r:id="rId13"/>
  </sheets>
  <externalReferences>
    <externalReference r:id="rId14"/>
  </externalReferences>
  <definedNames>
    <definedName name="_xlnm._FilterDatabase" localSheetId="12" hidden="1">Samenvatting!$B$10:$B$74</definedName>
  </definedNames>
  <calcPr calcId="152511" iterateDelta="1E-4"/>
</workbook>
</file>

<file path=xl/calcChain.xml><?xml version="1.0" encoding="utf-8"?>
<calcChain xmlns="http://schemas.openxmlformats.org/spreadsheetml/2006/main">
  <c r="B19" i="9" l="1"/>
  <c r="H17" i="9"/>
  <c r="B17" i="9"/>
  <c r="H38" i="9" s="1"/>
  <c r="B7" i="9"/>
  <c r="B18" i="9" l="1"/>
  <c r="L38" i="9" s="1"/>
  <c r="I19" i="9"/>
  <c r="H20" i="9"/>
  <c r="L20" i="9"/>
  <c r="H21" i="9"/>
  <c r="L21" i="9"/>
  <c r="H22" i="9"/>
  <c r="L22" i="9"/>
  <c r="B25" i="9"/>
  <c r="L25" i="9"/>
  <c r="H26" i="9"/>
  <c r="B27" i="9"/>
  <c r="M27" i="9"/>
  <c r="I28" i="9"/>
  <c r="M28" i="9"/>
  <c r="I29" i="9"/>
  <c r="M29" i="9"/>
  <c r="I30" i="9"/>
  <c r="M30" i="9"/>
  <c r="L33" i="9"/>
  <c r="L34" i="9"/>
  <c r="M35" i="9"/>
  <c r="I36" i="9"/>
  <c r="M36" i="9"/>
  <c r="I37" i="9"/>
  <c r="M37" i="9"/>
  <c r="I38" i="9"/>
  <c r="M38" i="9"/>
  <c r="L17" i="9"/>
  <c r="B26" i="9" s="1"/>
  <c r="H18" i="9"/>
  <c r="M19" i="9"/>
  <c r="I20" i="9"/>
  <c r="M20" i="9"/>
  <c r="I21" i="9"/>
  <c r="M21" i="9"/>
  <c r="I22" i="9"/>
  <c r="M22" i="9"/>
  <c r="H25" i="9"/>
  <c r="L26" i="9"/>
  <c r="I27" i="9"/>
  <c r="H28" i="9"/>
  <c r="L28" i="9"/>
  <c r="H29" i="9"/>
  <c r="L29" i="9"/>
  <c r="H30" i="9"/>
  <c r="L30" i="9"/>
  <c r="H33" i="9"/>
  <c r="H34" i="9"/>
  <c r="I35" i="9"/>
  <c r="H36" i="9"/>
  <c r="L36" i="9"/>
  <c r="H37" i="9"/>
  <c r="L37" i="9"/>
  <c r="B72" i="12"/>
  <c r="B71" i="12"/>
  <c r="B70" i="12"/>
  <c r="B69" i="12"/>
  <c r="B68" i="12"/>
  <c r="B67" i="12"/>
  <c r="B65" i="12" s="1"/>
  <c r="B18" i="13"/>
  <c r="C18" i="13" s="1"/>
  <c r="C17" i="13"/>
  <c r="L18" i="9" l="1"/>
  <c r="B66" i="12"/>
  <c r="B64" i="12"/>
  <c r="B63" i="12"/>
  <c r="B62" i="12"/>
  <c r="B60" i="12" s="1"/>
  <c r="B59" i="12"/>
  <c r="B58" i="12"/>
  <c r="B56" i="12" s="1"/>
  <c r="B55" i="12"/>
  <c r="B54" i="12"/>
  <c r="B53" i="12"/>
  <c r="B52" i="12" s="1"/>
  <c r="B49" i="12"/>
  <c r="B48" i="12"/>
  <c r="B46" i="12" s="1"/>
  <c r="B47" i="12"/>
  <c r="B4" i="12"/>
  <c r="B3" i="12"/>
  <c r="B2" i="12"/>
  <c r="B29" i="12"/>
  <c r="B40" i="12"/>
  <c r="B38" i="12" s="1"/>
  <c r="B37" i="12"/>
  <c r="B36" i="12" s="1"/>
  <c r="B34" i="12"/>
  <c r="B33" i="12"/>
  <c r="B32" i="12" s="1"/>
  <c r="B30" i="12"/>
  <c r="B28" i="12" s="1"/>
  <c r="B17" i="12"/>
  <c r="B16" i="12"/>
  <c r="B14" i="12" s="1"/>
  <c r="B13" i="12"/>
  <c r="B12" i="12"/>
  <c r="B27" i="12"/>
  <c r="B26" i="12"/>
  <c r="B25" i="12"/>
  <c r="B22" i="12"/>
  <c r="B21" i="12"/>
  <c r="B20" i="12"/>
  <c r="B19" i="12" s="1"/>
  <c r="B15" i="11"/>
  <c r="B16" i="11"/>
  <c r="B19" i="10"/>
  <c r="B8" i="10"/>
  <c r="B17" i="10" s="1"/>
  <c r="B45" i="12"/>
  <c r="B43" i="12"/>
  <c r="B39" i="12" l="1"/>
  <c r="B31" i="12"/>
  <c r="B61" i="12"/>
  <c r="B57" i="12"/>
  <c r="B51" i="12"/>
  <c r="B41" i="12"/>
  <c r="B44" i="12"/>
  <c r="B42" i="12"/>
  <c r="B35" i="12"/>
  <c r="B18" i="12"/>
  <c r="B15" i="12"/>
  <c r="B24" i="12"/>
  <c r="B23" i="12" s="1"/>
  <c r="B11" i="12"/>
  <c r="D16" i="10"/>
  <c r="B16" i="10" s="1"/>
  <c r="D20" i="10"/>
  <c r="B20" i="10" s="1"/>
  <c r="D15" i="10"/>
  <c r="B15" i="10" s="1"/>
  <c r="D18" i="10"/>
  <c r="B18" i="10" s="1"/>
  <c r="B21" i="10"/>
  <c r="B7" i="6"/>
  <c r="C16" i="6" s="1"/>
  <c r="B18" i="6"/>
  <c r="B8" i="8"/>
  <c r="B7" i="8"/>
  <c r="D24" i="8" s="1"/>
  <c r="B6" i="8"/>
  <c r="B26" i="8"/>
  <c r="C24" i="8" l="1"/>
  <c r="D25" i="8"/>
  <c r="C23" i="8"/>
  <c r="C26" i="8"/>
  <c r="C25" i="8"/>
  <c r="D23" i="8"/>
  <c r="D18" i="6"/>
  <c r="C18" i="6"/>
  <c r="D17" i="6"/>
  <c r="C17" i="6"/>
  <c r="D15" i="6"/>
  <c r="D16" i="6"/>
  <c r="C15" i="6"/>
  <c r="D26" i="8"/>
  <c r="B18" i="8" l="1"/>
  <c r="C18" i="8" s="1"/>
  <c r="B17" i="8"/>
  <c r="C17" i="8" s="1"/>
  <c r="B15" i="8"/>
  <c r="C15" i="8" s="1"/>
  <c r="B6" i="7"/>
  <c r="B7" i="7"/>
  <c r="B8" i="7"/>
  <c r="B11" i="7"/>
  <c r="B50" i="12" s="1"/>
  <c r="C20" i="5"/>
  <c r="B6" i="5"/>
  <c r="B7" i="5"/>
  <c r="B8" i="5"/>
  <c r="B15" i="5" s="1"/>
  <c r="C15" i="5" s="1"/>
  <c r="D15" i="5"/>
  <c r="B8" i="4"/>
  <c r="B7" i="4"/>
  <c r="B6" i="4"/>
  <c r="B26" i="4"/>
  <c r="C26" i="4" s="1"/>
  <c r="B16" i="4"/>
  <c r="C16" i="4" s="1"/>
  <c r="B6" i="3"/>
  <c r="B7" i="3"/>
  <c r="B14" i="3"/>
  <c r="B7" i="2"/>
  <c r="B6" i="2"/>
  <c r="B8" i="2"/>
  <c r="D26" i="2" s="1"/>
  <c r="B26" i="2" s="1"/>
  <c r="C26" i="2" s="1"/>
  <c r="B9" i="2"/>
  <c r="D14" i="5" l="1"/>
  <c r="B16" i="5"/>
  <c r="C16" i="5" s="1"/>
  <c r="B13" i="3"/>
  <c r="D16" i="5"/>
  <c r="D17" i="7"/>
  <c r="B15" i="4"/>
  <c r="C15" i="4" s="1"/>
  <c r="B16" i="8"/>
  <c r="C16" i="8" s="1"/>
  <c r="D18" i="8"/>
  <c r="D15" i="8"/>
  <c r="D16" i="8"/>
  <c r="D17" i="8"/>
  <c r="D15" i="7"/>
  <c r="B15" i="7" s="1"/>
  <c r="C15" i="7" s="1"/>
  <c r="D16" i="7"/>
  <c r="B16" i="7" s="1"/>
  <c r="C16" i="7" s="1"/>
  <c r="B17" i="7"/>
  <c r="C17" i="7" s="1"/>
  <c r="B14" i="5"/>
  <c r="C14" i="5" s="1"/>
  <c r="B25" i="4"/>
  <c r="C25" i="4" s="1"/>
  <c r="B14" i="4"/>
  <c r="C14" i="4" s="1"/>
  <c r="B24" i="4"/>
  <c r="C24" i="4" s="1"/>
  <c r="D19" i="2"/>
  <c r="B19" i="2" s="1"/>
  <c r="C19" i="2" s="1"/>
  <c r="D22" i="2"/>
  <c r="B22" i="2" s="1"/>
  <c r="C22" i="2" s="1"/>
  <c r="D18" i="2"/>
  <c r="B18" i="2" s="1"/>
  <c r="C18" i="2" s="1"/>
  <c r="D24" i="2"/>
  <c r="B24" i="2" s="1"/>
  <c r="C24" i="2" s="1"/>
  <c r="D27" i="2"/>
  <c r="B27" i="2" s="1"/>
  <c r="C27" i="2" s="1"/>
  <c r="D21" i="2"/>
  <c r="B21" i="2" s="1"/>
  <c r="C21" i="2" s="1"/>
</calcChain>
</file>

<file path=xl/sharedStrings.xml><?xml version="1.0" encoding="utf-8"?>
<sst xmlns="http://schemas.openxmlformats.org/spreadsheetml/2006/main" count="543" uniqueCount="179">
  <si>
    <t>Leeftijd</t>
  </si>
  <si>
    <t>Opleiding (Verhage)</t>
  </si>
  <si>
    <t>&lt;basisonderwijs</t>
  </si>
  <si>
    <t>basisonderwijs</t>
  </si>
  <si>
    <t xml:space="preserve">&lt;LBO         </t>
  </si>
  <si>
    <t xml:space="preserve">LBO           </t>
  </si>
  <si>
    <t>mavo / MBO</t>
  </si>
  <si>
    <t>havo / VWO / HBO</t>
  </si>
  <si>
    <t xml:space="preserve">universiteit   </t>
  </si>
  <si>
    <t>Betekenis Verhage</t>
  </si>
  <si>
    <t>Geslacht (M=1, V=2)</t>
  </si>
  <si>
    <t>Categorie- en letterfluency</t>
  </si>
  <si>
    <t>Ruwe NLV score</t>
  </si>
  <si>
    <t>Dieren</t>
  </si>
  <si>
    <t>Beroepen</t>
  </si>
  <si>
    <t>Supermarkt</t>
  </si>
  <si>
    <t>Letters</t>
  </si>
  <si>
    <t>aantal dieren in één minuut</t>
  </si>
  <si>
    <t>aantal beroepen in één minuut</t>
  </si>
  <si>
    <t>aantal supermarktartikelen in één minuut</t>
  </si>
  <si>
    <t>aantal woorden in 3 minuten (DAT, KOM, of PGR)</t>
  </si>
  <si>
    <t>T-score</t>
  </si>
  <si>
    <t>Percentiel</t>
  </si>
  <si>
    <t>Verwacht</t>
  </si>
  <si>
    <t>Gebaseerd op</t>
  </si>
  <si>
    <t>Leeftijd en opleiding (n=464)</t>
  </si>
  <si>
    <t>Leeftijd en NLV (n=337)</t>
  </si>
  <si>
    <t>Leeftijd en opleiding (n=394)</t>
  </si>
  <si>
    <t>Geslacht, leeftijd en NLV (n=267)</t>
  </si>
  <si>
    <t>Geslacht en opleiding (n=277)</t>
  </si>
  <si>
    <t>Opleiding (n=570)</t>
  </si>
  <si>
    <t>Opleiding en NLV (n=335)</t>
  </si>
  <si>
    <t>percentiel</t>
  </si>
  <si>
    <t>98e</t>
  </si>
  <si>
    <t>84e</t>
  </si>
  <si>
    <t>50e</t>
  </si>
  <si>
    <t>16e</t>
  </si>
  <si>
    <t>5e</t>
  </si>
  <si>
    <t>2e</t>
  </si>
  <si>
    <t>1e</t>
  </si>
  <si>
    <t>Betekenis T-scores:</t>
  </si>
  <si>
    <t>8-Woordentest</t>
  </si>
  <si>
    <t>Totaal aantal woorden</t>
  </si>
  <si>
    <t>Uitgesteld</t>
  </si>
  <si>
    <r>
      <t xml:space="preserve">Normen neuropsychologische tests
</t>
    </r>
    <r>
      <rPr>
        <i/>
        <sz val="9"/>
        <color theme="1"/>
        <rFont val="Calibri"/>
        <family val="2"/>
        <scheme val="minor"/>
      </rPr>
      <t>juni 2004; samengesteld door B. Schmand
n=99 (59 gezonde controlepersonen, 40 cognitief intacte patiënten)
leeftijd 56-98 jaar, gemiddelde = 77 (sd = 8), alle opleidingsniveau's
58 vrouwen, 41 mannen (geslacht correleert niet met scores)</t>
    </r>
  </si>
  <si>
    <t>Leeftijd en opleiding</t>
  </si>
  <si>
    <t>Totaalscore</t>
  </si>
  <si>
    <r>
      <rPr>
        <b/>
        <sz val="12"/>
        <color theme="1"/>
        <rFont val="Calibri"/>
        <family val="2"/>
        <scheme val="minor"/>
      </rPr>
      <t>Normen neuropsychologische tests 2012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 xml:space="preserve">zie toelichting op de NIP website, gebaseerd op n=267-570, 17-90 jaar
</t>
    </r>
    <r>
      <rPr>
        <sz val="9"/>
        <color theme="1"/>
        <rFont val="Calibri"/>
        <family val="2"/>
        <scheme val="minor"/>
      </rPr>
      <t xml:space="preserve">Ben Schmand, Peter Houx † en Inge de Koning 
m.m.v. Marleen Gerritsen, Martine Hoogman, Dino Muslimovic, Anne Rienstra, Rolf Saan, Sanne Schagen, Thelma Schilt, Joke Spikman &amp; Mirjam van Tricht.
Gepubliceerd op de website van de sectie Neuropsychologie
Nederlands Instituut van Psychologen, 2012  </t>
    </r>
  </si>
  <si>
    <r>
      <rPr>
        <b/>
        <sz val="12"/>
        <color theme="1"/>
        <rFont val="Calibri"/>
        <family val="2"/>
        <scheme val="minor"/>
      </rPr>
      <t>Normen neuropsychologische tests 2012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 xml:space="preserve">zie toelichting op de NIP website, gebaseerd op n=847, 14-87 jaar
</t>
    </r>
    <r>
      <rPr>
        <sz val="9"/>
        <color theme="1"/>
        <rFont val="Calibri"/>
        <family val="2"/>
        <scheme val="minor"/>
      </rPr>
      <t xml:space="preserve">Ben Schmand, Peter Houx † en Inge de Koning 
m.m.v. Marleen Gerritsen, Martine Hoogman, Dino Muslimovic, Anne Rienstra, Rolf Saan, Sanne Schagen, Thelma Schilt, Joke Spikman &amp; Mirjam van Tricht.
Gepubliceerd op de website van de sectie Neuropsychologie
Nederlands Instituut van Psychologen, 2012  </t>
    </r>
  </si>
  <si>
    <t>15-Woordentest</t>
  </si>
  <si>
    <t>Totaal</t>
  </si>
  <si>
    <t>Normen volgens voorlopige handleiding (1986); n=164, 14-76 jaar (m=39 sd=22)</t>
  </si>
  <si>
    <r>
      <rPr>
        <b/>
        <sz val="12"/>
        <color theme="1"/>
        <rFont val="Calibri"/>
        <family val="2"/>
        <scheme val="minor"/>
      </rPr>
      <t>Normen neuropsychologische tests 2012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 xml:space="preserve">zie toelichting op de NIP website, gebaseerd op n=478, 17-90 jaar
</t>
    </r>
    <r>
      <rPr>
        <sz val="9"/>
        <color theme="1"/>
        <rFont val="Calibri"/>
        <family val="2"/>
        <scheme val="minor"/>
      </rPr>
      <t xml:space="preserve">Ben Schmand, Peter Houx † en Inge de Koning 
m.m.v. Marleen Gerritsen, Martine Hoogman, Dino Muslimovic, Anne Rienstra, Rolf Saan, Sanne Schagen, Thelma Schilt, Joke Spikman &amp; Mirjam van Tricht.
Gepubliceerd op de website van de sectie Neuropsychologie
Nederlands Instituut van Psychologen, 2012  </t>
    </r>
  </si>
  <si>
    <t>Trail Making Test AB</t>
  </si>
  <si>
    <t>Tijd trail A</t>
  </si>
  <si>
    <t>Tijd trail B</t>
  </si>
  <si>
    <t>Trail A</t>
  </si>
  <si>
    <t>Trail B</t>
  </si>
  <si>
    <t>B/A-index</t>
  </si>
  <si>
    <t>B/A index &gt;3 is afwijkend</t>
  </si>
  <si>
    <t>(Arbuthnott et al. JCEN 2000, 22, 518-28)</t>
  </si>
  <si>
    <t>Rivermead Behavioural Memory Test</t>
  </si>
  <si>
    <t>Berichten onthouden</t>
  </si>
  <si>
    <r>
      <rPr>
        <b/>
        <sz val="12"/>
        <color theme="1"/>
        <rFont val="Calibri"/>
        <family val="2"/>
        <scheme val="minor"/>
      </rPr>
      <t>Normen neuropsychologische tests 2012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 xml:space="preserve">zie toelichting op de NIP website, gebaseerd op n=344, 17-89 jaar
</t>
    </r>
    <r>
      <rPr>
        <sz val="9"/>
        <color theme="1"/>
        <rFont val="Calibri"/>
        <family val="2"/>
        <scheme val="minor"/>
      </rPr>
      <t xml:space="preserve">Ben Schmand, Peter Houx † en Inge de Koning 
m.m.v. Marleen Gerritsen, Martine Hoogman, Dino Muslimovic, Anne Rienstra, Rolf Saan, Sanne Schagen, Thelma Schilt, Joke Spikman &amp; Mirjam van Tricht.
Gepubliceerd op de website van de sectie Neuropsychologie
Nederlands Instituut van Psychologen, 2012  </t>
    </r>
  </si>
  <si>
    <t>Percentage onthouden</t>
  </si>
  <si>
    <t>Goede elementen 1+2, direct na aanbieding; inprenting</t>
  </si>
  <si>
    <t>Goede elementen 1+2, uitgestelde reproductie; herinnering</t>
  </si>
  <si>
    <t>Inprenting</t>
  </si>
  <si>
    <t>Herinnering</t>
  </si>
  <si>
    <t>Geslacht, leeftijd en opleiding</t>
  </si>
  <si>
    <t>Geslacht, leeftijd en opleiding en Trail A</t>
  </si>
  <si>
    <t>Stroop kleur-woord test</t>
  </si>
  <si>
    <t>Kaart 1</t>
  </si>
  <si>
    <t>Kaart 2</t>
  </si>
  <si>
    <t>Kaart 3</t>
  </si>
  <si>
    <t>Leeftijd, opleiding en kaart 2</t>
  </si>
  <si>
    <t>Kaart 3, interferentie score</t>
  </si>
  <si>
    <t>Tijd in seconden kaart 1</t>
  </si>
  <si>
    <t>Tijd in seconden kaart 2</t>
  </si>
  <si>
    <t>Tijd in seconden kaart 3</t>
  </si>
  <si>
    <t>Houx normen</t>
  </si>
  <si>
    <t>SD range</t>
  </si>
  <si>
    <t>Kaart 3, Interferentiefactor</t>
  </si>
  <si>
    <t>%</t>
  </si>
  <si>
    <t>Leeftijd en kaart 1 en 2</t>
  </si>
  <si>
    <t>Tijd op Trail A</t>
  </si>
  <si>
    <t>Tijd op Trail B</t>
  </si>
  <si>
    <t>Tijd op Trail C</t>
  </si>
  <si>
    <t>Trail C, Interferentiefactor</t>
  </si>
  <si>
    <t>Trail C</t>
  </si>
  <si>
    <t>Leeftijd en trail A en B</t>
  </si>
  <si>
    <t>Trail Making Test ABC</t>
  </si>
  <si>
    <t>Location Learning Test</t>
  </si>
  <si>
    <t>displacement 1</t>
  </si>
  <si>
    <t>displacement 2</t>
  </si>
  <si>
    <t>displacement 3</t>
  </si>
  <si>
    <t>displacement 4</t>
  </si>
  <si>
    <t>displacement 5</t>
  </si>
  <si>
    <t>displacement uitgesteld</t>
  </si>
  <si>
    <t>totale displacement</t>
  </si>
  <si>
    <t>leerindex</t>
  </si>
  <si>
    <t>uitgestelde herinnering</t>
  </si>
  <si>
    <t>Cijferreeksen vooruit</t>
  </si>
  <si>
    <t>Cijferreeksen achteruit</t>
  </si>
  <si>
    <t>Knox blokkentest</t>
  </si>
  <si>
    <t>EMCT</t>
  </si>
  <si>
    <t>Score cijferreeksen vooruit (niet spanne)</t>
  </si>
  <si>
    <t>Score cijferreeksen achteruit (niet spanne)</t>
  </si>
  <si>
    <t>EMCT score</t>
  </si>
  <si>
    <t>Opleidingsniveau</t>
  </si>
  <si>
    <t>Cijferreeksen achteruit en opleidingsniveau</t>
  </si>
  <si>
    <t>Cijferreeksen, Knox blokken &amp; EMCT</t>
  </si>
  <si>
    <t>Cijferreeksen vooruit en opleidingsniveau</t>
  </si>
  <si>
    <t>Normen Lindenboom 2001
Voor leeftijd van 65 jaar of ouder</t>
  </si>
  <si>
    <t>Totale tijd in seconden</t>
  </si>
  <si>
    <t>Totaal aantal fouten</t>
  </si>
  <si>
    <t>4 of 5 doolhoven afgerond</t>
  </si>
  <si>
    <t>Deciel</t>
  </si>
  <si>
    <t>WISC Doolhoven</t>
  </si>
  <si>
    <t>Tijd</t>
  </si>
  <si>
    <t>Fouten</t>
  </si>
  <si>
    <t>124 of lager</t>
  </si>
  <si>
    <t>125-153</t>
  </si>
  <si>
    <t>154-170</t>
  </si>
  <si>
    <t>171-202</t>
  </si>
  <si>
    <t>203-226</t>
  </si>
  <si>
    <t>261-289</t>
  </si>
  <si>
    <t>290-358</t>
  </si>
  <si>
    <t>359-482</t>
  </si>
  <si>
    <t>483 en hoger</t>
  </si>
  <si>
    <t>227-260</t>
  </si>
  <si>
    <t>2 of 3</t>
  </si>
  <si>
    <t>3 of 4</t>
  </si>
  <si>
    <t>4 of 5</t>
  </si>
  <si>
    <t>6 of 7</t>
  </si>
  <si>
    <t>8 of meer</t>
  </si>
  <si>
    <t>5 doolhoven, Groningen</t>
  </si>
  <si>
    <t>4 doolhoven</t>
  </si>
  <si>
    <t>Categoriefluency</t>
  </si>
  <si>
    <t>Letterfluency</t>
  </si>
  <si>
    <t>Cijferreeksen Lindenboom</t>
  </si>
  <si>
    <t>Score cijferreeksen vooruit</t>
  </si>
  <si>
    <t>Score cijferreeksen achteruit</t>
  </si>
  <si>
    <t>Knox Blokkentest</t>
  </si>
  <si>
    <t>Location learning test</t>
  </si>
  <si>
    <t>Goede elementen 1+2, inprenting</t>
  </si>
  <si>
    <t>Goede elementen 1+2, herinnering</t>
  </si>
  <si>
    <t>RBMT-verhaaltjes</t>
  </si>
  <si>
    <t>Stroop</t>
  </si>
  <si>
    <t>VAT</t>
  </si>
  <si>
    <t>Visuele associatietest</t>
  </si>
  <si>
    <t>VAT-A aanbieding 1</t>
  </si>
  <si>
    <t>VAT-A aanbieding 2</t>
  </si>
  <si>
    <t>VAT-A aanbieding 3</t>
  </si>
  <si>
    <t>VAT-B aanbieding 1</t>
  </si>
  <si>
    <t>VAT-B aanbieding 2</t>
  </si>
  <si>
    <t>VAT-B aanbieding 3</t>
  </si>
  <si>
    <t>VAT-A</t>
  </si>
  <si>
    <t>gebaseerd op</t>
  </si>
  <si>
    <t>aanbieding 1 en 2</t>
  </si>
  <si>
    <t>verschilscore</t>
  </si>
  <si>
    <t>Verschilscore</t>
  </si>
  <si>
    <t>VAT-A en VAT-B</t>
  </si>
  <si>
    <t>tijd (30 sec.=1, 15 sec.=0)</t>
  </si>
  <si>
    <t>IQ (hoog=1, gemiddeld=0, laag=-1)</t>
  </si>
  <si>
    <t>Leeftijd en IQ</t>
  </si>
  <si>
    <t>80+</t>
  </si>
  <si>
    <t>&lt;40</t>
  </si>
  <si>
    <t>40-60</t>
  </si>
  <si>
    <t>60-70</t>
  </si>
  <si>
    <t>15 sec</t>
  </si>
  <si>
    <t>30 sec</t>
  </si>
  <si>
    <t>Laag IQ</t>
  </si>
  <si>
    <t>70-80</t>
  </si>
  <si>
    <t>Displacement</t>
  </si>
  <si>
    <t>Leerindex</t>
  </si>
  <si>
    <t>Gem IQ</t>
  </si>
  <si>
    <t>50-60</t>
  </si>
  <si>
    <t>Hoog 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</si>
</sst>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u/>
      <sz val="10"/>
      <name val="Arial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</font>
    <font>
      <sz val="9"/>
      <color theme="0"/>
      <name val="Calibri"/>
      <family val="2"/>
      <charset val="1"/>
    </font>
    <font>
      <b/>
      <sz val="9"/>
      <color theme="0"/>
      <name val="Calibri"/>
      <family val="2"/>
      <charset val="1"/>
    </font>
    <font>
      <i/>
      <sz val="9"/>
      <color theme="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i/>
      <sz val="9"/>
      <color theme="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99"/>
        <bgColor rgb="FF9933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8" fillId="0" borderId="0" applyNumberForma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0" xfId="0" applyFont="1" applyBorder="1"/>
    <xf numFmtId="0" fontId="6" fillId="0" borderId="8" xfId="1" applyFont="1" applyBorder="1"/>
    <xf numFmtId="0" fontId="6" fillId="0" borderId="10" xfId="1" applyFont="1" applyBorder="1"/>
    <xf numFmtId="0" fontId="7" fillId="0" borderId="0" xfId="1" applyFont="1" applyBorder="1"/>
    <xf numFmtId="0" fontId="7" fillId="0" borderId="0" xfId="1" applyFont="1" applyBorder="1" applyAlignment="1">
      <alignment horizontal="center"/>
    </xf>
    <xf numFmtId="0" fontId="6" fillId="0" borderId="0" xfId="2" applyFont="1" applyFill="1" applyBorder="1"/>
    <xf numFmtId="0" fontId="6" fillId="0" borderId="0" xfId="2" applyFont="1" applyFill="1"/>
    <xf numFmtId="0" fontId="3" fillId="3" borderId="0" xfId="0" applyFont="1" applyFill="1"/>
    <xf numFmtId="0" fontId="6" fillId="0" borderId="9" xfId="0" applyFont="1" applyBorder="1"/>
    <xf numFmtId="0" fontId="6" fillId="0" borderId="10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Border="1" applyAlignment="1"/>
    <xf numFmtId="0" fontId="3" fillId="0" borderId="0" xfId="0" applyFont="1" applyAlignment="1"/>
    <xf numFmtId="0" fontId="6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0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Border="1"/>
    <xf numFmtId="0" fontId="1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0" fillId="0" borderId="0" xfId="0" applyFont="1" applyBorder="1"/>
    <xf numFmtId="0" fontId="11" fillId="0" borderId="0" xfId="0" applyFont="1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3" fillId="3" borderId="0" xfId="0" applyFont="1" applyFill="1" applyAlignment="1"/>
    <xf numFmtId="0" fontId="3" fillId="0" borderId="0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/>
    <xf numFmtId="0" fontId="3" fillId="0" borderId="0" xfId="0" applyFont="1" applyBorder="1" applyAlignment="1">
      <alignment horizontal="center"/>
    </xf>
    <xf numFmtId="0" fontId="0" fillId="0" borderId="0" xfId="0" applyProtection="1"/>
    <xf numFmtId="0" fontId="13" fillId="0" borderId="0" xfId="0" applyFont="1" applyFill="1" applyBorder="1" applyProtection="1"/>
    <xf numFmtId="0" fontId="14" fillId="0" borderId="0" xfId="0" applyFont="1" applyFill="1" applyBorder="1" applyProtection="1"/>
    <xf numFmtId="0" fontId="15" fillId="0" borderId="0" xfId="0" applyFont="1"/>
    <xf numFmtId="0" fontId="6" fillId="0" borderId="0" xfId="0" applyFont="1" applyBorder="1"/>
    <xf numFmtId="0" fontId="0" fillId="0" borderId="0" xfId="0" applyFill="1"/>
    <xf numFmtId="164" fontId="3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1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6" fillId="3" borderId="0" xfId="0" applyFont="1" applyFill="1"/>
    <xf numFmtId="164" fontId="12" fillId="3" borderId="0" xfId="0" applyNumberFormat="1" applyFont="1" applyFill="1" applyAlignment="1">
      <alignment horizontal="center"/>
    </xf>
    <xf numFmtId="0" fontId="8" fillId="0" borderId="0" xfId="0" applyFont="1" applyAlignment="1"/>
    <xf numFmtId="0" fontId="3" fillId="0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16" fontId="6" fillId="0" borderId="0" xfId="0" applyNumberFormat="1" applyFont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7" fillId="0" borderId="0" xfId="0" applyFont="1" applyFill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0" fontId="19" fillId="0" borderId="0" xfId="0" applyFont="1"/>
    <xf numFmtId="0" fontId="22" fillId="0" borderId="0" xfId="0" applyFont="1"/>
    <xf numFmtId="0" fontId="23" fillId="0" borderId="0" xfId="0" applyFont="1"/>
    <xf numFmtId="0" fontId="19" fillId="0" borderId="0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23" fillId="0" borderId="0" xfId="0" applyFont="1" applyBorder="1"/>
    <xf numFmtId="0" fontId="24" fillId="0" borderId="0" xfId="3" applyFont="1" applyBorder="1"/>
    <xf numFmtId="0" fontId="19" fillId="0" borderId="0" xfId="0" applyFont="1" applyFill="1"/>
    <xf numFmtId="0" fontId="25" fillId="0" borderId="0" xfId="0" applyFont="1" applyFill="1"/>
    <xf numFmtId="0" fontId="19" fillId="0" borderId="0" xfId="0" applyFont="1" applyAlignment="1"/>
    <xf numFmtId="0" fontId="19" fillId="0" borderId="0" xfId="0" applyFont="1" applyFill="1" applyAlignment="1"/>
    <xf numFmtId="0" fontId="25" fillId="0" borderId="0" xfId="0" applyFont="1" applyFill="1" applyAlignment="1"/>
    <xf numFmtId="0" fontId="26" fillId="0" borderId="0" xfId="0" applyFont="1"/>
    <xf numFmtId="0" fontId="19" fillId="4" borderId="4" xfId="0" applyFont="1" applyFill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27" fillId="0" borderId="0" xfId="0" applyFont="1"/>
    <xf numFmtId="0" fontId="28" fillId="0" borderId="0" xfId="0" applyFont="1"/>
    <xf numFmtId="0" fontId="28" fillId="0" borderId="0" xfId="0" applyFont="1" applyFill="1"/>
    <xf numFmtId="0" fontId="19" fillId="5" borderId="0" xfId="0" applyFont="1" applyFill="1" applyAlignment="1"/>
    <xf numFmtId="0" fontId="26" fillId="0" borderId="0" xfId="0" applyFont="1" applyFill="1" applyAlignment="1">
      <alignment horizontal="left"/>
    </xf>
    <xf numFmtId="0" fontId="26" fillId="0" borderId="0" xfId="0" applyFont="1" applyFill="1"/>
    <xf numFmtId="2" fontId="19" fillId="5" borderId="0" xfId="0" applyNumberFormat="1" applyFont="1" applyFill="1" applyAlignment="1"/>
    <xf numFmtId="0" fontId="19" fillId="5" borderId="0" xfId="0" applyFont="1" applyFill="1"/>
    <xf numFmtId="0" fontId="19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vertical="top" wrapText="1"/>
    </xf>
    <xf numFmtId="0" fontId="19" fillId="0" borderId="0" xfId="0" applyFont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22" fillId="0" borderId="0" xfId="0" applyFont="1" applyBorder="1"/>
    <xf numFmtId="0" fontId="24" fillId="0" borderId="9" xfId="0" applyFont="1" applyBorder="1"/>
    <xf numFmtId="0" fontId="24" fillId="0" borderId="10" xfId="0" applyFont="1" applyBorder="1"/>
    <xf numFmtId="0" fontId="19" fillId="0" borderId="7" xfId="0" applyFont="1" applyBorder="1" applyAlignment="1">
      <alignment horizontal="left"/>
    </xf>
    <xf numFmtId="0" fontId="24" fillId="0" borderId="8" xfId="3" applyFont="1" applyBorder="1"/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31" fillId="0" borderId="0" xfId="0" applyFont="1" applyBorder="1"/>
    <xf numFmtId="0" fontId="19" fillId="0" borderId="9" xfId="0" applyFont="1" applyBorder="1" applyAlignment="1">
      <alignment horizontal="left"/>
    </xf>
    <xf numFmtId="0" fontId="24" fillId="0" borderId="10" xfId="3" applyFont="1" applyBorder="1"/>
    <xf numFmtId="0" fontId="24" fillId="0" borderId="9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31" fillId="0" borderId="0" xfId="0" applyFont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right" vertical="top" wrapText="1"/>
    </xf>
    <xf numFmtId="0" fontId="16" fillId="0" borderId="0" xfId="0" applyFont="1" applyAlignment="1">
      <alignment horizontal="right" vertical="top" wrapText="1"/>
    </xf>
    <xf numFmtId="0" fontId="16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19" fillId="0" borderId="0" xfId="0" applyFont="1" applyBorder="1" applyAlignment="1">
      <alignment horizontal="left"/>
    </xf>
    <xf numFmtId="0" fontId="24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0" xfId="0" applyFont="1" applyFill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 vertical="top" wrapText="1"/>
    </xf>
    <xf numFmtId="0" fontId="3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3" fillId="0" borderId="0" xfId="0" applyFont="1" applyAlignment="1">
      <alignment horizontal="right" vertical="top" wrapText="1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</cellXfs>
  <cellStyles count="4">
    <cellStyle name="Standaard" xfId="0" builtinId="0"/>
    <cellStyle name="Standaard 2" xfId="1"/>
    <cellStyle name="Standaard 3" xfId="2"/>
    <cellStyle name="Verklarende tekst" xfId="3" builtinId="53"/>
  </cellStyles>
  <dxfs count="0"/>
  <tableStyles count="0" defaultTableStyle="TableStyleMedium9" defaultPivotStyle="PivotStyleLight16"/>
  <colors>
    <mruColors>
      <color rgb="FFFF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ds\Desktop\Kopie%20van%20NieuweBerekeni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fisch"/>
      <sheetName val="8WT"/>
      <sheetName val="15WT"/>
      <sheetName val="Doolhoven"/>
      <sheetName val="Fluency"/>
      <sheetName val="Lindenboom"/>
      <sheetName val="LLT"/>
      <sheetName val="RBMT"/>
      <sheetName val="Stroop"/>
      <sheetName val="TMT-AB"/>
      <sheetName val="TMT-ABC"/>
      <sheetName val="VAT"/>
      <sheetName val="Samenvatt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zoomScaleNormal="100" workbookViewId="0">
      <selection activeCell="B2" sqref="B2"/>
    </sheetView>
  </sheetViews>
  <sheetFormatPr defaultRowHeight="12" x14ac:dyDescent="0.2"/>
  <cols>
    <col min="1" max="1" width="5.7109375" style="1" customWidth="1"/>
    <col min="2" max="2" width="9.28515625" style="1" customWidth="1"/>
    <col min="3" max="3" width="20" style="1" bestFit="1" customWidth="1"/>
    <col min="4" max="4" width="4.42578125" style="1" customWidth="1"/>
    <col min="5" max="5" width="5" style="1" customWidth="1"/>
    <col min="6" max="6" width="19" style="1" bestFit="1" customWidth="1"/>
    <col min="7" max="16384" width="9.140625" style="1"/>
  </cols>
  <sheetData>
    <row r="1" spans="2:12" ht="12.75" thickBot="1" x14ac:dyDescent="0.25"/>
    <row r="2" spans="2:12" x14ac:dyDescent="0.2">
      <c r="B2" s="42"/>
      <c r="C2" s="1" t="s">
        <v>10</v>
      </c>
      <c r="E2" s="144" t="s">
        <v>9</v>
      </c>
      <c r="F2" s="145"/>
    </row>
    <row r="3" spans="2:12" x14ac:dyDescent="0.2">
      <c r="B3" s="43"/>
      <c r="C3" s="1" t="s">
        <v>0</v>
      </c>
      <c r="E3" s="2">
        <v>1</v>
      </c>
      <c r="F3" s="5" t="s">
        <v>2</v>
      </c>
    </row>
    <row r="4" spans="2:12" ht="12.75" thickBot="1" x14ac:dyDescent="0.25">
      <c r="B4" s="44"/>
      <c r="C4" s="1" t="s">
        <v>1</v>
      </c>
      <c r="E4" s="2">
        <v>2</v>
      </c>
      <c r="F4" s="5" t="s">
        <v>3</v>
      </c>
    </row>
    <row r="5" spans="2:12" ht="12.75" thickBot="1" x14ac:dyDescent="0.25">
      <c r="B5" s="39"/>
      <c r="E5" s="2">
        <v>3</v>
      </c>
      <c r="F5" s="5" t="s">
        <v>4</v>
      </c>
    </row>
    <row r="6" spans="2:12" ht="12.75" thickBot="1" x14ac:dyDescent="0.25">
      <c r="B6" s="45"/>
      <c r="C6" s="1" t="s">
        <v>12</v>
      </c>
      <c r="E6" s="2">
        <v>4</v>
      </c>
      <c r="F6" s="5" t="s">
        <v>5</v>
      </c>
    </row>
    <row r="7" spans="2:12" x14ac:dyDescent="0.2">
      <c r="E7" s="2">
        <v>5</v>
      </c>
      <c r="F7" s="5" t="s">
        <v>6</v>
      </c>
    </row>
    <row r="8" spans="2:12" x14ac:dyDescent="0.2">
      <c r="E8" s="2">
        <v>6</v>
      </c>
      <c r="F8" s="5" t="s">
        <v>7</v>
      </c>
    </row>
    <row r="9" spans="2:12" x14ac:dyDescent="0.2">
      <c r="E9" s="3">
        <v>7</v>
      </c>
      <c r="F9" s="6" t="s">
        <v>8</v>
      </c>
    </row>
    <row r="10" spans="2:12" x14ac:dyDescent="0.2">
      <c r="D10" s="4"/>
      <c r="G10" s="4"/>
      <c r="H10" s="4"/>
      <c r="I10" s="4"/>
      <c r="J10" s="4"/>
      <c r="K10" s="4"/>
      <c r="L10" s="4"/>
    </row>
    <row r="11" spans="2:12" x14ac:dyDescent="0.2">
      <c r="D11" s="4"/>
      <c r="G11" s="4"/>
      <c r="H11" s="4"/>
      <c r="I11" s="4"/>
      <c r="J11" s="4"/>
      <c r="K11" s="4"/>
      <c r="L11" s="4"/>
    </row>
    <row r="12" spans="2:12" x14ac:dyDescent="0.2">
      <c r="D12" s="4"/>
      <c r="E12" s="4"/>
      <c r="F12" s="4"/>
      <c r="G12" s="4"/>
      <c r="H12" s="4"/>
      <c r="I12" s="4"/>
      <c r="J12" s="4"/>
      <c r="K12" s="4"/>
      <c r="L12" s="4"/>
    </row>
    <row r="13" spans="2:12" x14ac:dyDescent="0.2">
      <c r="D13" s="4"/>
      <c r="E13" s="4"/>
      <c r="F13" s="4"/>
      <c r="G13" s="4"/>
      <c r="H13" s="4"/>
      <c r="I13" s="4"/>
      <c r="J13" s="4"/>
      <c r="K13" s="4"/>
      <c r="L13" s="4"/>
    </row>
    <row r="14" spans="2:12" x14ac:dyDescent="0.2">
      <c r="D14" s="4"/>
      <c r="E14" s="4"/>
      <c r="F14" s="4"/>
      <c r="G14" s="4"/>
      <c r="H14" s="4"/>
      <c r="I14" s="4"/>
      <c r="J14" s="4"/>
      <c r="K14" s="4"/>
      <c r="L14" s="4"/>
    </row>
    <row r="15" spans="2:12" x14ac:dyDescent="0.2">
      <c r="D15" s="4"/>
      <c r="E15" s="4"/>
      <c r="F15" s="4"/>
      <c r="G15" s="4"/>
      <c r="H15" s="4"/>
      <c r="I15" s="4"/>
      <c r="J15" s="4"/>
      <c r="K15" s="4"/>
      <c r="L15" s="4"/>
    </row>
    <row r="16" spans="2:12" x14ac:dyDescent="0.2">
      <c r="D16" s="4"/>
      <c r="E16" s="4"/>
      <c r="F16" s="4"/>
      <c r="G16" s="4"/>
      <c r="H16" s="4"/>
      <c r="I16" s="4"/>
      <c r="J16" s="4"/>
      <c r="K16" s="4"/>
      <c r="L16" s="4"/>
    </row>
    <row r="17" spans="4:12" x14ac:dyDescent="0.2">
      <c r="D17" s="4"/>
      <c r="E17" s="4"/>
      <c r="F17" s="4"/>
      <c r="G17" s="7"/>
      <c r="H17" s="7"/>
      <c r="I17" s="4"/>
      <c r="J17" s="4"/>
      <c r="K17" s="4"/>
      <c r="L17" s="4"/>
    </row>
    <row r="18" spans="4:12" x14ac:dyDescent="0.2">
      <c r="D18" s="4"/>
      <c r="E18" s="4"/>
      <c r="F18" s="4"/>
      <c r="G18" s="8"/>
      <c r="H18" s="7"/>
      <c r="I18" s="4"/>
      <c r="J18" s="4"/>
      <c r="K18" s="4"/>
      <c r="L18" s="4"/>
    </row>
    <row r="19" spans="4:12" x14ac:dyDescent="0.2">
      <c r="D19" s="4"/>
      <c r="E19" s="4"/>
      <c r="F19" s="4"/>
      <c r="G19" s="8"/>
      <c r="H19" s="7"/>
      <c r="I19" s="4"/>
      <c r="J19" s="4"/>
      <c r="K19" s="4"/>
      <c r="L19" s="4"/>
    </row>
    <row r="20" spans="4:12" x14ac:dyDescent="0.2">
      <c r="D20" s="4"/>
      <c r="E20" s="4"/>
      <c r="F20" s="4"/>
      <c r="G20" s="8"/>
      <c r="H20" s="7"/>
      <c r="I20" s="4"/>
      <c r="J20" s="4"/>
      <c r="K20" s="4"/>
      <c r="L20" s="4"/>
    </row>
    <row r="21" spans="4:12" x14ac:dyDescent="0.2">
      <c r="D21" s="4"/>
      <c r="E21" s="4"/>
      <c r="F21" s="4"/>
      <c r="G21" s="8"/>
      <c r="H21" s="7"/>
      <c r="I21" s="4"/>
      <c r="J21" s="4"/>
      <c r="K21" s="4"/>
      <c r="L21" s="4"/>
    </row>
    <row r="22" spans="4:12" x14ac:dyDescent="0.2">
      <c r="D22" s="4"/>
      <c r="E22" s="4"/>
      <c r="F22" s="4"/>
      <c r="G22" s="8"/>
      <c r="H22" s="7"/>
      <c r="I22" s="4"/>
      <c r="J22" s="4"/>
      <c r="K22" s="4"/>
      <c r="L22" s="4"/>
    </row>
    <row r="23" spans="4:12" x14ac:dyDescent="0.2">
      <c r="D23" s="4"/>
      <c r="E23" s="4"/>
      <c r="F23" s="4"/>
      <c r="G23" s="8"/>
      <c r="H23" s="7"/>
      <c r="I23" s="4"/>
      <c r="J23" s="4"/>
      <c r="K23" s="4"/>
      <c r="L23" s="4"/>
    </row>
    <row r="24" spans="4:12" x14ac:dyDescent="0.2">
      <c r="D24" s="4"/>
      <c r="E24" s="4"/>
      <c r="F24" s="4"/>
      <c r="G24" s="8"/>
      <c r="H24" s="7"/>
      <c r="I24" s="4"/>
      <c r="J24" s="4"/>
      <c r="K24" s="4"/>
      <c r="L24" s="4"/>
    </row>
    <row r="25" spans="4:12" x14ac:dyDescent="0.2">
      <c r="D25" s="4"/>
      <c r="E25" s="4"/>
      <c r="F25" s="4"/>
      <c r="G25" s="4"/>
      <c r="H25" s="4"/>
      <c r="I25" s="4"/>
      <c r="J25" s="4"/>
      <c r="K25" s="4"/>
      <c r="L25" s="4"/>
    </row>
    <row r="26" spans="4:12" x14ac:dyDescent="0.2">
      <c r="D26" s="4"/>
      <c r="E26" s="4"/>
      <c r="F26" s="4"/>
      <c r="G26" s="4"/>
      <c r="H26" s="4"/>
      <c r="I26" s="4"/>
      <c r="J26" s="4"/>
      <c r="K26" s="4"/>
      <c r="L26" s="4"/>
    </row>
    <row r="27" spans="4:12" x14ac:dyDescent="0.2">
      <c r="D27" s="4"/>
      <c r="E27" s="4"/>
      <c r="F27" s="4"/>
      <c r="G27" s="4"/>
      <c r="H27" s="4"/>
      <c r="I27" s="4"/>
      <c r="J27" s="4"/>
      <c r="K27" s="4"/>
      <c r="L27" s="4"/>
    </row>
    <row r="28" spans="4:12" x14ac:dyDescent="0.2">
      <c r="D28" s="4"/>
      <c r="E28" s="4"/>
      <c r="F28" s="4"/>
      <c r="G28" s="4"/>
      <c r="H28" s="4"/>
      <c r="I28" s="4"/>
      <c r="J28" s="4"/>
      <c r="K28" s="4"/>
      <c r="L28" s="4"/>
    </row>
    <row r="29" spans="4:12" x14ac:dyDescent="0.2">
      <c r="D29" s="4"/>
      <c r="E29" s="4"/>
      <c r="F29" s="4"/>
      <c r="G29" s="4"/>
      <c r="H29" s="4"/>
      <c r="I29" s="4"/>
      <c r="J29" s="4"/>
      <c r="K29" s="4"/>
      <c r="L29" s="4"/>
    </row>
    <row r="30" spans="4:12" x14ac:dyDescent="0.2">
      <c r="D30" s="4"/>
      <c r="E30" s="4"/>
      <c r="F30" s="4"/>
      <c r="G30" s="4"/>
      <c r="H30" s="4"/>
      <c r="I30" s="4"/>
      <c r="J30" s="4"/>
      <c r="K30" s="4"/>
      <c r="L30" s="4"/>
    </row>
    <row r="31" spans="4:12" x14ac:dyDescent="0.2">
      <c r="D31" s="4"/>
      <c r="E31" s="4"/>
      <c r="F31" s="4"/>
      <c r="G31" s="4"/>
      <c r="H31" s="4"/>
      <c r="I31" s="4"/>
      <c r="J31" s="4"/>
      <c r="K31" s="4"/>
      <c r="L31" s="4"/>
    </row>
    <row r="32" spans="4:12" x14ac:dyDescent="0.2">
      <c r="D32" s="4"/>
      <c r="E32" s="4"/>
      <c r="F32" s="4"/>
      <c r="G32" s="4"/>
      <c r="H32" s="4"/>
      <c r="I32" s="4"/>
      <c r="J32" s="4"/>
      <c r="K32" s="4"/>
      <c r="L32" s="4"/>
    </row>
  </sheetData>
  <mergeCells count="1">
    <mergeCell ref="E2:F2"/>
  </mergeCells>
  <pageMargins left="0.7" right="0.7" top="0.75" bottom="0.75" header="0.3" footer="0.3"/>
  <pageSetup paperSize="9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"/>
  <sheetViews>
    <sheetView zoomScaleNormal="100" workbookViewId="0">
      <selection activeCell="B11" sqref="B11"/>
    </sheetView>
  </sheetViews>
  <sheetFormatPr defaultRowHeight="12" x14ac:dyDescent="0.2"/>
  <cols>
    <col min="1" max="1" width="5.7109375" style="1" customWidth="1"/>
    <col min="2" max="4" width="9.28515625" style="1" customWidth="1"/>
    <col min="5" max="5" width="2.28515625" style="1" customWidth="1"/>
    <col min="6" max="6" width="26.7109375" style="1" bestFit="1" customWidth="1"/>
    <col min="7" max="14" width="9.140625" style="1"/>
    <col min="15" max="18" width="9.140625" style="21"/>
    <col min="19" max="16384" width="9.140625" style="1"/>
  </cols>
  <sheetData>
    <row r="1" spans="2:17" ht="12" customHeight="1" x14ac:dyDescent="0.2"/>
    <row r="2" spans="2:17" ht="18.75" x14ac:dyDescent="0.3">
      <c r="B2" s="154" t="s">
        <v>53</v>
      </c>
      <c r="C2" s="154"/>
      <c r="D2" s="154"/>
      <c r="E2" s="154"/>
      <c r="F2" s="154"/>
      <c r="G2" s="156" t="s">
        <v>52</v>
      </c>
      <c r="H2" s="149"/>
      <c r="I2" s="149"/>
      <c r="J2" s="149"/>
      <c r="K2" s="149"/>
      <c r="L2" s="149"/>
      <c r="M2" s="149"/>
      <c r="P2" s="33"/>
      <c r="Q2" s="33"/>
    </row>
    <row r="3" spans="2:17" ht="12" customHeight="1" x14ac:dyDescent="0.25">
      <c r="G3" s="149"/>
      <c r="H3" s="149"/>
      <c r="I3" s="149"/>
      <c r="J3" s="149"/>
      <c r="K3" s="149"/>
      <c r="L3" s="149"/>
      <c r="M3" s="149"/>
      <c r="P3" s="33"/>
      <c r="Q3" s="33"/>
    </row>
    <row r="4" spans="2:17" ht="12" customHeight="1" x14ac:dyDescent="0.25">
      <c r="G4" s="149"/>
      <c r="H4" s="149"/>
      <c r="I4" s="149"/>
      <c r="J4" s="149"/>
      <c r="K4" s="149"/>
      <c r="L4" s="149"/>
      <c r="M4" s="149"/>
      <c r="P4" s="33"/>
      <c r="Q4" s="33"/>
    </row>
    <row r="5" spans="2:17" ht="12" customHeight="1" thickBot="1" x14ac:dyDescent="0.3">
      <c r="G5" s="149"/>
      <c r="H5" s="149"/>
      <c r="I5" s="149"/>
      <c r="J5" s="149"/>
      <c r="K5" s="149"/>
      <c r="L5" s="149"/>
      <c r="M5" s="149"/>
      <c r="P5" s="33"/>
      <c r="Q5" s="33"/>
    </row>
    <row r="6" spans="2:17" ht="12" customHeight="1" x14ac:dyDescent="0.25">
      <c r="B6" s="46">
        <f>Demografisch!B2</f>
        <v>0</v>
      </c>
      <c r="C6" s="155" t="s">
        <v>10</v>
      </c>
      <c r="D6" s="153"/>
      <c r="G6" s="149"/>
      <c r="H6" s="149"/>
      <c r="I6" s="149"/>
      <c r="J6" s="149"/>
      <c r="K6" s="149"/>
      <c r="L6" s="149"/>
      <c r="M6" s="149"/>
      <c r="P6" s="33"/>
      <c r="Q6" s="33"/>
    </row>
    <row r="7" spans="2:17" ht="12" customHeight="1" x14ac:dyDescent="0.25">
      <c r="B7" s="47">
        <f>Demografisch!B3</f>
        <v>0</v>
      </c>
      <c r="C7" s="155" t="s">
        <v>0</v>
      </c>
      <c r="D7" s="153"/>
      <c r="G7" s="149"/>
      <c r="H7" s="149"/>
      <c r="I7" s="149"/>
      <c r="J7" s="149"/>
      <c r="K7" s="149"/>
      <c r="L7" s="149"/>
      <c r="M7" s="149"/>
      <c r="P7" s="33"/>
      <c r="Q7" s="33"/>
    </row>
    <row r="8" spans="2:17" ht="12" customHeight="1" x14ac:dyDescent="0.25">
      <c r="B8" s="47">
        <f>Demografisch!B4</f>
        <v>0</v>
      </c>
      <c r="C8" s="155" t="s">
        <v>1</v>
      </c>
      <c r="D8" s="153"/>
      <c r="G8" s="149"/>
      <c r="H8" s="149"/>
      <c r="I8" s="149"/>
      <c r="J8" s="149"/>
      <c r="K8" s="149"/>
      <c r="L8" s="149"/>
      <c r="M8" s="149"/>
      <c r="P8" s="33"/>
      <c r="Q8" s="33"/>
    </row>
    <row r="9" spans="2:17" ht="12" customHeight="1" x14ac:dyDescent="0.25">
      <c r="B9" s="43"/>
      <c r="C9" s="152" t="s">
        <v>54</v>
      </c>
      <c r="D9" s="153"/>
      <c r="G9" s="149"/>
      <c r="H9" s="149"/>
      <c r="I9" s="149"/>
      <c r="J9" s="149"/>
      <c r="K9" s="149"/>
      <c r="L9" s="149"/>
      <c r="M9" s="149"/>
      <c r="P9" s="52"/>
      <c r="Q9" s="33"/>
    </row>
    <row r="10" spans="2:17" ht="12" customHeight="1" thickBot="1" x14ac:dyDescent="0.3">
      <c r="B10" s="44"/>
      <c r="C10" s="152" t="s">
        <v>55</v>
      </c>
      <c r="D10" s="153"/>
      <c r="E10" s="9"/>
      <c r="G10" s="149"/>
      <c r="H10" s="149"/>
      <c r="I10" s="149"/>
      <c r="J10" s="149"/>
      <c r="K10" s="149"/>
      <c r="L10" s="149"/>
      <c r="M10" s="149"/>
      <c r="P10" s="33"/>
      <c r="Q10" s="33"/>
    </row>
    <row r="11" spans="2:17" ht="12" customHeight="1" x14ac:dyDescent="0.25">
      <c r="B11" s="18"/>
      <c r="C11" s="155"/>
      <c r="D11" s="153"/>
      <c r="E11" s="9"/>
      <c r="G11" s="149"/>
      <c r="H11" s="149"/>
      <c r="I11" s="149"/>
      <c r="J11" s="149"/>
      <c r="K11" s="149"/>
      <c r="L11" s="149"/>
      <c r="M11" s="149"/>
      <c r="P11" s="33"/>
      <c r="Q11" s="33"/>
    </row>
    <row r="12" spans="2:17" ht="12" customHeight="1" x14ac:dyDescent="0.25">
      <c r="B12" s="18"/>
      <c r="C12" s="155"/>
      <c r="D12" s="153"/>
      <c r="E12" s="9"/>
      <c r="P12" s="33"/>
      <c r="Q12" s="33"/>
    </row>
    <row r="13" spans="2:17" ht="12" customHeight="1" x14ac:dyDescent="0.25">
      <c r="B13" s="39" t="s">
        <v>21</v>
      </c>
      <c r="C13" s="73" t="s">
        <v>22</v>
      </c>
      <c r="D13" s="39" t="s">
        <v>23</v>
      </c>
      <c r="G13" s="153" t="s">
        <v>24</v>
      </c>
      <c r="H13" s="153"/>
      <c r="I13" s="153"/>
      <c r="P13" s="33"/>
      <c r="Q13" s="33"/>
    </row>
    <row r="14" spans="2:17" ht="12" customHeight="1" x14ac:dyDescent="0.25">
      <c r="B14" s="48" t="e">
        <f>ROUND(50 + 10 * ((1.516 +0.003*B7 + 0.00011*(POWER((B7-60),2)) - 0.082*B8 + 0.0008*B7*B8) - (LOG10(B9))) / 0.12734,0)</f>
        <v>#NUM!</v>
      </c>
      <c r="C14" s="49" t="e">
        <f>ROUND(100 * NORMDIST(B14,50,10,TRUE),0)</f>
        <v>#NUM!</v>
      </c>
      <c r="D14" s="48">
        <f>ROUND((POWER(10,(1.516 +0.003*B7 + 0.00011*(POWER((B7-60),2)) - 0.082*B8 + 0.0008*B7*B8))),0)</f>
        <v>82</v>
      </c>
      <c r="E14" s="11"/>
      <c r="F14" s="11" t="s">
        <v>56</v>
      </c>
      <c r="G14" s="151" t="s">
        <v>45</v>
      </c>
      <c r="H14" s="151"/>
      <c r="I14" s="151"/>
      <c r="J14" s="151"/>
      <c r="P14" s="33"/>
      <c r="Q14" s="33"/>
    </row>
    <row r="15" spans="2:17" ht="12" customHeight="1" x14ac:dyDescent="0.25">
      <c r="B15" s="48" t="e">
        <f>ROUND(50 + 10*((1.686 +0.00788*B7 + 0.00011*(POWER((B7-60),2)) - 0.046*B8 - 0.031*B6) - (LOG10(B10))) / 0.14567,0)</f>
        <v>#NUM!</v>
      </c>
      <c r="C15" s="49" t="e">
        <f>ROUND(100 * (NORMDIST(B15,50,10,TRUE)),0)</f>
        <v>#NUM!</v>
      </c>
      <c r="D15" s="48">
        <f>ROUND((POWER(10,(1.686 +0.00788*B7 + 0.00011*(POWER((B7-60),2)) - 0.046*B8 - 0.031*B6))),0)</f>
        <v>121</v>
      </c>
      <c r="E15" s="11"/>
      <c r="F15" s="11" t="s">
        <v>57</v>
      </c>
      <c r="G15" s="151" t="s">
        <v>69</v>
      </c>
      <c r="H15" s="151"/>
      <c r="I15" s="151"/>
      <c r="J15" s="151"/>
      <c r="P15" s="33"/>
      <c r="Q15" s="33"/>
    </row>
    <row r="16" spans="2:17" ht="12" customHeight="1" x14ac:dyDescent="0.25">
      <c r="B16" s="48" t="e">
        <f>ROUND(50 + 10*((0.983 + 0.555*(LOG10(B9))+0.0041*B7+ 0.00006*(POWER((B7-60),2)) - 0.03*B8 - 0.028*B6) - (LOG10(B10))) / 0.12729,0)</f>
        <v>#NUM!</v>
      </c>
      <c r="C16" s="49" t="e">
        <f>ROUND(100 * (NORMDIST(B16,50,10,TRUE)),0)</f>
        <v>#NUM!</v>
      </c>
      <c r="D16" s="48" t="e">
        <f>ROUND((POWER(10,(0.983 + 0.555*(LOG10(B9))+0.0041*B7+ 0.00006*(POWER((B7-60),2)) - 0.03*B8 - 0.028*B6))),0)</f>
        <v>#NUM!</v>
      </c>
      <c r="E16" s="11"/>
      <c r="F16" s="40" t="s">
        <v>57</v>
      </c>
      <c r="G16" s="151" t="s">
        <v>70</v>
      </c>
      <c r="H16" s="151"/>
      <c r="I16" s="151"/>
      <c r="J16" s="151"/>
      <c r="P16" s="33"/>
      <c r="Q16" s="33"/>
    </row>
    <row r="17" spans="2:18" ht="12" customHeight="1" x14ac:dyDescent="0.25">
      <c r="P17" s="33"/>
      <c r="Q17" s="33"/>
    </row>
    <row r="18" spans="2:18" ht="12" customHeight="1" x14ac:dyDescent="0.25">
      <c r="P18" s="33"/>
      <c r="Q18" s="33"/>
    </row>
    <row r="19" spans="2:18" ht="12" customHeight="1" x14ac:dyDescent="0.25">
      <c r="P19" s="33"/>
      <c r="Q19" s="33"/>
    </row>
    <row r="20" spans="2:18" ht="12" customHeight="1" x14ac:dyDescent="0.25">
      <c r="B20" s="55" t="s">
        <v>58</v>
      </c>
      <c r="C20" s="55" t="e">
        <f>ROUND(B10/B9,1)</f>
        <v>#DIV/0!</v>
      </c>
      <c r="D20" s="55"/>
      <c r="E20" s="55"/>
      <c r="F20" s="56" t="s">
        <v>59</v>
      </c>
      <c r="G20" s="153" t="s">
        <v>60</v>
      </c>
      <c r="H20" s="153"/>
      <c r="I20" s="153"/>
      <c r="J20" s="153"/>
      <c r="P20" s="33"/>
      <c r="Q20" s="33"/>
    </row>
    <row r="21" spans="2:18" ht="12" customHeight="1" x14ac:dyDescent="0.25">
      <c r="B21" s="55"/>
      <c r="C21" s="55"/>
      <c r="D21" s="55"/>
      <c r="E21" s="55"/>
      <c r="F21" s="55"/>
      <c r="P21" s="33"/>
      <c r="Q21" s="1"/>
      <c r="R21" s="1"/>
    </row>
    <row r="22" spans="2:18" ht="12" customHeight="1" x14ac:dyDescent="0.25">
      <c r="B22" s="26"/>
      <c r="C22" s="26"/>
      <c r="D22" s="26"/>
      <c r="E22" s="26"/>
      <c r="F22" s="26"/>
      <c r="G22" s="26"/>
      <c r="P22" s="33"/>
      <c r="Q22"/>
      <c r="R22" s="1"/>
    </row>
    <row r="23" spans="2:18" ht="12" customHeight="1" x14ac:dyDescent="0.25">
      <c r="B23" s="22"/>
      <c r="C23" s="22"/>
      <c r="D23" s="22"/>
      <c r="E23" s="22"/>
      <c r="F23" s="22"/>
      <c r="G23" s="22"/>
      <c r="P23" s="33"/>
      <c r="Q23"/>
      <c r="R23" s="1"/>
    </row>
    <row r="24" spans="2:18" ht="12" customHeight="1" x14ac:dyDescent="0.25">
      <c r="B24" s="53"/>
      <c r="C24" s="53"/>
      <c r="D24" s="22"/>
      <c r="E24" s="22"/>
      <c r="F24" s="22"/>
      <c r="G24" s="22"/>
      <c r="P24" s="33"/>
      <c r="Q24"/>
      <c r="R24" s="1"/>
    </row>
    <row r="25" spans="2:18" ht="12" customHeight="1" x14ac:dyDescent="0.25">
      <c r="B25" s="53"/>
      <c r="C25" s="53"/>
      <c r="D25" s="22"/>
      <c r="E25" s="22"/>
      <c r="F25" s="22"/>
      <c r="G25" s="22"/>
      <c r="P25" s="33"/>
      <c r="Q25"/>
      <c r="R25" s="1"/>
    </row>
    <row r="26" spans="2:18" ht="12" customHeight="1" x14ac:dyDescent="0.25">
      <c r="B26" s="53"/>
      <c r="C26" s="53"/>
      <c r="D26" s="26"/>
      <c r="E26" s="22"/>
      <c r="F26" s="22"/>
      <c r="G26" s="22"/>
      <c r="P26" s="33"/>
      <c r="Q26"/>
      <c r="R26" s="1"/>
    </row>
    <row r="27" spans="2:18" ht="12" customHeight="1" x14ac:dyDescent="0.25">
      <c r="B27" s="23"/>
      <c r="C27" s="24"/>
      <c r="D27" s="22"/>
      <c r="E27" s="22"/>
      <c r="F27" s="22"/>
      <c r="G27" s="22"/>
      <c r="P27" s="33"/>
      <c r="Q27"/>
      <c r="R27" s="1"/>
    </row>
    <row r="28" spans="2:18" ht="12" customHeight="1" x14ac:dyDescent="0.25">
      <c r="P28" s="33"/>
      <c r="Q28" s="1"/>
      <c r="R28" s="1"/>
    </row>
    <row r="29" spans="2:18" ht="12" customHeight="1" x14ac:dyDescent="0.25">
      <c r="P29" s="33"/>
      <c r="Q29" s="1"/>
      <c r="R29" s="1"/>
    </row>
    <row r="30" spans="2:18" ht="12" customHeight="1" x14ac:dyDescent="0.25">
      <c r="B30" s="146" t="s">
        <v>40</v>
      </c>
      <c r="C30" s="147"/>
      <c r="E30" s="144" t="s">
        <v>9</v>
      </c>
      <c r="F30" s="145"/>
      <c r="P30" s="33"/>
      <c r="Q30" s="1"/>
      <c r="R30" s="1"/>
    </row>
    <row r="31" spans="2:18" ht="12" customHeight="1" x14ac:dyDescent="0.25">
      <c r="B31" s="12" t="s">
        <v>21</v>
      </c>
      <c r="C31" s="13" t="s">
        <v>32</v>
      </c>
      <c r="E31" s="2">
        <v>1</v>
      </c>
      <c r="F31" s="5" t="s">
        <v>2</v>
      </c>
      <c r="P31" s="33"/>
      <c r="Q31" s="1"/>
      <c r="R31" s="1"/>
    </row>
    <row r="32" spans="2:18" ht="12" customHeight="1" x14ac:dyDescent="0.25">
      <c r="B32" s="14">
        <v>70</v>
      </c>
      <c r="C32" s="15" t="s">
        <v>33</v>
      </c>
      <c r="E32" s="2">
        <v>2</v>
      </c>
      <c r="F32" s="5" t="s">
        <v>3</v>
      </c>
      <c r="P32" s="33"/>
      <c r="Q32" s="1"/>
      <c r="R32" s="1"/>
    </row>
    <row r="33" spans="2:21" ht="12" customHeight="1" x14ac:dyDescent="0.25">
      <c r="B33" s="14">
        <v>60</v>
      </c>
      <c r="C33" s="15" t="s">
        <v>34</v>
      </c>
      <c r="E33" s="2">
        <v>3</v>
      </c>
      <c r="F33" s="5" t="s">
        <v>4</v>
      </c>
      <c r="P33" s="33"/>
      <c r="Q33" s="1"/>
      <c r="R33" s="1"/>
    </row>
    <row r="34" spans="2:21" ht="12" customHeight="1" x14ac:dyDescent="0.25">
      <c r="B34" s="14">
        <v>50</v>
      </c>
      <c r="C34" s="15" t="s">
        <v>35</v>
      </c>
      <c r="E34" s="2">
        <v>4</v>
      </c>
      <c r="F34" s="5" t="s">
        <v>5</v>
      </c>
      <c r="P34" s="33"/>
      <c r="Q34" s="33"/>
    </row>
    <row r="35" spans="2:21" ht="12" customHeight="1" x14ac:dyDescent="0.25">
      <c r="B35" s="14">
        <v>40</v>
      </c>
      <c r="C35" s="15" t="s">
        <v>36</v>
      </c>
      <c r="E35" s="2">
        <v>5</v>
      </c>
      <c r="F35" s="5" t="s">
        <v>6</v>
      </c>
      <c r="P35" s="33"/>
      <c r="Q35" s="33"/>
    </row>
    <row r="36" spans="2:21" ht="12" customHeight="1" x14ac:dyDescent="0.25">
      <c r="B36" s="14">
        <v>33</v>
      </c>
      <c r="C36" s="15" t="s">
        <v>37</v>
      </c>
      <c r="E36" s="2">
        <v>6</v>
      </c>
      <c r="F36" s="5" t="s">
        <v>7</v>
      </c>
      <c r="P36" s="33"/>
      <c r="Q36" s="33"/>
    </row>
    <row r="37" spans="2:21" ht="12" customHeight="1" x14ac:dyDescent="0.25">
      <c r="B37" s="14">
        <v>30</v>
      </c>
      <c r="C37" s="15" t="s">
        <v>38</v>
      </c>
      <c r="E37" s="3">
        <v>7</v>
      </c>
      <c r="F37" s="6" t="s">
        <v>8</v>
      </c>
      <c r="T37"/>
      <c r="U37"/>
    </row>
    <row r="38" spans="2:21" ht="12" customHeight="1" x14ac:dyDescent="0.25">
      <c r="B38" s="16">
        <v>27</v>
      </c>
      <c r="C38" s="17" t="s">
        <v>39</v>
      </c>
      <c r="T38"/>
      <c r="U38"/>
    </row>
    <row r="39" spans="2:21" ht="12" customHeight="1" x14ac:dyDescent="0.25">
      <c r="T39"/>
      <c r="U39"/>
    </row>
    <row r="40" spans="2:21" ht="12" customHeight="1" x14ac:dyDescent="0.25">
      <c r="T40"/>
      <c r="U40"/>
    </row>
    <row r="41" spans="2:21" ht="12" customHeight="1" x14ac:dyDescent="0.25">
      <c r="T41"/>
      <c r="U41"/>
    </row>
    <row r="42" spans="2:21" ht="12" customHeight="1" x14ac:dyDescent="0.2"/>
    <row r="43" spans="2:21" ht="12" customHeight="1" x14ac:dyDescent="0.2"/>
    <row r="44" spans="2:21" ht="12" customHeight="1" x14ac:dyDescent="0.2"/>
    <row r="45" spans="2:21" ht="12" customHeight="1" x14ac:dyDescent="0.2"/>
    <row r="46" spans="2:21" ht="12" customHeight="1" x14ac:dyDescent="0.2"/>
    <row r="47" spans="2:21" ht="12" customHeight="1" x14ac:dyDescent="0.2"/>
  </sheetData>
  <mergeCells count="16">
    <mergeCell ref="B2:F2"/>
    <mergeCell ref="G2:M11"/>
    <mergeCell ref="C6:D6"/>
    <mergeCell ref="C7:D7"/>
    <mergeCell ref="C8:D8"/>
    <mergeCell ref="C9:D9"/>
    <mergeCell ref="C10:D10"/>
    <mergeCell ref="C11:D11"/>
    <mergeCell ref="G14:J14"/>
    <mergeCell ref="G20:J20"/>
    <mergeCell ref="C12:D12"/>
    <mergeCell ref="B30:C30"/>
    <mergeCell ref="E30:F30"/>
    <mergeCell ref="G13:I13"/>
    <mergeCell ref="G16:J16"/>
    <mergeCell ref="G15:J15"/>
  </mergeCells>
  <pageMargins left="0.7" right="0.7" top="0.75" bottom="0.75" header="0.3" footer="0.3"/>
  <pageSetup paperSize="9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B11" sqref="B11"/>
    </sheetView>
  </sheetViews>
  <sheetFormatPr defaultRowHeight="15" x14ac:dyDescent="0.25"/>
  <cols>
    <col min="1" max="1" width="5.7109375" style="1" customWidth="1"/>
    <col min="2" max="4" width="9.28515625" style="1" customWidth="1"/>
    <col min="5" max="5" width="2.28515625" style="1" customWidth="1"/>
    <col min="6" max="6" width="26.7109375" style="1" bestFit="1" customWidth="1"/>
    <col min="7" max="13" width="9.140625" style="1"/>
  </cols>
  <sheetData>
    <row r="1" spans="2:13" ht="12" customHeight="1" x14ac:dyDescent="0.25"/>
    <row r="2" spans="2:13" ht="18.75" x14ac:dyDescent="0.3">
      <c r="B2" s="154" t="s">
        <v>91</v>
      </c>
      <c r="C2" s="154"/>
      <c r="D2" s="154"/>
      <c r="E2" s="154"/>
      <c r="F2" s="154"/>
      <c r="G2" s="168"/>
      <c r="H2" s="149"/>
      <c r="I2" s="149"/>
      <c r="J2" s="149"/>
      <c r="K2" s="149"/>
      <c r="L2" s="149"/>
      <c r="M2" s="149"/>
    </row>
    <row r="3" spans="2:13" ht="12" customHeight="1" x14ac:dyDescent="0.25">
      <c r="G3" s="149"/>
      <c r="H3" s="149"/>
      <c r="I3" s="149"/>
      <c r="J3" s="149"/>
      <c r="K3" s="149"/>
      <c r="L3" s="149"/>
      <c r="M3" s="149"/>
    </row>
    <row r="4" spans="2:13" ht="12" customHeight="1" x14ac:dyDescent="0.25">
      <c r="G4" s="149"/>
      <c r="H4" s="149"/>
      <c r="I4" s="149"/>
      <c r="J4" s="149"/>
      <c r="K4" s="149"/>
      <c r="L4" s="149"/>
      <c r="M4" s="149"/>
    </row>
    <row r="5" spans="2:13" ht="12" customHeight="1" x14ac:dyDescent="0.25">
      <c r="G5" s="149"/>
      <c r="H5" s="149"/>
      <c r="I5" s="149"/>
      <c r="J5" s="149"/>
      <c r="K5" s="149"/>
      <c r="L5" s="149"/>
      <c r="M5" s="149"/>
    </row>
    <row r="6" spans="2:13" ht="12" customHeight="1" thickBot="1" x14ac:dyDescent="0.3">
      <c r="B6" s="63"/>
      <c r="C6" s="19"/>
      <c r="D6" s="20"/>
      <c r="G6" s="149"/>
      <c r="H6" s="149"/>
      <c r="I6" s="149"/>
      <c r="J6" s="149"/>
      <c r="K6" s="149"/>
      <c r="L6" s="149"/>
      <c r="M6" s="149"/>
    </row>
    <row r="7" spans="2:13" ht="12" customHeight="1" x14ac:dyDescent="0.25">
      <c r="B7" s="46">
        <f>Demografisch!B3</f>
        <v>0</v>
      </c>
      <c r="C7" s="155" t="s">
        <v>0</v>
      </c>
      <c r="D7" s="153"/>
      <c r="G7" s="149"/>
      <c r="H7" s="149"/>
      <c r="I7" s="149"/>
      <c r="J7" s="149"/>
      <c r="K7" s="149"/>
      <c r="L7" s="149"/>
      <c r="M7" s="149"/>
    </row>
    <row r="8" spans="2:13" ht="12" customHeight="1" x14ac:dyDescent="0.25">
      <c r="B8" s="43"/>
      <c r="C8" s="155" t="s">
        <v>85</v>
      </c>
      <c r="D8" s="153"/>
      <c r="G8" s="149"/>
      <c r="H8" s="149"/>
      <c r="I8" s="149"/>
      <c r="J8" s="149"/>
      <c r="K8" s="149"/>
      <c r="L8" s="149"/>
      <c r="M8" s="149"/>
    </row>
    <row r="9" spans="2:13" ht="12" customHeight="1" x14ac:dyDescent="0.25">
      <c r="B9" s="43"/>
      <c r="C9" s="155" t="s">
        <v>86</v>
      </c>
      <c r="D9" s="153"/>
      <c r="G9" s="149"/>
      <c r="H9" s="149"/>
      <c r="I9" s="149"/>
      <c r="J9" s="149"/>
      <c r="K9" s="149"/>
      <c r="L9" s="149"/>
      <c r="M9" s="149"/>
    </row>
    <row r="10" spans="2:13" ht="12" customHeight="1" thickBot="1" x14ac:dyDescent="0.3">
      <c r="B10" s="44"/>
      <c r="C10" s="155" t="s">
        <v>87</v>
      </c>
      <c r="D10" s="153"/>
      <c r="E10" s="9"/>
      <c r="G10" s="149"/>
      <c r="H10" s="149"/>
      <c r="I10" s="149"/>
      <c r="J10" s="149"/>
      <c r="K10" s="149"/>
      <c r="L10" s="149"/>
      <c r="M10" s="149"/>
    </row>
    <row r="11" spans="2:13" ht="12" customHeight="1" x14ac:dyDescent="0.25">
      <c r="B11" s="58"/>
      <c r="C11" s="19"/>
      <c r="D11" s="20"/>
      <c r="E11" s="9"/>
      <c r="G11" s="149"/>
      <c r="H11" s="149"/>
      <c r="I11" s="149"/>
      <c r="J11" s="149"/>
      <c r="K11" s="149"/>
      <c r="L11" s="149"/>
      <c r="M11" s="149"/>
    </row>
    <row r="12" spans="2:13" ht="12" customHeight="1" x14ac:dyDescent="0.25">
      <c r="B12" s="58"/>
      <c r="C12" s="19"/>
      <c r="D12" s="20"/>
      <c r="E12" s="9"/>
    </row>
    <row r="13" spans="2:13" ht="12" customHeight="1" x14ac:dyDescent="0.25">
      <c r="B13" s="167" t="s">
        <v>80</v>
      </c>
      <c r="C13" s="167"/>
      <c r="D13" s="167"/>
      <c r="E13" s="22"/>
      <c r="F13" s="22"/>
      <c r="G13" s="22"/>
    </row>
    <row r="14" spans="2:13" ht="12" customHeight="1" x14ac:dyDescent="0.25">
      <c r="B14" s="39" t="s">
        <v>83</v>
      </c>
      <c r="C14" s="169" t="s">
        <v>81</v>
      </c>
      <c r="D14" s="169"/>
      <c r="E14" s="22"/>
      <c r="F14" s="22"/>
      <c r="G14" s="153" t="s">
        <v>24</v>
      </c>
      <c r="H14" s="153"/>
      <c r="I14" s="153"/>
      <c r="J14" s="153"/>
    </row>
    <row r="15" spans="2:13" ht="12" customHeight="1" x14ac:dyDescent="0.25">
      <c r="B15" s="70"/>
      <c r="C15" s="81">
        <f>IF(AND(B7&lt;30),(SUM((B8-24.206)/7.41)),IF(AND(B7&gt;29,B7&lt;40),(SUM((B8-27.731)/7.403)),IF(AND(B7&gt;39,B7&lt;50),(SUM((B8-33.103)/9.235)),IF(AND(B7&gt;49,B7&lt;60),(SUM((B8-35.243)/10.846)),IF(AND(B7&gt;59,B7&lt;65),(SUM((B8-39.171)/13.009)),IF(AND(B7&gt;64,B7&lt;70),(SUM((B8-40.842)/13.173)),IF(AND(B7&gt;69,B7&lt;75),(SUM((B8-42.512)/13.336)),IF(AND(B7&gt;74,B7&lt;80),(SUM((B8-49.886)/17.88)),(SUM((B8-57.26)/22.439))))))))))</f>
        <v>-3.2666666666666666</v>
      </c>
      <c r="D15" s="81">
        <f>IF(AND(B7&lt;30),(SUM((B8-27.731)/7.403)),IF(AND(B7&gt;29,B7&lt;40),(SUM((B8-33.103)/9.235)),IF(AND(B7&gt;39,B7&lt;50),(SUM((B8-35.243)/10.846)),IF(AND(B7&gt;49,B7&lt;60),(SUM((B8-39.171)/13.009)),IF(AND(B7&gt;59,B7&lt;65),(SUM((B8-40.842)/13.173)),IF(AND(B7&gt;64,B7&lt;70),(SUM((B8-42.512)/13.336)),IF(AND(B7&gt;69,B7&lt;75),(SUM((B8-49.886)/17.88)),IF(AND(B7&gt;74,B7&lt;80),(SUM((B8-57.26)/22.439))," "))))))))</f>
        <v>-3.7459138187221401</v>
      </c>
      <c r="E15" s="11"/>
      <c r="F15" s="27" t="s">
        <v>56</v>
      </c>
      <c r="G15" s="151" t="s">
        <v>0</v>
      </c>
      <c r="H15" s="151"/>
      <c r="I15" s="151"/>
      <c r="J15" s="151"/>
    </row>
    <row r="16" spans="2:13" ht="12" customHeight="1" x14ac:dyDescent="0.25">
      <c r="B16" s="70"/>
      <c r="C16" s="81">
        <f>IF(AND(B7&lt;30),(SUM((B9-26.032)/8.506)),IF(AND(B7&gt;29,B7&lt;40),(SUM((B9-29.107)/10.359)),IF(AND(B7&gt;39,B7&lt;50),(SUM((B9-35.015)/9.37)),IF(AND(B7&gt;49,B7&lt;60),(SUM((B9-36.457)/12.675)),IF(AND(B7&gt;59,B7&lt;65),(SUM((B9-43.5)/12.567)),IF(AND(B7&gt;64,B7&lt;70),(SUM((B9-44.757)/14.118)),IF(AND(B7&gt;69,B7&lt;75),(SUM((B9-46.013)/15.668)),IF(AND(B7&gt;74,B7&lt;80),(SUM((B9-54.516)/23.508)),(SUM((B9-63.018)/31.348))))))))))</f>
        <v>-3.0604279332236066</v>
      </c>
      <c r="D16" s="81">
        <f>IF(AND(B7&lt;30),(SUM((B9-29.107)/10.359)),IF(AND(B7&gt;29,B7&lt;40),(SUM((B9-35.015)/9.37)),IF(AND(B7&gt;39,B7&lt;50),(SUM((B9-36.457)/12.675)),IF(AND(B7&gt;49,B7&lt;60),(SUM((B9-43.5)/12.567)),IF(AND(B7&gt;59,B7&lt;65),(SUM((B9-44.757)/14.118)),IF(AND(B7&gt;64,B7&lt;70),(SUM((B9-46.013)/15.668)),IF(AND(B7&gt;69,B7&lt;75),(SUM((B9-54.516)/23.508)),IF(AND(B7&gt;74,B7&lt;80),(SUM((B9-63.018)/31.348))," "))))))))</f>
        <v>-2.8098272033980112</v>
      </c>
      <c r="E16" s="11"/>
      <c r="F16" s="27" t="s">
        <v>57</v>
      </c>
      <c r="G16" s="151" t="s">
        <v>0</v>
      </c>
      <c r="H16" s="151"/>
      <c r="I16" s="151"/>
      <c r="J16" s="151"/>
    </row>
    <row r="17" spans="1:10" ht="12" customHeight="1" x14ac:dyDescent="0.25">
      <c r="B17" s="70"/>
      <c r="C17" s="81">
        <f>IF(AND(B7&lt;30),(SUM((B10-34.91)/9.712)),IF(AND(B7&gt;29,B7&lt;40),(SUM((B10-43.724)/18.817)),IF(AND(B7&gt;39,B7&lt;50),(SUM((B10-55.753)/20.744)),IF(AND(B7&gt;49,B7&lt;60),(SUM((B10-57.731)/21.263)),IF(AND(B7&gt;59,B7&lt;65),(SUM((B10-67.059)/22.303)),IF(AND(B7&gt;64,B7&lt;70),(SUM((B10-73.771)/37.449)),IF(AND(B7&gt;69,B7&lt;75),(SUM((B10-80.483)/52.595)),IF(AND(B7&gt;74,B7&lt;80),(SUM((B10-93.799)/51.903)),(SUM((B10-107.114)/51.211))))))))))</f>
        <v>-3.5945222405271826</v>
      </c>
      <c r="D17" s="81">
        <f>IF(AND(B7&lt;30),(SUM((B10-43.724)/18.817)),IF(AND(B7&gt;29,B7&lt;40),(SUM((B10-55.753)/20.744)),IF(AND(B7&gt;39,B7&lt;50),(SUM((B10-57.731)/21.263)),IF(AND(B7&gt;49,B7&lt;60),(SUM((B10-67.059)/22.303)),IF(AND(B7&gt;59,B7&lt;65),(SUM((B10-73.771)/37.449)),IF(AND(B7&gt;64,B7&lt;70),(SUM((B10-80.483)/52.595)),IF(AND(B7&gt;69,B7&lt;75),(SUM((B10-93.799)/51.903)),IF(AND(B7&gt;74,B7&lt;80),(SUM((B10-107.114)/51.211))," "))))))))</f>
        <v>-2.3236435138438645</v>
      </c>
      <c r="E17" s="11"/>
      <c r="F17" s="27" t="s">
        <v>89</v>
      </c>
      <c r="G17" s="151" t="s">
        <v>0</v>
      </c>
      <c r="H17" s="151"/>
      <c r="I17" s="151"/>
      <c r="J17" s="151"/>
    </row>
    <row r="18" spans="1:10" ht="12" customHeight="1" x14ac:dyDescent="0.25">
      <c r="B18" s="70" t="e">
        <f>SUM((B10-(0.5*(B8+B9)))/(0.5*(B8+B9)))*100</f>
        <v>#DIV/0!</v>
      </c>
      <c r="C18" s="81" t="e">
        <f>IF(AND(B7&lt;30),(SUM((B18-42.026)/30.926)),IF(AND(B7&gt;29,B7&lt;40),(SUM((B18-51.628)/37.532)),IF(AND(B7&gt;39,B7&lt;50),(SUM((B18-62.521)/31.538)),IF(AND(B7&gt;49,B7&lt;60),(SUM((B18-61.731)/33.783)),IF(AND(B7&gt;59,B7&lt;65),(SUM((B18-65.182)/35.661)),IF(AND(B7&gt;64,B7&lt;70),(SUM((B18-64.95)/38.275)),IF(AND(B7&gt;69,B7&lt;75),(SUM((B18-64.718)/40.889)),IF(AND(B7&gt;74,B7&lt;80),(SUM((B18-73.112)/42.054)),(SUM((B18-81.506)/43.219))))))))))</f>
        <v>#DIV/0!</v>
      </c>
      <c r="D18" s="81" t="e">
        <f>IF(AND(B7&lt;30),(SUM((B18-51.628)/37.532)),IF(AND(B7&gt;29,B7&lt;40),(SUM((B18-62.521)/31.538)),IF(AND(B7&gt;39,B7&lt;50),(SUM((B18-61.731)/33.783)),IF(AND(B7&gt;49,B7&lt;60),(SUM((B18-65.182)/35.661)),IF(AND(B7&gt;59,B7&lt;65),(SUM((B18-64.95)/38.275)),IF(AND(B7&gt;64,B7&lt;70),(SUM((B18-64.718)/40.889)),IF(AND(B7&gt;69,B7&lt;75),(SUM((B18-73.112)/42.054)),IF(AND(B7&gt;74,B7&lt;80),(SUM((B18-81.506)/43.219))," "))))))))</f>
        <v>#DIV/0!</v>
      </c>
      <c r="E18" s="11"/>
      <c r="F18" s="27" t="s">
        <v>88</v>
      </c>
      <c r="G18" s="151" t="s">
        <v>90</v>
      </c>
      <c r="H18" s="151"/>
      <c r="I18" s="151"/>
      <c r="J18" s="151"/>
    </row>
    <row r="19" spans="1:10" ht="12" customHeight="1" x14ac:dyDescent="0.25">
      <c r="B19" s="53"/>
      <c r="C19" s="54"/>
      <c r="D19" s="53"/>
      <c r="E19" s="22"/>
      <c r="F19" s="22"/>
    </row>
    <row r="20" spans="1:10" ht="12" customHeight="1" x14ac:dyDescent="0.25">
      <c r="B20" s="26"/>
      <c r="C20" s="26"/>
      <c r="D20" s="26"/>
      <c r="E20" s="22"/>
      <c r="F20" s="22"/>
    </row>
    <row r="21" spans="1:10" ht="12" customHeight="1" x14ac:dyDescent="0.25">
      <c r="B21" s="53"/>
      <c r="C21" s="54"/>
      <c r="D21" s="53"/>
      <c r="E21" s="22"/>
      <c r="F21" s="22"/>
    </row>
    <row r="22" spans="1:10" ht="12" customHeight="1" x14ac:dyDescent="0.25">
      <c r="B22" s="53"/>
      <c r="C22" s="54"/>
      <c r="D22" s="53"/>
      <c r="E22" s="22"/>
      <c r="F22" s="22"/>
    </row>
    <row r="23" spans="1:10" ht="12" customHeight="1" x14ac:dyDescent="0.25">
      <c r="B23" s="26"/>
      <c r="C23" s="26"/>
      <c r="D23" s="26"/>
      <c r="E23" s="22"/>
      <c r="F23" s="22"/>
    </row>
    <row r="24" spans="1:10" ht="12" customHeight="1" x14ac:dyDescent="0.25">
      <c r="B24" s="53"/>
      <c r="C24" s="54"/>
      <c r="D24" s="53"/>
      <c r="E24" s="22"/>
      <c r="F24" s="22"/>
    </row>
    <row r="25" spans="1:10" ht="12" customHeight="1" x14ac:dyDescent="0.25">
      <c r="B25" s="26"/>
      <c r="C25" s="26"/>
      <c r="D25" s="26"/>
      <c r="E25" s="22"/>
      <c r="F25" s="22"/>
    </row>
    <row r="26" spans="1:10" ht="12" customHeight="1" x14ac:dyDescent="0.25">
      <c r="B26" s="53"/>
      <c r="C26" s="54"/>
      <c r="D26" s="53"/>
      <c r="E26" s="22"/>
      <c r="F26" s="22"/>
    </row>
    <row r="27" spans="1:10" ht="12" customHeight="1" x14ac:dyDescent="0.25">
      <c r="B27" s="53"/>
      <c r="C27" s="54"/>
      <c r="D27" s="53"/>
      <c r="E27" s="22"/>
      <c r="F27" s="22"/>
    </row>
    <row r="28" spans="1:10" ht="12" customHeight="1" x14ac:dyDescent="0.25">
      <c r="B28" s="22"/>
      <c r="C28" s="22"/>
      <c r="D28" s="22"/>
      <c r="E28" s="22"/>
      <c r="F28" s="22"/>
    </row>
    <row r="29" spans="1:10" ht="12" customHeight="1" x14ac:dyDescent="0.25">
      <c r="A29" s="4"/>
      <c r="B29" s="4"/>
      <c r="C29" s="4"/>
      <c r="D29" s="4"/>
      <c r="E29" s="4"/>
      <c r="F29" s="4"/>
      <c r="G29" s="4"/>
      <c r="H29" s="4"/>
    </row>
    <row r="30" spans="1:10" ht="12" customHeight="1" x14ac:dyDescent="0.25">
      <c r="A30" s="4"/>
      <c r="B30" s="77"/>
      <c r="C30" s="77"/>
      <c r="D30" s="4"/>
      <c r="E30" s="19"/>
      <c r="F30" s="19"/>
      <c r="G30" s="4"/>
      <c r="H30" s="4"/>
    </row>
    <row r="31" spans="1:10" ht="12" customHeight="1" x14ac:dyDescent="0.25">
      <c r="A31" s="4"/>
      <c r="B31" s="68"/>
      <c r="C31" s="68"/>
      <c r="D31" s="4"/>
      <c r="E31" s="41"/>
      <c r="F31" s="75"/>
      <c r="G31" s="4"/>
      <c r="H31" s="4"/>
    </row>
    <row r="32" spans="1:10" ht="12" customHeight="1" x14ac:dyDescent="0.25">
      <c r="A32" s="4"/>
      <c r="B32" s="76"/>
      <c r="C32" s="76"/>
      <c r="D32" s="4"/>
      <c r="E32" s="41"/>
      <c r="F32" s="75"/>
      <c r="G32" s="4"/>
      <c r="H32" s="4"/>
    </row>
    <row r="33" spans="1:8" ht="12" customHeight="1" x14ac:dyDescent="0.25">
      <c r="A33" s="4"/>
      <c r="B33" s="76"/>
      <c r="C33" s="76"/>
      <c r="D33" s="4"/>
      <c r="E33" s="41"/>
      <c r="F33" s="75"/>
      <c r="G33" s="4"/>
      <c r="H33" s="4"/>
    </row>
    <row r="34" spans="1:8" ht="12" customHeight="1" x14ac:dyDescent="0.25">
      <c r="A34" s="4"/>
      <c r="B34" s="76"/>
      <c r="C34" s="76"/>
      <c r="D34" s="4"/>
      <c r="E34" s="41"/>
      <c r="F34" s="75"/>
      <c r="G34" s="4"/>
      <c r="H34" s="4"/>
    </row>
    <row r="35" spans="1:8" ht="12" customHeight="1" x14ac:dyDescent="0.25">
      <c r="A35" s="4"/>
      <c r="B35" s="76"/>
      <c r="C35" s="76"/>
      <c r="D35" s="4"/>
      <c r="E35" s="41"/>
      <c r="F35" s="75"/>
      <c r="G35" s="4"/>
      <c r="H35" s="4"/>
    </row>
    <row r="36" spans="1:8" ht="12" customHeight="1" x14ac:dyDescent="0.25">
      <c r="A36" s="4"/>
      <c r="B36" s="76"/>
      <c r="C36" s="76"/>
      <c r="D36" s="4"/>
      <c r="E36" s="41"/>
      <c r="F36" s="75"/>
      <c r="G36" s="4"/>
      <c r="H36" s="4"/>
    </row>
    <row r="37" spans="1:8" ht="12" customHeight="1" x14ac:dyDescent="0.25">
      <c r="A37" s="4"/>
      <c r="B37" s="76"/>
      <c r="C37" s="76"/>
      <c r="D37" s="4"/>
      <c r="E37" s="41"/>
      <c r="F37" s="75"/>
      <c r="G37" s="4"/>
      <c r="H37" s="4"/>
    </row>
    <row r="38" spans="1:8" ht="12" customHeight="1" x14ac:dyDescent="0.25">
      <c r="A38" s="4"/>
      <c r="B38" s="76"/>
      <c r="C38" s="76"/>
      <c r="D38" s="4"/>
      <c r="E38" s="4"/>
      <c r="F38" s="4"/>
      <c r="G38" s="4"/>
      <c r="H38" s="4"/>
    </row>
    <row r="39" spans="1:8" ht="12" customHeight="1" x14ac:dyDescent="0.25">
      <c r="A39" s="4"/>
      <c r="B39" s="4"/>
      <c r="C39" s="4"/>
      <c r="D39" s="4"/>
      <c r="E39" s="4"/>
      <c r="F39" s="4"/>
      <c r="G39" s="4"/>
      <c r="H39" s="4"/>
    </row>
    <row r="40" spans="1:8" ht="12" customHeight="1" x14ac:dyDescent="0.25">
      <c r="A40" s="4"/>
      <c r="B40" s="4"/>
      <c r="C40" s="4"/>
      <c r="D40" s="4"/>
      <c r="E40" s="4"/>
      <c r="F40" s="4"/>
      <c r="G40" s="4"/>
      <c r="H40" s="4"/>
    </row>
    <row r="41" spans="1:8" ht="12" customHeight="1" x14ac:dyDescent="0.25"/>
    <row r="42" spans="1:8" ht="12" customHeight="1" x14ac:dyDescent="0.25"/>
    <row r="43" spans="1:8" ht="12" customHeight="1" x14ac:dyDescent="0.25"/>
    <row r="44" spans="1:8" ht="12" customHeight="1" x14ac:dyDescent="0.25"/>
    <row r="45" spans="1:8" ht="12" customHeight="1" x14ac:dyDescent="0.25"/>
    <row r="46" spans="1:8" ht="12" customHeight="1" x14ac:dyDescent="0.25"/>
    <row r="47" spans="1:8" ht="12" customHeight="1" x14ac:dyDescent="0.25"/>
    <row r="48" spans="1: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</sheetData>
  <mergeCells count="13">
    <mergeCell ref="G17:J17"/>
    <mergeCell ref="G18:J18"/>
    <mergeCell ref="B2:F2"/>
    <mergeCell ref="G2:M11"/>
    <mergeCell ref="C7:D7"/>
    <mergeCell ref="C8:D8"/>
    <mergeCell ref="C9:D9"/>
    <mergeCell ref="C10:D10"/>
    <mergeCell ref="B13:D13"/>
    <mergeCell ref="C14:D14"/>
    <mergeCell ref="G14:J14"/>
    <mergeCell ref="G15:J15"/>
    <mergeCell ref="G16:J16"/>
  </mergeCells>
  <pageMargins left="0.7" right="0.7" top="0.75" bottom="0.75" header="0.3" footer="0.3"/>
  <pageSetup paperSize="9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10" sqref="B10"/>
    </sheetView>
  </sheetViews>
  <sheetFormatPr defaultRowHeight="15" x14ac:dyDescent="0.25"/>
  <cols>
    <col min="1" max="1" width="5.7109375" style="1" customWidth="1"/>
    <col min="2" max="4" width="9.28515625" style="1" customWidth="1"/>
    <col min="5" max="5" width="2.28515625" style="1" customWidth="1"/>
    <col min="6" max="6" width="26.7109375" style="1" bestFit="1" customWidth="1"/>
    <col min="7" max="9" width="9.140625" style="1"/>
    <col min="10" max="10" width="12.42578125" style="1" bestFit="1" customWidth="1"/>
    <col min="11" max="13" width="9.140625" style="1"/>
  </cols>
  <sheetData>
    <row r="1" spans="2:13" ht="12" customHeight="1" x14ac:dyDescent="0.25"/>
    <row r="2" spans="2:13" ht="18.75" customHeight="1" x14ac:dyDescent="0.3">
      <c r="B2" s="154" t="s">
        <v>150</v>
      </c>
      <c r="C2" s="154"/>
      <c r="D2" s="154"/>
      <c r="E2" s="154"/>
      <c r="F2" s="154"/>
      <c r="G2" s="148"/>
      <c r="H2" s="149"/>
      <c r="I2" s="149"/>
      <c r="J2" s="149"/>
      <c r="K2" s="149"/>
      <c r="L2" s="149"/>
      <c r="M2" s="149"/>
    </row>
    <row r="3" spans="2:13" ht="12" customHeight="1" x14ac:dyDescent="0.25">
      <c r="B3" s="159"/>
      <c r="C3" s="159"/>
      <c r="D3" s="159"/>
      <c r="E3" s="159"/>
      <c r="F3" s="159"/>
      <c r="G3" s="149"/>
      <c r="H3" s="149"/>
      <c r="I3" s="149"/>
      <c r="J3" s="149"/>
      <c r="K3" s="149"/>
      <c r="L3" s="149"/>
      <c r="M3" s="149"/>
    </row>
    <row r="4" spans="2:13" ht="12" customHeight="1" x14ac:dyDescent="0.25">
      <c r="G4" s="149"/>
      <c r="H4" s="149"/>
      <c r="I4" s="149"/>
      <c r="J4" s="149"/>
      <c r="K4" s="149"/>
      <c r="L4" s="149"/>
      <c r="M4" s="149"/>
    </row>
    <row r="5" spans="2:13" ht="12" customHeight="1" x14ac:dyDescent="0.25">
      <c r="G5" s="149"/>
      <c r="H5" s="149"/>
      <c r="I5" s="149"/>
      <c r="J5" s="149"/>
      <c r="K5" s="149"/>
      <c r="L5" s="149"/>
      <c r="M5" s="149"/>
    </row>
    <row r="6" spans="2:13" ht="12" customHeight="1" x14ac:dyDescent="0.25">
      <c r="B6" s="63"/>
      <c r="C6" s="155"/>
      <c r="D6" s="153"/>
      <c r="G6" s="149"/>
      <c r="H6" s="149"/>
      <c r="I6" s="149"/>
      <c r="J6" s="149"/>
      <c r="K6" s="149"/>
      <c r="L6" s="149"/>
      <c r="M6" s="149"/>
    </row>
    <row r="7" spans="2:13" ht="12" customHeight="1" x14ac:dyDescent="0.25">
      <c r="B7" s="63"/>
      <c r="C7" s="155"/>
      <c r="D7" s="153"/>
      <c r="G7" s="149"/>
      <c r="H7" s="149"/>
      <c r="I7" s="149"/>
      <c r="J7" s="149"/>
      <c r="K7" s="149"/>
      <c r="L7" s="149"/>
      <c r="M7" s="149"/>
    </row>
    <row r="8" spans="2:13" ht="12" customHeight="1" thickBot="1" x14ac:dyDescent="0.3">
      <c r="B8" s="63"/>
      <c r="C8" s="155"/>
      <c r="D8" s="153"/>
      <c r="G8" s="149"/>
      <c r="H8" s="149"/>
      <c r="I8" s="149"/>
      <c r="J8" s="149"/>
      <c r="K8" s="149"/>
      <c r="L8" s="149"/>
      <c r="M8" s="149"/>
    </row>
    <row r="9" spans="2:13" ht="12" customHeight="1" x14ac:dyDescent="0.25">
      <c r="B9" s="42"/>
      <c r="C9" s="155" t="s">
        <v>151</v>
      </c>
      <c r="D9" s="155"/>
      <c r="E9" s="155"/>
      <c r="F9" s="155"/>
      <c r="G9" s="149"/>
      <c r="H9" s="149"/>
      <c r="I9" s="149"/>
      <c r="J9" s="149"/>
      <c r="K9" s="149"/>
      <c r="L9" s="149"/>
      <c r="M9" s="149"/>
    </row>
    <row r="10" spans="2:13" ht="12" customHeight="1" x14ac:dyDescent="0.25">
      <c r="B10" s="43"/>
      <c r="C10" s="155" t="s">
        <v>152</v>
      </c>
      <c r="D10" s="155"/>
      <c r="E10" s="155"/>
      <c r="F10" s="155"/>
      <c r="G10" s="149"/>
      <c r="H10" s="149"/>
      <c r="I10" s="149"/>
      <c r="J10" s="149"/>
      <c r="K10" s="149"/>
      <c r="L10" s="149"/>
      <c r="M10" s="149"/>
    </row>
    <row r="11" spans="2:13" ht="12" customHeight="1" x14ac:dyDescent="0.25">
      <c r="B11" s="43"/>
      <c r="C11" s="155" t="s">
        <v>153</v>
      </c>
      <c r="D11" s="155"/>
      <c r="E11" s="155"/>
      <c r="F11" s="155"/>
      <c r="G11" s="149"/>
      <c r="H11" s="149"/>
      <c r="I11" s="149"/>
      <c r="J11" s="149"/>
      <c r="K11" s="149"/>
      <c r="L11" s="149"/>
      <c r="M11" s="149"/>
    </row>
    <row r="12" spans="2:13" ht="12" customHeight="1" x14ac:dyDescent="0.25">
      <c r="B12" s="43"/>
      <c r="C12" s="155" t="s">
        <v>154</v>
      </c>
      <c r="D12" s="155"/>
      <c r="E12" s="155"/>
      <c r="F12" s="155"/>
    </row>
    <row r="13" spans="2:13" ht="12" customHeight="1" x14ac:dyDescent="0.25">
      <c r="B13" s="43"/>
      <c r="C13" s="155" t="s">
        <v>155</v>
      </c>
      <c r="D13" s="155"/>
      <c r="E13" s="155"/>
      <c r="F13" s="155"/>
    </row>
    <row r="14" spans="2:13" ht="12" customHeight="1" thickBot="1" x14ac:dyDescent="0.3">
      <c r="B14" s="44"/>
      <c r="C14" s="155" t="s">
        <v>156</v>
      </c>
      <c r="D14" s="155"/>
      <c r="E14" s="155"/>
      <c r="F14" s="155"/>
      <c r="G14" s="153"/>
      <c r="H14" s="153"/>
      <c r="I14" s="153"/>
    </row>
    <row r="15" spans="2:13" ht="12" customHeight="1" x14ac:dyDescent="0.25">
      <c r="B15" s="93"/>
      <c r="C15" s="93"/>
      <c r="D15" s="92"/>
      <c r="E15" s="22"/>
      <c r="F15" s="22"/>
      <c r="G15" s="170"/>
      <c r="H15" s="170"/>
      <c r="I15" s="170"/>
      <c r="J15" s="170"/>
    </row>
    <row r="16" spans="2:13" ht="12" customHeight="1" x14ac:dyDescent="0.25">
      <c r="B16" s="83" t="s">
        <v>160</v>
      </c>
      <c r="C16" s="93" t="s">
        <v>32</v>
      </c>
      <c r="D16" s="92"/>
      <c r="E16" s="22"/>
      <c r="F16" s="22" t="s">
        <v>158</v>
      </c>
      <c r="G16" s="170"/>
      <c r="H16" s="170"/>
      <c r="I16" s="170"/>
      <c r="J16" s="170"/>
      <c r="K16" s="21"/>
      <c r="L16" s="21"/>
      <c r="M16" s="21"/>
    </row>
    <row r="17" spans="2:13" ht="12" customHeight="1" x14ac:dyDescent="0.25">
      <c r="B17" s="49"/>
      <c r="C17" s="49" t="str">
        <f>IF((B9+B10)&lt;=2,"&lt;1",IF((B9+B10)=8,3,IF((B9+B10)=9,5,IF((B9+B10)=10,9,IF((B9+B10)=11,20,IF((B9+B10)=12,"≥29",1))))))</f>
        <v>&lt;1</v>
      </c>
      <c r="D17" s="89" t="s">
        <v>157</v>
      </c>
      <c r="E17" s="11"/>
      <c r="F17" s="11" t="s">
        <v>159</v>
      </c>
      <c r="G17" s="170"/>
      <c r="H17" s="170"/>
      <c r="I17" s="170"/>
      <c r="J17" s="170"/>
      <c r="K17" s="21"/>
      <c r="L17" s="21"/>
      <c r="M17" s="21"/>
    </row>
    <row r="18" spans="2:13" ht="12" customHeight="1" x14ac:dyDescent="0.25">
      <c r="B18" s="48" t="str">
        <f>IF(ISBLANK(B12),"X",((B9+B10)-(B12+B13)))</f>
        <v>X</v>
      </c>
      <c r="C18" s="49" t="str">
        <f>IF(B18="X"," ",IF(B18&gt;6,0,IF(B18=6,1,IF(B18=5,3,IF(B18=4,6,IF(B18=3,12,IF(B18=2,27,IF(B18=1,55,IF(B18&lt;1,"≥75")))))))))</f>
        <v xml:space="preserve"> </v>
      </c>
      <c r="D18" s="89" t="s">
        <v>161</v>
      </c>
      <c r="E18" s="11"/>
      <c r="F18" s="40" t="s">
        <v>162</v>
      </c>
      <c r="G18" s="170"/>
      <c r="H18" s="170"/>
      <c r="I18" s="170"/>
      <c r="J18" s="170"/>
      <c r="K18" s="21"/>
      <c r="L18" s="21"/>
      <c r="M18" s="21"/>
    </row>
    <row r="19" spans="2:13" ht="12" customHeight="1" x14ac:dyDescent="0.25">
      <c r="B19" s="93"/>
      <c r="C19" s="22"/>
      <c r="D19" s="22"/>
      <c r="E19" s="22"/>
      <c r="F19" s="26"/>
      <c r="G19" s="170"/>
      <c r="H19" s="170"/>
      <c r="I19" s="170"/>
      <c r="J19" s="170"/>
      <c r="K19" s="21"/>
      <c r="L19" s="21"/>
      <c r="M19" s="21"/>
    </row>
    <row r="20" spans="2:13" ht="12" customHeight="1" x14ac:dyDescent="0.25">
      <c r="B20" s="93"/>
      <c r="C20" s="93"/>
      <c r="D20" s="92"/>
      <c r="E20" s="22"/>
      <c r="F20" s="26"/>
      <c r="G20" s="23"/>
      <c r="H20" s="23"/>
      <c r="I20" s="23"/>
      <c r="J20" s="23"/>
      <c r="K20" s="21"/>
      <c r="L20" s="21"/>
      <c r="M20" s="21"/>
    </row>
    <row r="21" spans="2:13" ht="12" customHeight="1" x14ac:dyDescent="0.25">
      <c r="B21" s="60"/>
      <c r="C21" s="60"/>
      <c r="D21" s="59"/>
      <c r="E21" s="61"/>
      <c r="F21" s="26"/>
      <c r="G21" s="170"/>
      <c r="H21" s="170"/>
      <c r="I21" s="170"/>
      <c r="J21" s="170"/>
      <c r="K21" s="21"/>
      <c r="L21" s="21"/>
      <c r="M21" s="21"/>
    </row>
    <row r="22" spans="2:13" ht="12" customHeight="1" x14ac:dyDescent="0.25">
      <c r="B22" s="59"/>
      <c r="C22" s="60"/>
      <c r="D22" s="59"/>
      <c r="E22" s="61"/>
      <c r="F22" s="61"/>
      <c r="H22" s="21"/>
      <c r="I22" s="21"/>
      <c r="J22" s="21"/>
      <c r="K22" s="21"/>
      <c r="L22" s="21"/>
      <c r="M22" s="21"/>
    </row>
    <row r="23" spans="2:13" ht="12" customHeight="1" x14ac:dyDescent="0.25">
      <c r="B23" s="62"/>
      <c r="C23" s="62"/>
      <c r="D23" s="62"/>
      <c r="E23" s="61"/>
      <c r="F23" s="61"/>
      <c r="H23" s="21"/>
      <c r="I23" s="21"/>
      <c r="J23" s="21"/>
      <c r="K23" s="21"/>
      <c r="L23" s="21"/>
      <c r="M23" s="21"/>
    </row>
    <row r="24" spans="2:13" ht="12" customHeight="1" x14ac:dyDescent="0.25">
      <c r="B24" s="59"/>
      <c r="C24" s="60"/>
      <c r="D24" s="59"/>
      <c r="E24" s="61"/>
      <c r="F24" s="61"/>
      <c r="H24" s="21"/>
      <c r="I24" s="21"/>
      <c r="J24" s="21"/>
      <c r="K24" s="21"/>
      <c r="L24" s="21"/>
      <c r="M24" s="21"/>
    </row>
    <row r="25" spans="2:13" ht="12" customHeight="1" x14ac:dyDescent="0.25">
      <c r="B25" s="62"/>
      <c r="C25" s="62"/>
      <c r="D25" s="62"/>
      <c r="E25" s="61"/>
      <c r="F25" s="61"/>
      <c r="H25" s="21"/>
      <c r="I25" s="21"/>
      <c r="J25" s="21"/>
      <c r="K25" s="21"/>
      <c r="L25" s="21"/>
      <c r="M25" s="21"/>
    </row>
    <row r="26" spans="2:13" ht="12" customHeight="1" x14ac:dyDescent="0.25">
      <c r="B26" s="59"/>
      <c r="C26" s="60"/>
      <c r="D26" s="59"/>
      <c r="E26" s="61"/>
      <c r="F26" s="61"/>
      <c r="H26" s="21"/>
      <c r="I26" s="21"/>
      <c r="J26" s="21"/>
      <c r="K26" s="21"/>
      <c r="L26" s="21"/>
      <c r="M26" s="21"/>
    </row>
    <row r="27" spans="2:13" ht="12" customHeight="1" x14ac:dyDescent="0.25">
      <c r="B27" s="59"/>
      <c r="C27" s="60"/>
      <c r="D27" s="59"/>
      <c r="E27" s="61"/>
      <c r="F27" s="61"/>
      <c r="H27" s="21"/>
      <c r="I27" s="21"/>
      <c r="J27" s="21"/>
      <c r="K27" s="21"/>
      <c r="L27" s="21"/>
      <c r="M27" s="21"/>
    </row>
    <row r="28" spans="2:13" ht="12" customHeight="1" x14ac:dyDescent="0.25">
      <c r="H28" s="21"/>
      <c r="I28" s="21"/>
      <c r="J28" s="21"/>
      <c r="K28" s="21"/>
      <c r="L28" s="21"/>
      <c r="M28" s="21"/>
    </row>
    <row r="29" spans="2:13" ht="12" customHeight="1" x14ac:dyDescent="0.25">
      <c r="H29" s="21"/>
      <c r="I29" s="21"/>
      <c r="J29" s="21"/>
      <c r="K29" s="21"/>
      <c r="L29" s="21"/>
      <c r="M29" s="21"/>
    </row>
    <row r="30" spans="2:13" ht="12" customHeight="1" x14ac:dyDescent="0.25">
      <c r="B30" s="146" t="s">
        <v>40</v>
      </c>
      <c r="C30" s="147"/>
      <c r="E30" s="144" t="s">
        <v>9</v>
      </c>
      <c r="F30" s="145"/>
      <c r="H30" s="21"/>
      <c r="I30" s="21"/>
      <c r="J30" s="21"/>
      <c r="K30" s="21"/>
      <c r="L30" s="21"/>
      <c r="M30" s="21"/>
    </row>
    <row r="31" spans="2:13" ht="12" customHeight="1" x14ac:dyDescent="0.25">
      <c r="B31" s="12" t="s">
        <v>21</v>
      </c>
      <c r="C31" s="13" t="s">
        <v>32</v>
      </c>
      <c r="E31" s="2">
        <v>1</v>
      </c>
      <c r="F31" s="5" t="s">
        <v>2</v>
      </c>
      <c r="H31" s="21"/>
      <c r="I31" s="21"/>
      <c r="J31" s="21"/>
      <c r="K31" s="21"/>
      <c r="L31" s="21"/>
      <c r="M31" s="21"/>
    </row>
    <row r="32" spans="2:13" ht="12" customHeight="1" x14ac:dyDescent="0.25">
      <c r="B32" s="14">
        <v>70</v>
      </c>
      <c r="C32" s="15" t="s">
        <v>33</v>
      </c>
      <c r="E32" s="2">
        <v>2</v>
      </c>
      <c r="F32" s="5" t="s">
        <v>3</v>
      </c>
      <c r="H32" s="21"/>
      <c r="I32" s="21"/>
      <c r="J32" s="21"/>
      <c r="K32" s="21"/>
      <c r="L32" s="21"/>
      <c r="M32" s="21"/>
    </row>
    <row r="33" spans="2:13" ht="12" customHeight="1" x14ac:dyDescent="0.25">
      <c r="B33" s="14">
        <v>60</v>
      </c>
      <c r="C33" s="15" t="s">
        <v>34</v>
      </c>
      <c r="E33" s="2">
        <v>3</v>
      </c>
      <c r="F33" s="5" t="s">
        <v>4</v>
      </c>
      <c r="H33" s="21"/>
      <c r="I33" s="21"/>
      <c r="J33" s="21"/>
      <c r="K33" s="21"/>
      <c r="L33" s="21"/>
      <c r="M33" s="21"/>
    </row>
    <row r="34" spans="2:13" ht="12" customHeight="1" x14ac:dyDescent="0.25">
      <c r="B34" s="14">
        <v>50</v>
      </c>
      <c r="C34" s="15" t="s">
        <v>35</v>
      </c>
      <c r="E34" s="2">
        <v>4</v>
      </c>
      <c r="F34" s="5" t="s">
        <v>5</v>
      </c>
      <c r="H34" s="21"/>
      <c r="I34" s="21"/>
      <c r="J34" s="21"/>
      <c r="K34" s="21"/>
      <c r="L34" s="21"/>
      <c r="M34" s="21"/>
    </row>
    <row r="35" spans="2:13" ht="12" customHeight="1" x14ac:dyDescent="0.25">
      <c r="B35" s="14">
        <v>40</v>
      </c>
      <c r="C35" s="15" t="s">
        <v>36</v>
      </c>
      <c r="E35" s="2">
        <v>5</v>
      </c>
      <c r="F35" s="5" t="s">
        <v>6</v>
      </c>
      <c r="H35" s="21"/>
      <c r="I35" s="21"/>
      <c r="J35" s="21"/>
      <c r="K35" s="21"/>
      <c r="L35" s="21"/>
      <c r="M35" s="21"/>
    </row>
    <row r="36" spans="2:13" ht="12" customHeight="1" x14ac:dyDescent="0.25">
      <c r="B36" s="14">
        <v>33</v>
      </c>
      <c r="C36" s="15" t="s">
        <v>37</v>
      </c>
      <c r="E36" s="2">
        <v>6</v>
      </c>
      <c r="F36" s="5" t="s">
        <v>7</v>
      </c>
      <c r="H36" s="21"/>
      <c r="I36" s="21"/>
      <c r="J36" s="21"/>
      <c r="K36" s="21"/>
      <c r="L36" s="21"/>
      <c r="M36" s="21"/>
    </row>
    <row r="37" spans="2:13" ht="12" customHeight="1" x14ac:dyDescent="0.25">
      <c r="B37" s="14">
        <v>30</v>
      </c>
      <c r="C37" s="15" t="s">
        <v>38</v>
      </c>
      <c r="E37" s="3">
        <v>7</v>
      </c>
      <c r="F37" s="6" t="s">
        <v>8</v>
      </c>
      <c r="H37" s="21"/>
      <c r="I37" s="21"/>
      <c r="J37" s="21"/>
      <c r="K37" s="21"/>
      <c r="L37" s="21"/>
      <c r="M37" s="21"/>
    </row>
    <row r="38" spans="2:13" ht="12" customHeight="1" x14ac:dyDescent="0.25">
      <c r="B38" s="16">
        <v>27</v>
      </c>
      <c r="C38" s="17" t="s">
        <v>39</v>
      </c>
      <c r="H38" s="21"/>
      <c r="I38" s="21"/>
      <c r="J38" s="21"/>
      <c r="K38" s="21"/>
      <c r="L38" s="21"/>
      <c r="M38" s="21"/>
    </row>
    <row r="39" spans="2:13" ht="12" customHeight="1" x14ac:dyDescent="0.25">
      <c r="H39" s="21"/>
      <c r="I39" s="21"/>
      <c r="J39" s="21"/>
      <c r="K39" s="21"/>
      <c r="L39" s="21"/>
      <c r="M39" s="21"/>
    </row>
    <row r="40" spans="2:13" ht="12" customHeight="1" x14ac:dyDescent="0.25">
      <c r="H40" s="21"/>
      <c r="I40" s="21"/>
      <c r="J40" s="21"/>
      <c r="K40" s="21"/>
      <c r="L40" s="21"/>
      <c r="M40" s="21"/>
    </row>
    <row r="41" spans="2:13" ht="12" customHeight="1" x14ac:dyDescent="0.25">
      <c r="H41" s="21"/>
      <c r="I41" s="21"/>
      <c r="J41" s="21"/>
      <c r="K41" s="21"/>
      <c r="L41" s="21"/>
      <c r="M41" s="21"/>
    </row>
    <row r="42" spans="2:13" ht="12" customHeight="1" x14ac:dyDescent="0.25">
      <c r="H42" s="21"/>
      <c r="I42" s="21"/>
      <c r="J42" s="21"/>
      <c r="K42" s="21"/>
      <c r="L42" s="21"/>
      <c r="M42" s="21"/>
    </row>
    <row r="43" spans="2:13" ht="12" customHeight="1" x14ac:dyDescent="0.25">
      <c r="H43" s="21"/>
      <c r="I43" s="21"/>
      <c r="J43" s="21"/>
      <c r="K43" s="21"/>
      <c r="L43" s="21"/>
      <c r="M43" s="21"/>
    </row>
    <row r="44" spans="2:13" ht="12" customHeight="1" x14ac:dyDescent="0.25">
      <c r="H44" s="21"/>
      <c r="I44" s="21"/>
      <c r="J44" s="21"/>
      <c r="K44" s="21"/>
      <c r="L44" s="21"/>
      <c r="M44" s="21"/>
    </row>
    <row r="45" spans="2:13" ht="12" customHeight="1" x14ac:dyDescent="0.25">
      <c r="H45" s="21"/>
      <c r="I45" s="21"/>
      <c r="J45" s="21"/>
      <c r="K45" s="21"/>
      <c r="L45" s="21"/>
      <c r="M45" s="21"/>
    </row>
    <row r="46" spans="2:13" x14ac:dyDescent="0.25">
      <c r="H46" s="21"/>
      <c r="I46" s="21"/>
      <c r="J46" s="21"/>
      <c r="K46" s="21"/>
      <c r="L46" s="21"/>
      <c r="M46" s="21"/>
    </row>
    <row r="47" spans="2:13" x14ac:dyDescent="0.25">
      <c r="H47" s="21"/>
      <c r="I47" s="21"/>
      <c r="J47" s="33"/>
      <c r="K47" s="33"/>
      <c r="L47" s="33"/>
      <c r="M47" s="33"/>
    </row>
    <row r="48" spans="2:13" x14ac:dyDescent="0.25">
      <c r="H48" s="21"/>
      <c r="I48" s="21"/>
      <c r="J48" s="33"/>
      <c r="K48" s="33"/>
      <c r="L48" s="33"/>
      <c r="M48" s="33"/>
    </row>
    <row r="49" spans="10:13" x14ac:dyDescent="0.25">
      <c r="J49"/>
      <c r="K49"/>
      <c r="L49"/>
      <c r="M49"/>
    </row>
  </sheetData>
  <mergeCells count="21">
    <mergeCell ref="G17:J17"/>
    <mergeCell ref="C13:F13"/>
    <mergeCell ref="B2:F2"/>
    <mergeCell ref="G2:M11"/>
    <mergeCell ref="B3:F3"/>
    <mergeCell ref="C6:D6"/>
    <mergeCell ref="C7:D7"/>
    <mergeCell ref="C8:D8"/>
    <mergeCell ref="C9:F9"/>
    <mergeCell ref="C10:F10"/>
    <mergeCell ref="C11:F11"/>
    <mergeCell ref="C14:F14"/>
    <mergeCell ref="C12:F12"/>
    <mergeCell ref="G14:I14"/>
    <mergeCell ref="G15:J15"/>
    <mergeCell ref="G16:J16"/>
    <mergeCell ref="G18:J18"/>
    <mergeCell ref="G19:J19"/>
    <mergeCell ref="G21:J21"/>
    <mergeCell ref="B30:C30"/>
    <mergeCell ref="E30:F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2"/>
  <sheetViews>
    <sheetView workbookViewId="0">
      <selection activeCell="F25" sqref="F25"/>
    </sheetView>
  </sheetViews>
  <sheetFormatPr defaultRowHeight="12" x14ac:dyDescent="0.2"/>
  <cols>
    <col min="1" max="1" width="5.7109375" style="1" customWidth="1"/>
    <col min="2" max="2" width="9.28515625" style="39" customWidth="1"/>
    <col min="3" max="3" width="20" style="1" bestFit="1" customWidth="1"/>
    <col min="4" max="4" width="4.42578125" style="1" customWidth="1"/>
    <col min="5" max="5" width="5" style="1" customWidth="1"/>
    <col min="6" max="6" width="19" style="1" bestFit="1" customWidth="1"/>
    <col min="7" max="16384" width="9.140625" style="1"/>
  </cols>
  <sheetData>
    <row r="1" spans="2:12" ht="12.75" thickBot="1" x14ac:dyDescent="0.25">
      <c r="E1" s="144" t="s">
        <v>9</v>
      </c>
      <c r="F1" s="145"/>
      <c r="H1" s="146" t="s">
        <v>40</v>
      </c>
      <c r="I1" s="147"/>
    </row>
    <row r="2" spans="2:12" x14ac:dyDescent="0.2">
      <c r="B2" s="86">
        <f>Demografisch!B2</f>
        <v>0</v>
      </c>
      <c r="C2" s="1" t="s">
        <v>10</v>
      </c>
      <c r="E2" s="2">
        <v>1</v>
      </c>
      <c r="F2" s="5" t="s">
        <v>2</v>
      </c>
      <c r="H2" s="12" t="s">
        <v>21</v>
      </c>
      <c r="I2" s="13" t="s">
        <v>32</v>
      </c>
    </row>
    <row r="3" spans="2:12" x14ac:dyDescent="0.2">
      <c r="B3" s="87">
        <f>Demografisch!B3</f>
        <v>0</v>
      </c>
      <c r="C3" s="1" t="s">
        <v>0</v>
      </c>
      <c r="E3" s="2">
        <v>2</v>
      </c>
      <c r="F3" s="5" t="s">
        <v>3</v>
      </c>
      <c r="H3" s="14">
        <v>70</v>
      </c>
      <c r="I3" s="15" t="s">
        <v>33</v>
      </c>
    </row>
    <row r="4" spans="2:12" ht="12.75" thickBot="1" x14ac:dyDescent="0.25">
      <c r="B4" s="57">
        <f>Demografisch!B4</f>
        <v>0</v>
      </c>
      <c r="C4" s="1" t="s">
        <v>1</v>
      </c>
      <c r="E4" s="2">
        <v>3</v>
      </c>
      <c r="F4" s="5" t="s">
        <v>4</v>
      </c>
      <c r="H4" s="14">
        <v>60</v>
      </c>
      <c r="I4" s="15" t="s">
        <v>34</v>
      </c>
    </row>
    <row r="5" spans="2:12" x14ac:dyDescent="0.2">
      <c r="E5" s="2">
        <v>4</v>
      </c>
      <c r="F5" s="5" t="s">
        <v>5</v>
      </c>
      <c r="H5" s="14">
        <v>50</v>
      </c>
      <c r="I5" s="15" t="s">
        <v>35</v>
      </c>
    </row>
    <row r="6" spans="2:12" x14ac:dyDescent="0.2">
      <c r="B6" s="58"/>
      <c r="C6" s="4"/>
      <c r="E6" s="2">
        <v>5</v>
      </c>
      <c r="F6" s="5" t="s">
        <v>6</v>
      </c>
      <c r="H6" s="14">
        <v>40</v>
      </c>
      <c r="I6" s="15" t="s">
        <v>36</v>
      </c>
    </row>
    <row r="7" spans="2:12" x14ac:dyDescent="0.2">
      <c r="B7" s="63"/>
      <c r="C7" s="4"/>
      <c r="E7" s="2">
        <v>6</v>
      </c>
      <c r="F7" s="5" t="s">
        <v>7</v>
      </c>
      <c r="H7" s="14">
        <v>33</v>
      </c>
      <c r="I7" s="15" t="s">
        <v>37</v>
      </c>
    </row>
    <row r="8" spans="2:12" x14ac:dyDescent="0.2">
      <c r="B8" s="63"/>
      <c r="C8" s="4"/>
      <c r="E8" s="3">
        <v>7</v>
      </c>
      <c r="F8" s="6" t="s">
        <v>8</v>
      </c>
      <c r="H8" s="14">
        <v>30</v>
      </c>
      <c r="I8" s="15" t="s">
        <v>38</v>
      </c>
    </row>
    <row r="9" spans="2:12" x14ac:dyDescent="0.2">
      <c r="H9" s="16">
        <v>27</v>
      </c>
      <c r="I9" s="17" t="s">
        <v>39</v>
      </c>
    </row>
    <row r="10" spans="2:12" x14ac:dyDescent="0.2">
      <c r="B10" s="96"/>
      <c r="C10" s="90"/>
      <c r="D10" s="91"/>
      <c r="G10" s="4"/>
      <c r="J10" s="4"/>
      <c r="K10" s="4"/>
      <c r="L10" s="4"/>
    </row>
    <row r="11" spans="2:12" ht="12.75" thickBot="1" x14ac:dyDescent="0.25">
      <c r="B11" s="95">
        <f>B12</f>
        <v>0</v>
      </c>
      <c r="C11" s="94" t="s">
        <v>41</v>
      </c>
      <c r="D11" s="4"/>
      <c r="G11" s="4"/>
      <c r="H11" s="4"/>
      <c r="I11" s="4"/>
      <c r="J11" s="4"/>
      <c r="K11" s="4"/>
      <c r="L11" s="4"/>
    </row>
    <row r="12" spans="2:12" x14ac:dyDescent="0.2">
      <c r="B12" s="86">
        <f>'8WT'!B8</f>
        <v>0</v>
      </c>
      <c r="C12" s="152" t="s">
        <v>42</v>
      </c>
      <c r="D12" s="155"/>
      <c r="E12" s="155"/>
      <c r="G12" s="4"/>
      <c r="H12" s="4"/>
      <c r="I12" s="4"/>
      <c r="J12" s="4"/>
      <c r="K12" s="4"/>
      <c r="L12" s="4"/>
    </row>
    <row r="13" spans="2:12" ht="12.75" thickBot="1" x14ac:dyDescent="0.25">
      <c r="B13" s="57">
        <f>'8WT'!B9</f>
        <v>0</v>
      </c>
      <c r="C13" s="152" t="s">
        <v>43</v>
      </c>
      <c r="D13" s="155"/>
      <c r="E13" s="155"/>
      <c r="G13" s="4"/>
      <c r="H13" s="4"/>
      <c r="I13" s="4"/>
      <c r="J13" s="4"/>
      <c r="K13" s="4"/>
      <c r="L13" s="4"/>
    </row>
    <row r="14" spans="2:12" x14ac:dyDescent="0.2">
      <c r="B14" s="95">
        <f>B16</f>
        <v>0</v>
      </c>
      <c r="D14" s="4"/>
      <c r="G14" s="4"/>
      <c r="H14" s="4"/>
      <c r="I14" s="4"/>
      <c r="J14" s="4"/>
      <c r="K14" s="4"/>
      <c r="L14" s="4"/>
    </row>
    <row r="15" spans="2:12" ht="12.75" thickBot="1" x14ac:dyDescent="0.25">
      <c r="B15" s="95">
        <f>B16</f>
        <v>0</v>
      </c>
      <c r="C15" s="94" t="s">
        <v>49</v>
      </c>
      <c r="D15" s="4"/>
      <c r="G15" s="4"/>
      <c r="H15" s="4"/>
      <c r="I15" s="4"/>
      <c r="J15" s="4"/>
      <c r="K15" s="4"/>
      <c r="L15" s="4"/>
    </row>
    <row r="16" spans="2:12" x14ac:dyDescent="0.2">
      <c r="B16" s="86">
        <f>'15WT'!B9</f>
        <v>0</v>
      </c>
      <c r="C16" s="152" t="s">
        <v>42</v>
      </c>
      <c r="D16" s="155"/>
      <c r="E16" s="155"/>
      <c r="G16" s="4"/>
      <c r="H16" s="4"/>
      <c r="I16" s="4"/>
      <c r="J16" s="4"/>
      <c r="K16" s="4"/>
      <c r="L16" s="4"/>
    </row>
    <row r="17" spans="2:12" ht="12.75" thickBot="1" x14ac:dyDescent="0.25">
      <c r="B17" s="57">
        <f>'15WT'!B10</f>
        <v>0</v>
      </c>
      <c r="C17" s="152" t="s">
        <v>43</v>
      </c>
      <c r="D17" s="155"/>
      <c r="E17" s="155"/>
      <c r="G17" s="4"/>
      <c r="H17" s="4"/>
      <c r="I17" s="4"/>
      <c r="J17" s="4"/>
      <c r="K17" s="4"/>
      <c r="L17" s="4"/>
    </row>
    <row r="18" spans="2:12" x14ac:dyDescent="0.2">
      <c r="B18" s="95">
        <f>B20</f>
        <v>0</v>
      </c>
      <c r="D18" s="4"/>
      <c r="G18" s="4"/>
      <c r="H18" s="4"/>
      <c r="I18" s="4"/>
      <c r="J18" s="4"/>
      <c r="K18" s="4"/>
      <c r="L18" s="4"/>
    </row>
    <row r="19" spans="2:12" ht="12.75" customHeight="1" thickBot="1" x14ac:dyDescent="0.25">
      <c r="B19" s="95">
        <f>B20</f>
        <v>0</v>
      </c>
      <c r="C19" s="94" t="s">
        <v>118</v>
      </c>
      <c r="D19" s="4"/>
      <c r="G19" s="4"/>
      <c r="H19" s="4"/>
      <c r="I19" s="4"/>
      <c r="J19" s="4"/>
      <c r="K19" s="4"/>
      <c r="L19" s="4"/>
    </row>
    <row r="20" spans="2:12" x14ac:dyDescent="0.2">
      <c r="B20" s="86">
        <f>Doolhoven!B9</f>
        <v>0</v>
      </c>
      <c r="C20" s="152" t="s">
        <v>114</v>
      </c>
      <c r="D20" s="155"/>
      <c r="E20" s="155"/>
      <c r="F20" s="4"/>
      <c r="G20" s="4"/>
      <c r="H20" s="4"/>
      <c r="I20" s="4"/>
      <c r="J20" s="4"/>
      <c r="K20" s="4"/>
      <c r="L20" s="4"/>
    </row>
    <row r="21" spans="2:12" x14ac:dyDescent="0.2">
      <c r="B21" s="87">
        <f>Doolhoven!B10</f>
        <v>0</v>
      </c>
      <c r="C21" s="152" t="s">
        <v>115</v>
      </c>
      <c r="D21" s="155"/>
      <c r="E21" s="155"/>
      <c r="F21" s="4"/>
      <c r="G21" s="4"/>
      <c r="H21" s="4"/>
      <c r="I21" s="4"/>
      <c r="J21" s="4"/>
      <c r="K21" s="4"/>
      <c r="L21" s="4"/>
    </row>
    <row r="22" spans="2:12" ht="12.75" thickBot="1" x14ac:dyDescent="0.25">
      <c r="B22" s="57">
        <f>Doolhoven!B11</f>
        <v>0</v>
      </c>
      <c r="C22" s="152" t="s">
        <v>116</v>
      </c>
      <c r="D22" s="155"/>
      <c r="E22" s="155"/>
      <c r="F22" s="4"/>
      <c r="G22" s="4"/>
      <c r="H22" s="4"/>
      <c r="I22" s="4"/>
      <c r="J22" s="4"/>
      <c r="K22" s="4"/>
      <c r="L22" s="4"/>
    </row>
    <row r="23" spans="2:12" x14ac:dyDescent="0.2">
      <c r="B23" s="95">
        <f>B24</f>
        <v>0</v>
      </c>
      <c r="D23" s="4"/>
      <c r="E23" s="4"/>
      <c r="F23" s="4"/>
      <c r="G23" s="4"/>
      <c r="H23" s="4"/>
      <c r="I23" s="4"/>
      <c r="J23" s="4"/>
      <c r="K23" s="4"/>
      <c r="L23" s="4"/>
    </row>
    <row r="24" spans="2:12" ht="12.75" thickBot="1" x14ac:dyDescent="0.25">
      <c r="B24" s="95">
        <f>IF(AND(B25=0,B26=0,B27=0),0,1)</f>
        <v>0</v>
      </c>
      <c r="C24" s="94" t="s">
        <v>138</v>
      </c>
      <c r="D24" s="4"/>
      <c r="E24" s="4"/>
      <c r="F24" s="4"/>
      <c r="G24" s="4"/>
      <c r="H24" s="4"/>
      <c r="I24" s="4"/>
      <c r="J24" s="4"/>
      <c r="K24" s="4"/>
      <c r="L24" s="4"/>
    </row>
    <row r="25" spans="2:12" x14ac:dyDescent="0.2">
      <c r="B25" s="86">
        <f>Fluency!B10</f>
        <v>0</v>
      </c>
      <c r="C25" s="152" t="s">
        <v>13</v>
      </c>
      <c r="D25" s="155"/>
      <c r="E25" s="155"/>
      <c r="F25" s="4"/>
      <c r="G25" s="7"/>
      <c r="H25" s="7"/>
      <c r="I25" s="4"/>
      <c r="J25" s="4"/>
      <c r="K25" s="4"/>
      <c r="L25" s="4"/>
    </row>
    <row r="26" spans="2:12" x14ac:dyDescent="0.2">
      <c r="B26" s="87">
        <f>Fluency!B11</f>
        <v>0</v>
      </c>
      <c r="C26" s="152" t="s">
        <v>14</v>
      </c>
      <c r="D26" s="155"/>
      <c r="E26" s="155"/>
      <c r="F26" s="4"/>
      <c r="G26" s="8"/>
      <c r="H26" s="7"/>
      <c r="I26" s="4"/>
      <c r="J26" s="4"/>
      <c r="K26" s="4"/>
      <c r="L26" s="4"/>
    </row>
    <row r="27" spans="2:12" ht="12.75" thickBot="1" x14ac:dyDescent="0.25">
      <c r="B27" s="57">
        <f>Fluency!B12</f>
        <v>0</v>
      </c>
      <c r="C27" s="152" t="s">
        <v>15</v>
      </c>
      <c r="D27" s="155"/>
      <c r="E27" s="155"/>
      <c r="F27" s="4"/>
      <c r="G27" s="8"/>
      <c r="H27" s="7"/>
      <c r="I27" s="4"/>
      <c r="J27" s="4"/>
      <c r="K27" s="4"/>
      <c r="L27" s="4"/>
    </row>
    <row r="28" spans="2:12" x14ac:dyDescent="0.2">
      <c r="B28" s="96">
        <f>B30</f>
        <v>0</v>
      </c>
      <c r="C28" s="19"/>
      <c r="D28" s="20"/>
      <c r="E28" s="4"/>
      <c r="F28" s="4"/>
      <c r="G28" s="8"/>
      <c r="H28" s="7"/>
      <c r="I28" s="4"/>
      <c r="J28" s="4"/>
      <c r="K28" s="4"/>
      <c r="L28" s="4"/>
    </row>
    <row r="29" spans="2:12" ht="12.75" thickBot="1" x14ac:dyDescent="0.25">
      <c r="B29" s="95">
        <f>B30</f>
        <v>0</v>
      </c>
      <c r="C29" s="94" t="s">
        <v>139</v>
      </c>
      <c r="E29" s="4"/>
      <c r="F29" s="4"/>
      <c r="G29" s="8"/>
      <c r="H29" s="7"/>
      <c r="I29" s="4"/>
      <c r="J29" s="4"/>
      <c r="K29" s="4"/>
      <c r="L29" s="4"/>
    </row>
    <row r="30" spans="2:12" ht="12.75" thickBot="1" x14ac:dyDescent="0.25">
      <c r="B30" s="97">
        <f>Fluency!B13</f>
        <v>0</v>
      </c>
      <c r="C30" s="152" t="s">
        <v>16</v>
      </c>
      <c r="D30" s="153"/>
      <c r="E30" s="153"/>
      <c r="F30" s="4"/>
      <c r="G30" s="8"/>
      <c r="H30" s="7"/>
      <c r="I30" s="4"/>
      <c r="J30" s="4"/>
      <c r="K30" s="4"/>
      <c r="L30" s="4"/>
    </row>
    <row r="31" spans="2:12" x14ac:dyDescent="0.2">
      <c r="B31" s="95">
        <f>B33</f>
        <v>0</v>
      </c>
      <c r="E31" s="4"/>
      <c r="F31" s="4"/>
      <c r="G31" s="8"/>
      <c r="H31" s="7"/>
      <c r="I31" s="4"/>
      <c r="J31" s="4"/>
      <c r="K31" s="4"/>
      <c r="L31" s="4"/>
    </row>
    <row r="32" spans="2:12" ht="12.75" thickBot="1" x14ac:dyDescent="0.25">
      <c r="B32" s="95">
        <f>B33</f>
        <v>0</v>
      </c>
      <c r="C32" s="94" t="s">
        <v>140</v>
      </c>
      <c r="E32" s="4"/>
      <c r="F32" s="4"/>
      <c r="G32" s="8"/>
      <c r="H32" s="7"/>
      <c r="I32" s="4"/>
      <c r="J32" s="4"/>
      <c r="K32" s="4"/>
      <c r="L32" s="4"/>
    </row>
    <row r="33" spans="2:12" x14ac:dyDescent="0.2">
      <c r="B33" s="86">
        <f>Lindenboom!B9</f>
        <v>0</v>
      </c>
      <c r="C33" s="152" t="s">
        <v>141</v>
      </c>
      <c r="D33" s="155"/>
      <c r="E33" s="155"/>
      <c r="F33" s="19"/>
      <c r="G33" s="8"/>
      <c r="H33" s="7"/>
      <c r="I33" s="4"/>
      <c r="J33" s="4"/>
      <c r="K33" s="4"/>
      <c r="L33" s="4"/>
    </row>
    <row r="34" spans="2:12" ht="12.75" thickBot="1" x14ac:dyDescent="0.25">
      <c r="B34" s="57">
        <f>Lindenboom!B10</f>
        <v>0</v>
      </c>
      <c r="C34" s="152" t="s">
        <v>142</v>
      </c>
      <c r="D34" s="155"/>
      <c r="E34" s="155"/>
      <c r="F34" s="19"/>
      <c r="G34" s="4"/>
      <c r="H34" s="4"/>
      <c r="I34" s="4"/>
      <c r="J34" s="4"/>
      <c r="K34" s="4"/>
      <c r="L34" s="4"/>
    </row>
    <row r="35" spans="2:12" x14ac:dyDescent="0.2">
      <c r="B35" s="95">
        <f>B37</f>
        <v>0</v>
      </c>
      <c r="D35" s="4"/>
      <c r="E35" s="4"/>
      <c r="F35" s="4"/>
      <c r="G35" s="4"/>
      <c r="H35" s="4"/>
      <c r="I35" s="4"/>
      <c r="J35" s="4"/>
      <c r="K35" s="4"/>
      <c r="L35" s="4"/>
    </row>
    <row r="36" spans="2:12" ht="12.75" thickBot="1" x14ac:dyDescent="0.25">
      <c r="B36" s="95">
        <f>B37</f>
        <v>0</v>
      </c>
      <c r="C36" s="94" t="s">
        <v>143</v>
      </c>
      <c r="D36" s="4"/>
      <c r="E36" s="4"/>
      <c r="F36" s="4"/>
      <c r="G36" s="4"/>
      <c r="H36" s="4"/>
      <c r="I36" s="4"/>
      <c r="J36" s="4"/>
      <c r="K36" s="4"/>
      <c r="L36" s="4"/>
    </row>
    <row r="37" spans="2:12" ht="12.75" thickBot="1" x14ac:dyDescent="0.25">
      <c r="B37" s="88">
        <f>Lindenboom!B11</f>
        <v>0</v>
      </c>
      <c r="C37" s="152" t="s">
        <v>104</v>
      </c>
      <c r="D37" s="155"/>
      <c r="E37" s="155"/>
      <c r="F37" s="19"/>
      <c r="G37" s="4"/>
      <c r="H37" s="4"/>
      <c r="I37" s="4"/>
      <c r="J37" s="4"/>
      <c r="K37" s="4"/>
      <c r="L37" s="4"/>
    </row>
    <row r="38" spans="2:12" x14ac:dyDescent="0.2">
      <c r="B38" s="98">
        <f>B40</f>
        <v>0</v>
      </c>
      <c r="D38" s="4"/>
      <c r="E38" s="4"/>
      <c r="F38" s="4"/>
      <c r="G38" s="4"/>
      <c r="H38" s="4"/>
      <c r="I38" s="4"/>
      <c r="J38" s="4"/>
      <c r="K38" s="4"/>
      <c r="L38" s="4"/>
    </row>
    <row r="39" spans="2:12" ht="12.75" thickBot="1" x14ac:dyDescent="0.25">
      <c r="B39" s="98">
        <f>B40</f>
        <v>0</v>
      </c>
      <c r="C39" s="94" t="s">
        <v>105</v>
      </c>
      <c r="D39" s="4"/>
      <c r="E39" s="4"/>
      <c r="F39" s="4"/>
      <c r="G39" s="4"/>
      <c r="H39" s="4"/>
      <c r="I39" s="4"/>
      <c r="J39" s="4"/>
      <c r="K39" s="4"/>
      <c r="L39" s="4"/>
    </row>
    <row r="40" spans="2:12" ht="12.75" thickBot="1" x14ac:dyDescent="0.25">
      <c r="B40" s="97">
        <f>Lindenboom!B12</f>
        <v>0</v>
      </c>
      <c r="C40" s="152" t="s">
        <v>108</v>
      </c>
      <c r="D40" s="153"/>
      <c r="E40" s="153"/>
      <c r="F40" s="4"/>
      <c r="G40" s="4"/>
      <c r="H40" s="4"/>
      <c r="I40" s="4"/>
      <c r="J40" s="4"/>
      <c r="K40" s="4"/>
      <c r="L40" s="4"/>
    </row>
    <row r="41" spans="2:12" x14ac:dyDescent="0.2">
      <c r="B41" s="95">
        <f>B43</f>
        <v>0</v>
      </c>
      <c r="D41" s="4"/>
      <c r="E41" s="4"/>
      <c r="F41" s="4"/>
      <c r="G41" s="4"/>
      <c r="H41" s="4"/>
      <c r="I41" s="4"/>
      <c r="J41" s="4"/>
      <c r="K41" s="4"/>
      <c r="L41" s="4"/>
    </row>
    <row r="42" spans="2:12" ht="12.75" thickBot="1" x14ac:dyDescent="0.25">
      <c r="B42" s="95">
        <f>B43</f>
        <v>0</v>
      </c>
      <c r="C42" s="94" t="s">
        <v>144</v>
      </c>
    </row>
    <row r="43" spans="2:12" x14ac:dyDescent="0.2">
      <c r="B43" s="86">
        <f>LLT!B17</f>
        <v>0</v>
      </c>
      <c r="C43" s="170" t="s">
        <v>99</v>
      </c>
      <c r="D43" s="170"/>
      <c r="E43" s="170"/>
    </row>
    <row r="44" spans="2:12" x14ac:dyDescent="0.2">
      <c r="B44" s="99" t="str">
        <f>IF(B43=0,"0",LLT!B19)</f>
        <v>0</v>
      </c>
      <c r="C44" s="170" t="s">
        <v>100</v>
      </c>
      <c r="D44" s="170"/>
      <c r="E44" s="170"/>
    </row>
    <row r="45" spans="2:12" ht="12.75" thickBot="1" x14ac:dyDescent="0.25">
      <c r="B45" s="57">
        <f>LLT!B19</f>
        <v>0</v>
      </c>
      <c r="C45" s="170" t="s">
        <v>101</v>
      </c>
      <c r="D45" s="170"/>
      <c r="E45" s="170"/>
    </row>
    <row r="46" spans="2:12" x14ac:dyDescent="0.2">
      <c r="B46" s="95">
        <f>B48</f>
        <v>0</v>
      </c>
    </row>
    <row r="47" spans="2:12" ht="12.75" thickBot="1" x14ac:dyDescent="0.25">
      <c r="B47" s="95">
        <f>B48</f>
        <v>0</v>
      </c>
      <c r="C47" s="94" t="s">
        <v>147</v>
      </c>
    </row>
    <row r="48" spans="2:12" x14ac:dyDescent="0.2">
      <c r="B48" s="86">
        <f>RBMT!B9</f>
        <v>0</v>
      </c>
      <c r="C48" s="152" t="s">
        <v>145</v>
      </c>
      <c r="D48" s="155"/>
      <c r="E48" s="155"/>
      <c r="F48" s="19"/>
    </row>
    <row r="49" spans="2:6" x14ac:dyDescent="0.2">
      <c r="B49" s="87">
        <f>RBMT!B10</f>
        <v>0</v>
      </c>
      <c r="C49" s="152" t="s">
        <v>146</v>
      </c>
      <c r="D49" s="155"/>
      <c r="E49" s="155"/>
      <c r="F49" s="19"/>
    </row>
    <row r="50" spans="2:6" ht="12.75" thickBot="1" x14ac:dyDescent="0.25">
      <c r="B50" s="57" t="str">
        <f>IF(B48=0,"0",RBMT!B11)</f>
        <v>0</v>
      </c>
      <c r="C50" s="152" t="s">
        <v>64</v>
      </c>
      <c r="D50" s="155"/>
      <c r="E50" s="155"/>
    </row>
    <row r="51" spans="2:6" x14ac:dyDescent="0.2">
      <c r="B51" s="95">
        <f>B53</f>
        <v>0</v>
      </c>
    </row>
    <row r="52" spans="2:6" ht="12.75" thickBot="1" x14ac:dyDescent="0.25">
      <c r="B52" s="95">
        <f>B53</f>
        <v>0</v>
      </c>
      <c r="C52" s="94" t="s">
        <v>148</v>
      </c>
    </row>
    <row r="53" spans="2:6" x14ac:dyDescent="0.2">
      <c r="B53" s="86">
        <f>Stroop!B9</f>
        <v>0</v>
      </c>
      <c r="C53" s="152" t="s">
        <v>77</v>
      </c>
      <c r="D53" s="155"/>
      <c r="E53" s="155"/>
    </row>
    <row r="54" spans="2:6" x14ac:dyDescent="0.2">
      <c r="B54" s="87">
        <f>Stroop!B10</f>
        <v>0</v>
      </c>
      <c r="C54" s="152" t="s">
        <v>78</v>
      </c>
      <c r="D54" s="155"/>
      <c r="E54" s="155"/>
    </row>
    <row r="55" spans="2:6" ht="12.75" thickBot="1" x14ac:dyDescent="0.25">
      <c r="B55" s="57">
        <f>Stroop!B11</f>
        <v>0</v>
      </c>
      <c r="C55" s="152" t="s">
        <v>79</v>
      </c>
      <c r="D55" s="155"/>
      <c r="E55" s="155"/>
    </row>
    <row r="56" spans="2:6" x14ac:dyDescent="0.2">
      <c r="B56" s="95">
        <f>B58</f>
        <v>0</v>
      </c>
    </row>
    <row r="57" spans="2:6" ht="12.75" thickBot="1" x14ac:dyDescent="0.25">
      <c r="B57" s="95">
        <f>B58</f>
        <v>0</v>
      </c>
      <c r="C57" s="94" t="s">
        <v>53</v>
      </c>
    </row>
    <row r="58" spans="2:6" x14ac:dyDescent="0.2">
      <c r="B58" s="86">
        <f>'TMT-AB'!B9</f>
        <v>0</v>
      </c>
      <c r="C58" s="152" t="s">
        <v>54</v>
      </c>
      <c r="D58" s="155"/>
      <c r="E58" s="155"/>
    </row>
    <row r="59" spans="2:6" ht="12.75" thickBot="1" x14ac:dyDescent="0.25">
      <c r="B59" s="57">
        <f>'TMT-AB'!B10</f>
        <v>0</v>
      </c>
      <c r="C59" s="152" t="s">
        <v>55</v>
      </c>
      <c r="D59" s="155"/>
      <c r="E59" s="155"/>
    </row>
    <row r="60" spans="2:6" x14ac:dyDescent="0.2">
      <c r="B60" s="95">
        <f>B62</f>
        <v>0</v>
      </c>
    </row>
    <row r="61" spans="2:6" ht="12.75" thickBot="1" x14ac:dyDescent="0.25">
      <c r="B61" s="95">
        <f>B62</f>
        <v>0</v>
      </c>
      <c r="C61" s="94" t="s">
        <v>91</v>
      </c>
    </row>
    <row r="62" spans="2:6" x14ac:dyDescent="0.2">
      <c r="B62" s="86">
        <f>'TMT-ABC'!B8</f>
        <v>0</v>
      </c>
      <c r="C62" s="152" t="s">
        <v>85</v>
      </c>
      <c r="D62" s="155"/>
      <c r="E62" s="155"/>
    </row>
    <row r="63" spans="2:6" x14ac:dyDescent="0.2">
      <c r="B63" s="87">
        <f>'TMT-ABC'!B9</f>
        <v>0</v>
      </c>
      <c r="C63" s="152" t="s">
        <v>86</v>
      </c>
      <c r="D63" s="155"/>
      <c r="E63" s="155"/>
    </row>
    <row r="64" spans="2:6" ht="12.75" thickBot="1" x14ac:dyDescent="0.25">
      <c r="B64" s="57">
        <f>'TMT-ABC'!B10</f>
        <v>0</v>
      </c>
      <c r="C64" s="152" t="s">
        <v>87</v>
      </c>
      <c r="D64" s="155"/>
      <c r="E64" s="155"/>
    </row>
    <row r="65" spans="2:6" x14ac:dyDescent="0.2">
      <c r="B65" s="95">
        <f>B67</f>
        <v>0</v>
      </c>
    </row>
    <row r="66" spans="2:6" ht="12.75" thickBot="1" x14ac:dyDescent="0.25">
      <c r="B66" s="95">
        <f>B67</f>
        <v>0</v>
      </c>
      <c r="C66" s="94" t="s">
        <v>149</v>
      </c>
    </row>
    <row r="67" spans="2:6" x14ac:dyDescent="0.2">
      <c r="B67" s="86">
        <f>VAT!B9</f>
        <v>0</v>
      </c>
      <c r="C67" s="152" t="s">
        <v>151</v>
      </c>
      <c r="D67" s="155"/>
      <c r="E67" s="155"/>
      <c r="F67" s="19"/>
    </row>
    <row r="68" spans="2:6" x14ac:dyDescent="0.2">
      <c r="B68" s="87">
        <f>VAT!B10</f>
        <v>0</v>
      </c>
      <c r="C68" s="152" t="s">
        <v>152</v>
      </c>
      <c r="D68" s="155"/>
      <c r="E68" s="155"/>
      <c r="F68" s="19"/>
    </row>
    <row r="69" spans="2:6" x14ac:dyDescent="0.2">
      <c r="B69" s="87">
        <f>VAT!B11</f>
        <v>0</v>
      </c>
      <c r="C69" s="152" t="s">
        <v>153</v>
      </c>
      <c r="D69" s="155"/>
      <c r="E69" s="155"/>
      <c r="F69" s="19"/>
    </row>
    <row r="70" spans="2:6" x14ac:dyDescent="0.2">
      <c r="B70" s="87">
        <f>VAT!B12</f>
        <v>0</v>
      </c>
      <c r="C70" s="152" t="s">
        <v>154</v>
      </c>
      <c r="D70" s="155"/>
      <c r="E70" s="155"/>
      <c r="F70" s="19"/>
    </row>
    <row r="71" spans="2:6" x14ac:dyDescent="0.2">
      <c r="B71" s="87">
        <f>VAT!B13</f>
        <v>0</v>
      </c>
      <c r="C71" s="152" t="s">
        <v>155</v>
      </c>
      <c r="D71" s="155"/>
      <c r="E71" s="155"/>
      <c r="F71" s="19"/>
    </row>
    <row r="72" spans="2:6" ht="12.75" thickBot="1" x14ac:dyDescent="0.25">
      <c r="B72" s="57">
        <f>VAT!B14</f>
        <v>0</v>
      </c>
      <c r="C72" s="152" t="s">
        <v>156</v>
      </c>
      <c r="D72" s="155"/>
      <c r="E72" s="155"/>
      <c r="F72" s="19"/>
    </row>
  </sheetData>
  <autoFilter ref="B10:B74"/>
  <mergeCells count="37">
    <mergeCell ref="C16:E16"/>
    <mergeCell ref="C13:E13"/>
    <mergeCell ref="C12:E12"/>
    <mergeCell ref="C20:E20"/>
    <mergeCell ref="C21:E21"/>
    <mergeCell ref="C30:E30"/>
    <mergeCell ref="C27:E27"/>
    <mergeCell ref="C26:E26"/>
    <mergeCell ref="C25:E25"/>
    <mergeCell ref="C17:E17"/>
    <mergeCell ref="C22:E22"/>
    <mergeCell ref="C58:E58"/>
    <mergeCell ref="E1:F1"/>
    <mergeCell ref="H1:I1"/>
    <mergeCell ref="C53:E53"/>
    <mergeCell ref="C54:E54"/>
    <mergeCell ref="C55:E55"/>
    <mergeCell ref="C50:E50"/>
    <mergeCell ref="C49:E49"/>
    <mergeCell ref="C48:E48"/>
    <mergeCell ref="C40:E40"/>
    <mergeCell ref="C43:E43"/>
    <mergeCell ref="C44:E44"/>
    <mergeCell ref="C45:E45"/>
    <mergeCell ref="C37:E37"/>
    <mergeCell ref="C34:E34"/>
    <mergeCell ref="C33:E33"/>
    <mergeCell ref="C67:E67"/>
    <mergeCell ref="C64:E64"/>
    <mergeCell ref="C63:E63"/>
    <mergeCell ref="C62:E62"/>
    <mergeCell ref="C59:E59"/>
    <mergeCell ref="C72:E72"/>
    <mergeCell ref="C71:E71"/>
    <mergeCell ref="C70:E70"/>
    <mergeCell ref="C69:E69"/>
    <mergeCell ref="C68:E68"/>
  </mergeCells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workbookViewId="0">
      <selection activeCell="B10" sqref="B10"/>
    </sheetView>
  </sheetViews>
  <sheetFormatPr defaultRowHeight="12" x14ac:dyDescent="0.2"/>
  <cols>
    <col min="1" max="1" width="5.7109375" style="1" customWidth="1"/>
    <col min="2" max="4" width="9.28515625" style="1" customWidth="1"/>
    <col min="5" max="5" width="2.28515625" style="1" customWidth="1"/>
    <col min="6" max="6" width="26.7109375" style="1" customWidth="1"/>
    <col min="7" max="16384" width="9.140625" style="1"/>
  </cols>
  <sheetData>
    <row r="2" spans="1:17" ht="18.75" x14ac:dyDescent="0.3">
      <c r="B2" s="154" t="s">
        <v>41</v>
      </c>
      <c r="C2" s="154"/>
      <c r="D2" s="154"/>
      <c r="E2" s="154"/>
      <c r="F2" s="154"/>
      <c r="G2" s="148" t="s">
        <v>44</v>
      </c>
      <c r="H2" s="149"/>
      <c r="I2" s="149"/>
      <c r="J2" s="149"/>
      <c r="K2" s="149"/>
      <c r="L2" s="149"/>
      <c r="M2" s="149"/>
      <c r="N2" s="21"/>
      <c r="O2" s="21"/>
      <c r="P2" s="21"/>
      <c r="Q2" s="21"/>
    </row>
    <row r="3" spans="1:17" x14ac:dyDescent="0.2">
      <c r="G3" s="149"/>
      <c r="H3" s="149"/>
      <c r="I3" s="149"/>
      <c r="J3" s="149"/>
      <c r="K3" s="149"/>
      <c r="L3" s="149"/>
      <c r="M3" s="149"/>
      <c r="N3" s="21"/>
      <c r="O3" s="21"/>
      <c r="P3" s="21"/>
      <c r="Q3" s="21"/>
    </row>
    <row r="4" spans="1:17" x14ac:dyDescent="0.2">
      <c r="G4" s="149"/>
      <c r="H4" s="149"/>
      <c r="I4" s="149"/>
      <c r="J4" s="149"/>
      <c r="K4" s="149"/>
      <c r="L4" s="149"/>
      <c r="M4" s="149"/>
      <c r="N4" s="21"/>
      <c r="O4" s="21"/>
      <c r="P4" s="21"/>
      <c r="Q4" s="21"/>
    </row>
    <row r="5" spans="1:17" ht="12.75" thickBot="1" x14ac:dyDescent="0.25">
      <c r="G5" s="149"/>
      <c r="H5" s="149"/>
      <c r="I5" s="149"/>
      <c r="J5" s="149"/>
      <c r="K5" s="149"/>
      <c r="L5" s="149"/>
      <c r="M5" s="149"/>
      <c r="N5" s="21"/>
      <c r="O5" s="21"/>
      <c r="P5" s="21"/>
      <c r="Q5" s="21"/>
    </row>
    <row r="6" spans="1:17" x14ac:dyDescent="0.2">
      <c r="B6" s="46">
        <f>Demografisch!B2</f>
        <v>0</v>
      </c>
      <c r="C6" s="152" t="s">
        <v>0</v>
      </c>
      <c r="D6" s="153"/>
      <c r="G6" s="149"/>
      <c r="H6" s="149"/>
      <c r="I6" s="149"/>
      <c r="J6" s="149"/>
      <c r="K6" s="149"/>
      <c r="L6" s="149"/>
      <c r="M6" s="149"/>
      <c r="N6" s="21"/>
      <c r="O6" s="21"/>
      <c r="P6" s="21"/>
      <c r="Q6" s="21"/>
    </row>
    <row r="7" spans="1:17" x14ac:dyDescent="0.2">
      <c r="B7" s="47">
        <f>Demografisch!B3</f>
        <v>0</v>
      </c>
      <c r="C7" s="152" t="s">
        <v>1</v>
      </c>
      <c r="D7" s="153"/>
      <c r="G7" s="149"/>
      <c r="H7" s="149"/>
      <c r="I7" s="149"/>
      <c r="J7" s="149"/>
      <c r="K7" s="149"/>
      <c r="L7" s="149"/>
      <c r="M7" s="149"/>
      <c r="N7" s="21"/>
      <c r="O7" s="21"/>
      <c r="P7" s="21"/>
      <c r="Q7" s="21"/>
    </row>
    <row r="8" spans="1:17" x14ac:dyDescent="0.2">
      <c r="B8" s="43">
        <v>0</v>
      </c>
      <c r="C8" s="152" t="s">
        <v>42</v>
      </c>
      <c r="D8" s="153"/>
      <c r="G8" s="149"/>
      <c r="H8" s="149"/>
      <c r="I8" s="149"/>
      <c r="J8" s="149"/>
      <c r="K8" s="149"/>
      <c r="L8" s="149"/>
      <c r="M8" s="149"/>
      <c r="N8" s="21"/>
      <c r="O8" s="21"/>
      <c r="P8" s="21"/>
      <c r="Q8" s="21"/>
    </row>
    <row r="9" spans="1:17" ht="12.75" thickBot="1" x14ac:dyDescent="0.25">
      <c r="B9" s="44">
        <v>0</v>
      </c>
      <c r="C9" s="152" t="s">
        <v>43</v>
      </c>
      <c r="D9" s="153"/>
      <c r="G9" s="149"/>
      <c r="H9" s="149"/>
      <c r="I9" s="149"/>
      <c r="J9" s="149"/>
      <c r="K9" s="149"/>
      <c r="L9" s="149"/>
      <c r="M9" s="149"/>
      <c r="N9" s="21"/>
      <c r="O9" s="21"/>
      <c r="P9" s="21"/>
      <c r="Q9" s="21"/>
    </row>
    <row r="10" spans="1:17" x14ac:dyDescent="0.2">
      <c r="B10" s="18"/>
      <c r="C10" s="19"/>
      <c r="D10" s="20"/>
      <c r="G10" s="149"/>
      <c r="H10" s="149"/>
      <c r="I10" s="149"/>
      <c r="J10" s="149"/>
      <c r="K10" s="149"/>
      <c r="L10" s="149"/>
      <c r="M10" s="149"/>
      <c r="N10" s="21"/>
      <c r="O10" s="21"/>
      <c r="P10" s="21"/>
      <c r="Q10" s="21"/>
    </row>
    <row r="11" spans="1:17" x14ac:dyDescent="0.2">
      <c r="B11" s="18"/>
      <c r="C11" s="19"/>
      <c r="D11" s="20"/>
      <c r="G11" s="149"/>
      <c r="H11" s="149"/>
      <c r="I11" s="149"/>
      <c r="J11" s="149"/>
      <c r="K11" s="149"/>
      <c r="L11" s="149"/>
      <c r="M11" s="149"/>
      <c r="N11" s="21"/>
      <c r="O11" s="21"/>
      <c r="P11" s="21"/>
      <c r="Q11" s="21"/>
    </row>
    <row r="12" spans="1:17" x14ac:dyDescent="0.2">
      <c r="A12" s="22"/>
      <c r="B12" s="74" t="s">
        <v>21</v>
      </c>
      <c r="C12" s="25"/>
      <c r="D12" s="26"/>
      <c r="E12" s="22"/>
      <c r="F12" s="1" t="s">
        <v>24</v>
      </c>
      <c r="G12" s="22"/>
      <c r="H12" s="22"/>
      <c r="I12" s="22"/>
      <c r="J12" s="22"/>
      <c r="K12" s="22"/>
      <c r="L12" s="22"/>
      <c r="M12" s="22"/>
      <c r="N12" s="21"/>
      <c r="O12" s="21"/>
      <c r="P12" s="21"/>
      <c r="Q12" s="21"/>
    </row>
    <row r="13" spans="1:17" x14ac:dyDescent="0.2">
      <c r="A13" s="22"/>
      <c r="B13" s="50">
        <f>ROUND(50 + 2.7 * (B8 - (52 + 0.65 * B7 - 0.33 * B6)),0)</f>
        <v>-90</v>
      </c>
      <c r="C13" s="150" t="s">
        <v>42</v>
      </c>
      <c r="D13" s="151"/>
      <c r="E13" s="11"/>
      <c r="F13" s="11" t="s">
        <v>45</v>
      </c>
      <c r="G13" s="22"/>
      <c r="H13" s="22"/>
      <c r="I13" s="22"/>
      <c r="J13" s="22"/>
      <c r="K13" s="22"/>
      <c r="L13" s="22"/>
      <c r="M13" s="22"/>
      <c r="N13" s="21"/>
      <c r="O13" s="21"/>
      <c r="P13" s="21"/>
      <c r="Q13" s="21"/>
    </row>
    <row r="14" spans="1:17" x14ac:dyDescent="0.2">
      <c r="A14" s="22"/>
      <c r="B14" s="50">
        <f>ROUND(50 + 6.9 * (B9- (0.25 * B8 - 1.9)),0)</f>
        <v>63</v>
      </c>
      <c r="C14" s="150" t="s">
        <v>43</v>
      </c>
      <c r="D14" s="151"/>
      <c r="E14" s="11"/>
      <c r="F14" s="11" t="s">
        <v>46</v>
      </c>
      <c r="G14" s="22"/>
      <c r="H14" s="22"/>
      <c r="I14" s="22"/>
      <c r="J14" s="22"/>
      <c r="K14" s="22"/>
      <c r="L14" s="22"/>
      <c r="M14" s="22"/>
      <c r="N14" s="21"/>
      <c r="O14" s="21"/>
      <c r="P14" s="21"/>
      <c r="Q14" s="21"/>
    </row>
    <row r="15" spans="1:17" x14ac:dyDescent="0.2">
      <c r="A15" s="22"/>
      <c r="B15" s="23"/>
      <c r="C15" s="24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1"/>
      <c r="O15" s="21"/>
      <c r="P15" s="21"/>
      <c r="Q15" s="21"/>
    </row>
    <row r="16" spans="1:17" x14ac:dyDescent="0.2">
      <c r="A16" s="22"/>
      <c r="B16" s="23"/>
      <c r="C16" s="24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1"/>
      <c r="O16" s="21"/>
      <c r="P16" s="21"/>
      <c r="Q16" s="21"/>
    </row>
    <row r="17" spans="1:17" x14ac:dyDescent="0.2">
      <c r="A17" s="22"/>
      <c r="B17" s="26"/>
      <c r="C17" s="26"/>
      <c r="D17" s="26"/>
      <c r="E17" s="22"/>
      <c r="F17" s="22"/>
      <c r="G17" s="22"/>
      <c r="H17" s="22"/>
      <c r="I17" s="22"/>
      <c r="J17" s="22"/>
      <c r="K17" s="22"/>
      <c r="L17" s="22"/>
      <c r="M17" s="22"/>
      <c r="N17" s="21"/>
      <c r="O17" s="21"/>
      <c r="P17" s="21"/>
      <c r="Q17" s="21"/>
    </row>
    <row r="18" spans="1:17" x14ac:dyDescent="0.2">
      <c r="A18" s="22"/>
      <c r="B18" s="23"/>
      <c r="C18" s="24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1"/>
      <c r="O18" s="21"/>
      <c r="P18" s="21"/>
      <c r="Q18" s="21"/>
    </row>
    <row r="19" spans="1:17" x14ac:dyDescent="0.2">
      <c r="A19" s="22"/>
      <c r="B19" s="23"/>
      <c r="C19" s="24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1"/>
      <c r="O19" s="21"/>
      <c r="P19" s="21"/>
      <c r="Q19" s="21"/>
    </row>
    <row r="20" spans="1:17" x14ac:dyDescent="0.2">
      <c r="A20" s="22"/>
      <c r="B20" s="26"/>
      <c r="C20" s="26"/>
      <c r="D20" s="26"/>
      <c r="E20" s="22"/>
      <c r="F20" s="22"/>
      <c r="G20" s="22"/>
      <c r="H20" s="22"/>
      <c r="I20" s="22"/>
      <c r="J20" s="22"/>
      <c r="K20" s="22"/>
      <c r="L20" s="22"/>
      <c r="M20" s="22"/>
      <c r="N20" s="21"/>
      <c r="O20" s="21"/>
      <c r="P20" s="21"/>
      <c r="Q20" s="21"/>
    </row>
    <row r="21" spans="1:17" x14ac:dyDescent="0.2">
      <c r="A21" s="22"/>
      <c r="B21" s="23"/>
      <c r="C21" s="24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1"/>
      <c r="O21" s="21"/>
      <c r="P21" s="21"/>
      <c r="Q21" s="21"/>
    </row>
    <row r="22" spans="1:17" x14ac:dyDescent="0.2">
      <c r="A22" s="22"/>
      <c r="B22" s="26"/>
      <c r="C22" s="26"/>
      <c r="D22" s="26"/>
      <c r="E22" s="22"/>
      <c r="F22" s="22"/>
      <c r="G22" s="22"/>
      <c r="H22" s="22"/>
      <c r="I22" s="22"/>
      <c r="J22" s="22"/>
      <c r="K22" s="22"/>
      <c r="L22" s="22"/>
      <c r="M22" s="22"/>
      <c r="N22" s="21"/>
      <c r="O22" s="21"/>
      <c r="P22" s="21"/>
      <c r="Q22" s="21"/>
    </row>
    <row r="23" spans="1:17" x14ac:dyDescent="0.2">
      <c r="A23" s="22"/>
      <c r="B23" s="23"/>
      <c r="C23" s="24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1"/>
      <c r="O23" s="21"/>
      <c r="P23" s="21"/>
      <c r="Q23" s="21"/>
    </row>
    <row r="24" spans="1:17" x14ac:dyDescent="0.2">
      <c r="A24" s="22"/>
      <c r="B24" s="23"/>
      <c r="C24" s="24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1"/>
      <c r="O24" s="21"/>
      <c r="P24" s="21"/>
      <c r="Q24" s="21"/>
    </row>
    <row r="25" spans="1:17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1"/>
      <c r="O25" s="21"/>
      <c r="P25" s="21"/>
      <c r="Q25" s="21"/>
    </row>
    <row r="26" spans="1:17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1"/>
      <c r="O26" s="21"/>
      <c r="P26" s="21"/>
      <c r="Q26" s="21"/>
    </row>
    <row r="27" spans="1:17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1"/>
      <c r="O27" s="21"/>
      <c r="P27" s="21"/>
      <c r="Q27" s="21"/>
    </row>
    <row r="28" spans="1:17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1"/>
      <c r="O28" s="21"/>
      <c r="P28" s="21"/>
      <c r="Q28" s="21"/>
    </row>
    <row r="29" spans="1:17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1"/>
      <c r="O29" s="21"/>
      <c r="P29" s="21"/>
      <c r="Q29" s="21"/>
    </row>
    <row r="30" spans="1:17" x14ac:dyDescent="0.2">
      <c r="B30" s="146" t="s">
        <v>40</v>
      </c>
      <c r="C30" s="147"/>
      <c r="E30" s="144" t="s">
        <v>9</v>
      </c>
      <c r="F30" s="145"/>
      <c r="N30" s="21"/>
      <c r="O30" s="21"/>
      <c r="P30" s="21"/>
      <c r="Q30" s="21"/>
    </row>
    <row r="31" spans="1:17" x14ac:dyDescent="0.2">
      <c r="B31" s="12" t="s">
        <v>21</v>
      </c>
      <c r="C31" s="13" t="s">
        <v>32</v>
      </c>
      <c r="E31" s="2">
        <v>1</v>
      </c>
      <c r="F31" s="5" t="s">
        <v>2</v>
      </c>
    </row>
    <row r="32" spans="1:17" x14ac:dyDescent="0.2">
      <c r="B32" s="14">
        <v>70</v>
      </c>
      <c r="C32" s="15" t="s">
        <v>33</v>
      </c>
      <c r="E32" s="2">
        <v>2</v>
      </c>
      <c r="F32" s="5" t="s">
        <v>3</v>
      </c>
    </row>
    <row r="33" spans="2:6" x14ac:dyDescent="0.2">
      <c r="B33" s="14">
        <v>60</v>
      </c>
      <c r="C33" s="15" t="s">
        <v>34</v>
      </c>
      <c r="E33" s="2">
        <v>3</v>
      </c>
      <c r="F33" s="5" t="s">
        <v>4</v>
      </c>
    </row>
    <row r="34" spans="2:6" x14ac:dyDescent="0.2">
      <c r="B34" s="14">
        <v>50</v>
      </c>
      <c r="C34" s="15" t="s">
        <v>35</v>
      </c>
      <c r="E34" s="2">
        <v>4</v>
      </c>
      <c r="F34" s="5" t="s">
        <v>5</v>
      </c>
    </row>
    <row r="35" spans="2:6" x14ac:dyDescent="0.2">
      <c r="B35" s="14">
        <v>40</v>
      </c>
      <c r="C35" s="15" t="s">
        <v>36</v>
      </c>
      <c r="E35" s="2">
        <v>5</v>
      </c>
      <c r="F35" s="5" t="s">
        <v>6</v>
      </c>
    </row>
    <row r="36" spans="2:6" x14ac:dyDescent="0.2">
      <c r="B36" s="14">
        <v>33</v>
      </c>
      <c r="C36" s="15" t="s">
        <v>37</v>
      </c>
      <c r="E36" s="2">
        <v>6</v>
      </c>
      <c r="F36" s="5" t="s">
        <v>7</v>
      </c>
    </row>
    <row r="37" spans="2:6" x14ac:dyDescent="0.2">
      <c r="B37" s="14">
        <v>30</v>
      </c>
      <c r="C37" s="15" t="s">
        <v>38</v>
      </c>
      <c r="E37" s="3">
        <v>7</v>
      </c>
      <c r="F37" s="6" t="s">
        <v>8</v>
      </c>
    </row>
    <row r="38" spans="2:6" x14ac:dyDescent="0.2">
      <c r="B38" s="16">
        <v>27</v>
      </c>
      <c r="C38" s="17" t="s">
        <v>39</v>
      </c>
    </row>
  </sheetData>
  <mergeCells count="10">
    <mergeCell ref="B30:C30"/>
    <mergeCell ref="E30:F30"/>
    <mergeCell ref="G2:M11"/>
    <mergeCell ref="C14:D14"/>
    <mergeCell ref="C7:D7"/>
    <mergeCell ref="C13:D13"/>
    <mergeCell ref="C6:D6"/>
    <mergeCell ref="C8:D8"/>
    <mergeCell ref="C9:D9"/>
    <mergeCell ref="B2:F2"/>
  </mergeCells>
  <pageMargins left="0.7" right="0.7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B11" sqref="B11"/>
    </sheetView>
  </sheetViews>
  <sheetFormatPr defaultRowHeight="15" x14ac:dyDescent="0.25"/>
  <cols>
    <col min="1" max="1" width="5.7109375" style="1" customWidth="1"/>
    <col min="2" max="4" width="9.28515625" style="1" customWidth="1"/>
    <col min="5" max="5" width="2.28515625" style="1" customWidth="1"/>
    <col min="6" max="6" width="26.7109375" style="1" bestFit="1" customWidth="1"/>
    <col min="7" max="13" width="9.140625" style="1"/>
    <col min="15" max="22" width="9.140625" style="33"/>
  </cols>
  <sheetData>
    <row r="1" spans="2:23" ht="12" customHeight="1" x14ac:dyDescent="0.25"/>
    <row r="2" spans="2:23" ht="18.75" customHeight="1" x14ac:dyDescent="0.3">
      <c r="B2" s="154" t="s">
        <v>49</v>
      </c>
      <c r="C2" s="154"/>
      <c r="D2" s="154"/>
      <c r="E2" s="154"/>
      <c r="F2" s="154"/>
      <c r="G2" s="156" t="s">
        <v>48</v>
      </c>
      <c r="H2" s="156"/>
      <c r="I2" s="156"/>
      <c r="J2" s="156"/>
      <c r="K2" s="156"/>
      <c r="L2" s="156"/>
      <c r="M2" s="156"/>
    </row>
    <row r="3" spans="2:23" ht="12" customHeight="1" x14ac:dyDescent="0.25">
      <c r="G3" s="156"/>
      <c r="H3" s="156"/>
      <c r="I3" s="156"/>
      <c r="J3" s="156"/>
      <c r="K3" s="156"/>
      <c r="L3" s="156"/>
      <c r="M3" s="156"/>
      <c r="O3" s="29"/>
      <c r="P3" s="29"/>
      <c r="Q3" s="29"/>
      <c r="R3" s="29"/>
      <c r="S3" s="29"/>
      <c r="T3" s="29"/>
      <c r="U3" s="29"/>
    </row>
    <row r="4" spans="2:23" ht="12" customHeight="1" x14ac:dyDescent="0.25">
      <c r="G4" s="156"/>
      <c r="H4" s="156"/>
      <c r="I4" s="156"/>
      <c r="J4" s="156"/>
      <c r="K4" s="156"/>
      <c r="L4" s="156"/>
      <c r="M4" s="156"/>
      <c r="O4" s="29"/>
      <c r="P4" s="29"/>
      <c r="Q4" s="29"/>
      <c r="R4" s="29"/>
      <c r="S4" s="29"/>
      <c r="T4" s="29"/>
      <c r="U4" s="29"/>
    </row>
    <row r="5" spans="2:23" ht="12" customHeight="1" thickBot="1" x14ac:dyDescent="0.3">
      <c r="G5" s="156"/>
      <c r="H5" s="156"/>
      <c r="I5" s="156"/>
      <c r="J5" s="156"/>
      <c r="K5" s="156"/>
      <c r="L5" s="156"/>
      <c r="M5" s="156"/>
      <c r="O5" s="31"/>
      <c r="P5" s="31"/>
      <c r="Q5" s="29"/>
      <c r="R5" s="29"/>
      <c r="S5" s="30"/>
      <c r="U5" s="29"/>
    </row>
    <row r="6" spans="2:23" ht="12" customHeight="1" x14ac:dyDescent="0.25">
      <c r="B6" s="46">
        <f>Demografisch!B2</f>
        <v>0</v>
      </c>
      <c r="C6" s="152" t="s">
        <v>10</v>
      </c>
      <c r="D6" s="155"/>
      <c r="G6" s="156"/>
      <c r="H6" s="156"/>
      <c r="I6" s="156"/>
      <c r="J6" s="156"/>
      <c r="K6" s="156"/>
      <c r="L6" s="156"/>
      <c r="M6" s="156"/>
      <c r="O6" s="31"/>
      <c r="P6" s="31"/>
      <c r="Q6" s="29"/>
      <c r="R6" s="29"/>
      <c r="S6" s="30"/>
      <c r="U6" s="29"/>
    </row>
    <row r="7" spans="2:23" ht="12" customHeight="1" x14ac:dyDescent="0.25">
      <c r="B7" s="47">
        <f>Demografisch!B3</f>
        <v>0</v>
      </c>
      <c r="C7" s="152" t="s">
        <v>0</v>
      </c>
      <c r="D7" s="155"/>
      <c r="G7" s="156"/>
      <c r="H7" s="156"/>
      <c r="I7" s="156"/>
      <c r="J7" s="156"/>
      <c r="K7" s="156"/>
      <c r="L7" s="156"/>
      <c r="M7" s="156"/>
      <c r="O7" s="31"/>
      <c r="P7" s="31"/>
      <c r="Q7" s="31"/>
      <c r="R7" s="31"/>
      <c r="S7" s="30"/>
      <c r="T7" s="31"/>
      <c r="U7" s="29"/>
    </row>
    <row r="8" spans="2:23" ht="12" customHeight="1" x14ac:dyDescent="0.25">
      <c r="B8" s="47">
        <f>Demografisch!B4</f>
        <v>0</v>
      </c>
      <c r="C8" s="152" t="s">
        <v>1</v>
      </c>
      <c r="D8" s="155"/>
      <c r="G8" s="156"/>
      <c r="H8" s="156"/>
      <c r="I8" s="156"/>
      <c r="J8" s="156"/>
      <c r="K8" s="156"/>
      <c r="L8" s="156"/>
      <c r="M8" s="156"/>
      <c r="O8" s="51"/>
      <c r="P8" s="51"/>
      <c r="Q8" s="31"/>
      <c r="R8" s="31"/>
      <c r="S8" s="30"/>
      <c r="T8" s="31"/>
      <c r="U8" s="29"/>
    </row>
    <row r="9" spans="2:23" ht="12" customHeight="1" x14ac:dyDescent="0.25">
      <c r="B9" s="43"/>
      <c r="C9" s="152" t="s">
        <v>42</v>
      </c>
      <c r="D9" s="155"/>
      <c r="G9" s="156"/>
      <c r="H9" s="156"/>
      <c r="I9" s="156"/>
      <c r="J9" s="156"/>
      <c r="K9" s="156"/>
      <c r="L9" s="156"/>
      <c r="M9" s="156"/>
      <c r="O9" s="51"/>
      <c r="P9" s="51"/>
      <c r="Q9" s="31"/>
      <c r="R9" s="31"/>
      <c r="S9" s="30"/>
      <c r="T9" s="31"/>
      <c r="U9" s="29"/>
    </row>
    <row r="10" spans="2:23" ht="12" customHeight="1" thickBot="1" x14ac:dyDescent="0.3">
      <c r="B10" s="44"/>
      <c r="C10" s="152" t="s">
        <v>43</v>
      </c>
      <c r="D10" s="155"/>
      <c r="E10" s="9"/>
      <c r="G10" s="156"/>
      <c r="H10" s="156"/>
      <c r="I10" s="156"/>
      <c r="J10" s="156"/>
      <c r="K10" s="156"/>
      <c r="L10" s="156"/>
      <c r="M10" s="156"/>
      <c r="O10" s="51"/>
      <c r="P10" s="51"/>
      <c r="Q10" s="31"/>
      <c r="R10" s="31"/>
      <c r="S10" s="30"/>
      <c r="T10" s="31"/>
      <c r="U10" s="29"/>
    </row>
    <row r="11" spans="2:23" ht="12" customHeight="1" x14ac:dyDescent="0.25">
      <c r="B11" s="18"/>
      <c r="C11" s="155"/>
      <c r="D11" s="155"/>
      <c r="E11" s="9"/>
      <c r="G11" s="156"/>
      <c r="H11" s="156"/>
      <c r="I11" s="156"/>
      <c r="J11" s="156"/>
      <c r="K11" s="156"/>
      <c r="L11" s="156"/>
      <c r="M11" s="156"/>
      <c r="O11" s="51"/>
      <c r="P11" s="51"/>
      <c r="Q11" s="31"/>
      <c r="R11" s="31"/>
      <c r="S11" s="30"/>
      <c r="T11" s="31"/>
      <c r="U11" s="29"/>
    </row>
    <row r="12" spans="2:23" ht="12" customHeight="1" x14ac:dyDescent="0.25">
      <c r="B12" s="18"/>
      <c r="C12" s="155"/>
      <c r="D12" s="155"/>
      <c r="E12" s="9"/>
      <c r="O12" s="51"/>
      <c r="P12" s="51"/>
      <c r="Q12" s="32"/>
      <c r="R12" s="32"/>
      <c r="S12" s="32"/>
      <c r="T12" s="35"/>
      <c r="U12" s="36"/>
      <c r="V12" s="37"/>
      <c r="W12" s="38"/>
    </row>
    <row r="13" spans="2:23" ht="12" customHeight="1" x14ac:dyDescent="0.25">
      <c r="B13" s="39" t="s">
        <v>21</v>
      </c>
      <c r="C13" s="73" t="s">
        <v>22</v>
      </c>
      <c r="F13" s="1" t="s">
        <v>24</v>
      </c>
      <c r="O13" s="51"/>
      <c r="P13" s="51"/>
      <c r="Q13" s="32"/>
      <c r="R13" s="32"/>
      <c r="S13" s="32"/>
      <c r="T13" s="32"/>
      <c r="U13" s="36"/>
      <c r="V13" s="37"/>
      <c r="W13" s="38"/>
    </row>
    <row r="14" spans="2:23" ht="12" customHeight="1" x14ac:dyDescent="0.25">
      <c r="B14" s="48">
        <f>ROUND(50+10 / 7.972*(B9 - (28.39+3.23*B6+4.65*B8- 0.022 * B7 - 0.031*B7*B8 -0.0021*(POWER((B7-41),2)))),0)</f>
        <v>19</v>
      </c>
      <c r="C14" s="49">
        <f>ROUND(100*NORMDIST(B14,50,10,TRUE),0)</f>
        <v>0</v>
      </c>
      <c r="D14" s="11" t="s">
        <v>50</v>
      </c>
      <c r="E14" s="11"/>
      <c r="F14" s="11" t="s">
        <v>69</v>
      </c>
      <c r="O14" s="32"/>
      <c r="P14" s="32"/>
      <c r="Q14" s="34"/>
      <c r="R14" s="32"/>
      <c r="S14" s="32"/>
      <c r="T14" s="32"/>
      <c r="U14" s="36"/>
      <c r="V14" s="37"/>
      <c r="W14" s="38"/>
    </row>
    <row r="15" spans="2:23" ht="12" customHeight="1" x14ac:dyDescent="0.25">
      <c r="B15" s="48">
        <f>ROUND(50 + 10 / 2.572 * (B10 - (1.625+ 0.843*B6 + 1.876 * B8 + 0.05*B7 - 0.02 * B7*B8)),0)</f>
        <v>44</v>
      </c>
      <c r="C15" s="49">
        <f>ROUND(100*NORMDIST(B15,50,10,TRUE),0)</f>
        <v>27</v>
      </c>
      <c r="D15" s="11" t="s">
        <v>43</v>
      </c>
      <c r="E15" s="11"/>
      <c r="F15" s="11" t="s">
        <v>69</v>
      </c>
      <c r="O15" s="32"/>
      <c r="P15" s="32"/>
      <c r="Q15" s="34"/>
      <c r="R15" s="32"/>
      <c r="S15" s="32"/>
      <c r="T15" s="32"/>
      <c r="U15" s="36"/>
      <c r="V15" s="37"/>
      <c r="W15" s="38"/>
    </row>
    <row r="16" spans="2:23" ht="12" customHeight="1" x14ac:dyDescent="0.25">
      <c r="B16" s="48">
        <f>ROUND(50 + 10 / 1.673 * (B10 - (0.259 * B9 - 2.182)),0)</f>
        <v>63</v>
      </c>
      <c r="C16" s="49">
        <f>ROUND(100*NORMDIST(B16,50,10,TRUE),0)</f>
        <v>90</v>
      </c>
      <c r="D16" s="40" t="s">
        <v>43</v>
      </c>
      <c r="E16" s="11"/>
      <c r="F16" s="11" t="s">
        <v>46</v>
      </c>
      <c r="O16" s="32"/>
      <c r="P16" s="32"/>
      <c r="Q16" s="34"/>
      <c r="R16" s="32"/>
      <c r="S16" s="32"/>
      <c r="T16" s="32"/>
      <c r="U16" s="36"/>
      <c r="V16" s="37"/>
      <c r="W16" s="38"/>
    </row>
    <row r="17" spans="2:23" ht="12" customHeight="1" x14ac:dyDescent="0.25">
      <c r="O17" s="32"/>
      <c r="P17" s="32"/>
      <c r="Q17" s="34"/>
      <c r="R17" s="32"/>
      <c r="S17" s="32"/>
      <c r="T17" s="32"/>
      <c r="U17" s="36"/>
      <c r="V17" s="37"/>
      <c r="W17" s="38"/>
    </row>
    <row r="18" spans="2:23" ht="12" customHeight="1" x14ac:dyDescent="0.25">
      <c r="O18" s="32"/>
      <c r="P18" s="32"/>
      <c r="Q18" s="34"/>
      <c r="R18" s="32"/>
      <c r="S18" s="32"/>
      <c r="T18" s="32"/>
      <c r="U18" s="36"/>
      <c r="V18" s="37"/>
      <c r="W18" s="38"/>
    </row>
    <row r="19" spans="2:23" ht="12" customHeight="1" x14ac:dyDescent="0.25">
      <c r="O19" s="32"/>
      <c r="P19" s="32"/>
      <c r="Q19" s="34"/>
      <c r="R19" s="32"/>
      <c r="S19" s="32"/>
      <c r="T19" s="32"/>
      <c r="U19" s="36"/>
      <c r="V19" s="37"/>
      <c r="W19" s="38"/>
    </row>
    <row r="20" spans="2:23" ht="12" customHeight="1" x14ac:dyDescent="0.25">
      <c r="O20" s="32"/>
      <c r="P20" s="32"/>
      <c r="Q20" s="34"/>
      <c r="R20" s="32"/>
      <c r="S20" s="32"/>
      <c r="T20" s="32"/>
      <c r="U20" s="36"/>
      <c r="V20" s="37"/>
      <c r="W20" s="38"/>
    </row>
    <row r="21" spans="2:23" ht="12" customHeight="1" x14ac:dyDescent="0.25">
      <c r="B21" s="23"/>
      <c r="C21" s="24"/>
      <c r="D21" s="22"/>
      <c r="E21" s="22"/>
      <c r="F21" s="22"/>
      <c r="O21" s="32"/>
      <c r="P21" s="32"/>
      <c r="Q21" s="32"/>
      <c r="R21" s="32"/>
      <c r="S21" s="32"/>
      <c r="T21" s="32"/>
      <c r="U21" s="36"/>
      <c r="V21" s="37"/>
      <c r="W21" s="38"/>
    </row>
    <row r="22" spans="2:23" ht="12" customHeight="1" x14ac:dyDescent="0.25">
      <c r="B22" s="153" t="s">
        <v>51</v>
      </c>
      <c r="C22" s="153"/>
      <c r="D22" s="153"/>
      <c r="E22" s="153"/>
      <c r="F22" s="153"/>
      <c r="G22" s="153"/>
      <c r="O22" s="32"/>
      <c r="P22" s="32"/>
      <c r="Q22" s="32"/>
      <c r="R22" s="32"/>
      <c r="S22" s="32"/>
      <c r="T22" s="32"/>
      <c r="U22" s="36"/>
      <c r="V22" s="37"/>
      <c r="W22" s="38"/>
    </row>
    <row r="23" spans="2:23" ht="12" customHeight="1" x14ac:dyDescent="0.25">
      <c r="B23" s="39" t="s">
        <v>21</v>
      </c>
      <c r="C23" s="39" t="s">
        <v>22</v>
      </c>
      <c r="F23" s="1" t="s">
        <v>24</v>
      </c>
      <c r="O23" s="32"/>
      <c r="P23" s="32"/>
      <c r="Q23" s="32"/>
      <c r="R23" s="32"/>
      <c r="S23" s="32"/>
      <c r="T23" s="32"/>
      <c r="U23" s="36"/>
      <c r="V23" s="37"/>
      <c r="W23" s="38"/>
    </row>
    <row r="24" spans="2:23" ht="12" customHeight="1" x14ac:dyDescent="0.25">
      <c r="B24" s="48">
        <f>ROUND(50 + 1.23 * (B9 - (36.9 + 4.44 * B6 + 2.2 * B8 - 0.222 * B7)),0)</f>
        <v>5</v>
      </c>
      <c r="C24" s="48">
        <f>ROUND(100*NORMDIST(B24,50,10,TRUE),0)</f>
        <v>0</v>
      </c>
      <c r="D24" s="11" t="s">
        <v>50</v>
      </c>
      <c r="E24" s="11"/>
      <c r="F24" s="11" t="s">
        <v>69</v>
      </c>
      <c r="O24" s="32"/>
      <c r="P24" s="32"/>
      <c r="Q24" s="34"/>
      <c r="R24" s="34"/>
      <c r="S24" s="32"/>
      <c r="T24" s="32"/>
      <c r="U24" s="36"/>
      <c r="V24" s="37"/>
      <c r="W24" s="38"/>
    </row>
    <row r="25" spans="2:23" ht="12" customHeight="1" x14ac:dyDescent="0.25">
      <c r="B25" s="48">
        <f>ROUND(50 + 3.66 * (B10 - (5.73 + 1.11 * B6 - 0.04 * B7 + 0.77 * B8)),0)</f>
        <v>29</v>
      </c>
      <c r="C25" s="48">
        <f>ROUND(100*NORMDIST(B25,50,10,TRUE),0)</f>
        <v>2</v>
      </c>
      <c r="D25" s="11" t="s">
        <v>43</v>
      </c>
      <c r="E25" s="11"/>
      <c r="F25" s="11" t="s">
        <v>69</v>
      </c>
      <c r="O25" s="32"/>
      <c r="P25" s="32"/>
      <c r="Q25" s="34"/>
      <c r="R25" s="34"/>
      <c r="S25" s="32"/>
      <c r="T25" s="32"/>
      <c r="U25" s="36"/>
      <c r="V25" s="37"/>
      <c r="W25" s="38"/>
    </row>
    <row r="26" spans="2:23" ht="12" customHeight="1" x14ac:dyDescent="0.25">
      <c r="B26" s="48">
        <f>ROUND(50 + 5.49 * (B10 - (0.25 * B9 - 1.71)),0)</f>
        <v>59</v>
      </c>
      <c r="C26" s="48">
        <f>ROUND(100*NORMDIST(B26,50,10,TRUE),0)</f>
        <v>82</v>
      </c>
      <c r="D26" s="40" t="s">
        <v>43</v>
      </c>
      <c r="E26" s="11"/>
      <c r="F26" s="11" t="s">
        <v>46</v>
      </c>
      <c r="O26" s="32"/>
      <c r="P26" s="32"/>
      <c r="Q26" s="34"/>
      <c r="R26" s="34"/>
      <c r="S26" s="32"/>
      <c r="T26" s="32"/>
      <c r="U26" s="36"/>
      <c r="V26" s="37"/>
      <c r="W26" s="38"/>
    </row>
    <row r="27" spans="2:23" ht="12" customHeight="1" x14ac:dyDescent="0.25">
      <c r="B27" s="23"/>
      <c r="C27" s="24"/>
      <c r="D27" s="22"/>
      <c r="E27" s="22"/>
      <c r="F27" s="22"/>
      <c r="O27" s="32"/>
      <c r="P27" s="32"/>
      <c r="Q27" s="34"/>
      <c r="R27" s="34"/>
      <c r="S27" s="32"/>
      <c r="T27" s="32"/>
      <c r="U27" s="36"/>
      <c r="V27" s="37"/>
      <c r="W27" s="38"/>
    </row>
    <row r="28" spans="2:23" ht="12" customHeight="1" x14ac:dyDescent="0.25">
      <c r="O28" s="32"/>
      <c r="P28" s="32"/>
      <c r="Q28" s="34"/>
      <c r="R28" s="34"/>
      <c r="S28" s="32"/>
      <c r="T28" s="32"/>
      <c r="U28" s="36"/>
      <c r="V28" s="37"/>
      <c r="W28" s="38"/>
    </row>
    <row r="29" spans="2:23" ht="12" customHeight="1" x14ac:dyDescent="0.25">
      <c r="O29" s="36"/>
      <c r="P29" s="36"/>
      <c r="Q29" s="34"/>
      <c r="R29" s="34"/>
      <c r="S29" s="32"/>
      <c r="T29" s="32"/>
      <c r="U29" s="36"/>
      <c r="V29" s="37"/>
      <c r="W29" s="38"/>
    </row>
    <row r="30" spans="2:23" ht="12" customHeight="1" x14ac:dyDescent="0.25">
      <c r="B30" s="146" t="s">
        <v>40</v>
      </c>
      <c r="C30" s="147"/>
      <c r="E30" s="144" t="s">
        <v>9</v>
      </c>
      <c r="F30" s="145"/>
      <c r="O30" s="36"/>
      <c r="P30" s="36"/>
      <c r="Q30" s="34"/>
      <c r="R30" s="34"/>
      <c r="S30" s="32"/>
      <c r="T30" s="32"/>
      <c r="U30" s="36"/>
      <c r="V30" s="37"/>
      <c r="W30" s="38"/>
    </row>
    <row r="31" spans="2:23" ht="12" customHeight="1" x14ac:dyDescent="0.25">
      <c r="B31" s="12" t="s">
        <v>21</v>
      </c>
      <c r="C31" s="13" t="s">
        <v>32</v>
      </c>
      <c r="E31" s="2">
        <v>1</v>
      </c>
      <c r="F31" s="5" t="s">
        <v>2</v>
      </c>
      <c r="O31" s="36"/>
      <c r="P31" s="36"/>
      <c r="Q31" s="32"/>
      <c r="R31" s="32"/>
      <c r="S31" s="32"/>
      <c r="T31" s="32"/>
      <c r="U31" s="36"/>
      <c r="V31" s="37"/>
      <c r="W31" s="38"/>
    </row>
    <row r="32" spans="2:23" ht="12" customHeight="1" x14ac:dyDescent="0.25">
      <c r="B32" s="14">
        <v>70</v>
      </c>
      <c r="C32" s="15" t="s">
        <v>33</v>
      </c>
      <c r="E32" s="2">
        <v>2</v>
      </c>
      <c r="F32" s="5" t="s">
        <v>3</v>
      </c>
      <c r="Q32" s="32"/>
      <c r="R32" s="32"/>
      <c r="S32" s="32"/>
      <c r="T32" s="32"/>
      <c r="U32" s="36"/>
      <c r="V32" s="37"/>
      <c r="W32" s="38"/>
    </row>
    <row r="33" spans="2:23" ht="12" customHeight="1" x14ac:dyDescent="0.25">
      <c r="B33" s="14">
        <v>60</v>
      </c>
      <c r="C33" s="15" t="s">
        <v>34</v>
      </c>
      <c r="E33" s="2">
        <v>3</v>
      </c>
      <c r="F33" s="5" t="s">
        <v>4</v>
      </c>
      <c r="Q33" s="36"/>
      <c r="R33" s="36"/>
      <c r="S33" s="36"/>
      <c r="T33" s="36"/>
      <c r="U33" s="36"/>
      <c r="V33" s="37"/>
      <c r="W33" s="38"/>
    </row>
    <row r="34" spans="2:23" ht="12" customHeight="1" x14ac:dyDescent="0.25">
      <c r="B34" s="14">
        <v>50</v>
      </c>
      <c r="C34" s="15" t="s">
        <v>35</v>
      </c>
      <c r="E34" s="2">
        <v>4</v>
      </c>
      <c r="F34" s="5" t="s">
        <v>5</v>
      </c>
      <c r="Q34" s="36"/>
      <c r="R34" s="36"/>
      <c r="S34" s="36"/>
      <c r="T34" s="36"/>
      <c r="U34" s="36"/>
      <c r="V34" s="37"/>
      <c r="W34" s="38"/>
    </row>
    <row r="35" spans="2:23" ht="12" customHeight="1" x14ac:dyDescent="0.25">
      <c r="B35" s="14">
        <v>40</v>
      </c>
      <c r="C35" s="15" t="s">
        <v>36</v>
      </c>
      <c r="E35" s="2">
        <v>5</v>
      </c>
      <c r="F35" s="5" t="s">
        <v>6</v>
      </c>
      <c r="Q35" s="36"/>
      <c r="R35" s="36"/>
      <c r="S35" s="36"/>
      <c r="T35" s="36"/>
      <c r="U35" s="36"/>
      <c r="V35" s="37"/>
      <c r="W35" s="38"/>
    </row>
    <row r="36" spans="2:23" ht="12" customHeight="1" x14ac:dyDescent="0.25">
      <c r="B36" s="14">
        <v>33</v>
      </c>
      <c r="C36" s="15" t="s">
        <v>37</v>
      </c>
      <c r="E36" s="2">
        <v>6</v>
      </c>
      <c r="F36" s="5" t="s">
        <v>7</v>
      </c>
      <c r="O36" s="37"/>
      <c r="P36" s="37"/>
      <c r="Q36" s="37"/>
      <c r="R36" s="37"/>
      <c r="S36" s="36"/>
      <c r="T36" s="36"/>
      <c r="U36" s="36"/>
      <c r="V36" s="37"/>
      <c r="W36" s="38"/>
    </row>
    <row r="37" spans="2:23" ht="12" customHeight="1" x14ac:dyDescent="0.25">
      <c r="B37" s="14">
        <v>30</v>
      </c>
      <c r="C37" s="15" t="s">
        <v>38</v>
      </c>
      <c r="E37" s="3">
        <v>7</v>
      </c>
      <c r="F37" s="6" t="s">
        <v>8</v>
      </c>
      <c r="O37" s="37"/>
      <c r="P37" s="37"/>
      <c r="Q37" s="37"/>
      <c r="R37" s="37"/>
      <c r="S37" s="37"/>
      <c r="T37" s="37"/>
      <c r="U37" s="37"/>
      <c r="V37" s="37"/>
      <c r="W37" s="38"/>
    </row>
    <row r="38" spans="2:23" ht="12" customHeight="1" x14ac:dyDescent="0.25">
      <c r="B38" s="16">
        <v>27</v>
      </c>
      <c r="C38" s="17" t="s">
        <v>39</v>
      </c>
      <c r="O38" s="37"/>
      <c r="P38" s="37"/>
      <c r="Q38" s="37"/>
      <c r="R38" s="37"/>
      <c r="S38" s="37"/>
      <c r="T38" s="37"/>
      <c r="U38" s="37"/>
      <c r="V38" s="37"/>
      <c r="W38" s="38"/>
    </row>
    <row r="39" spans="2:23" ht="12" customHeight="1" x14ac:dyDescent="0.25">
      <c r="O39" s="37"/>
      <c r="P39" s="37"/>
      <c r="Q39" s="37"/>
      <c r="R39" s="37"/>
      <c r="S39" s="37"/>
      <c r="T39" s="37"/>
      <c r="U39" s="37"/>
      <c r="V39" s="37"/>
      <c r="W39" s="38"/>
    </row>
    <row r="40" spans="2:23" ht="12" customHeight="1" x14ac:dyDescent="0.25">
      <c r="O40" s="37"/>
      <c r="P40" s="37"/>
      <c r="Q40" s="37"/>
      <c r="R40" s="37"/>
      <c r="S40" s="37"/>
      <c r="T40" s="37"/>
      <c r="U40" s="37"/>
      <c r="V40" s="37"/>
      <c r="W40" s="38"/>
    </row>
    <row r="41" spans="2:23" ht="12" customHeight="1" x14ac:dyDescent="0.25"/>
    <row r="42" spans="2:23" ht="12" customHeight="1" x14ac:dyDescent="0.25"/>
    <row r="43" spans="2:23" ht="12" customHeight="1" x14ac:dyDescent="0.25"/>
    <row r="44" spans="2:23" ht="12" customHeight="1" x14ac:dyDescent="0.25"/>
  </sheetData>
  <mergeCells count="12">
    <mergeCell ref="B30:C30"/>
    <mergeCell ref="E30:F30"/>
    <mergeCell ref="B2:F2"/>
    <mergeCell ref="B22:G22"/>
    <mergeCell ref="C12:D12"/>
    <mergeCell ref="G2:M11"/>
    <mergeCell ref="C6:D6"/>
    <mergeCell ref="C7:D7"/>
    <mergeCell ref="C8:D8"/>
    <mergeCell ref="C9:D9"/>
    <mergeCell ref="C10:D10"/>
    <mergeCell ref="C11:D11"/>
  </mergeCells>
  <pageMargins left="0.7" right="0.7" top="0.75" bottom="0.75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W36"/>
  <sheetViews>
    <sheetView workbookViewId="0">
      <selection activeCell="B12" sqref="B12"/>
    </sheetView>
  </sheetViews>
  <sheetFormatPr defaultRowHeight="12" x14ac:dyDescent="0.2"/>
  <cols>
    <col min="1" max="1" width="5.7109375" style="1" customWidth="1"/>
    <col min="2" max="4" width="9.28515625" style="1" customWidth="1"/>
    <col min="5" max="5" width="2.28515625" style="1" customWidth="1"/>
    <col min="6" max="6" width="26.7109375" style="1" bestFit="1" customWidth="1"/>
    <col min="7" max="9" width="9.140625" style="1"/>
    <col min="10" max="10" width="12.42578125" style="1" bestFit="1" customWidth="1"/>
    <col min="11" max="16384" width="9.140625" style="1"/>
  </cols>
  <sheetData>
    <row r="2" spans="2:23" ht="18.75" customHeight="1" x14ac:dyDescent="0.3">
      <c r="B2" s="154" t="s">
        <v>118</v>
      </c>
      <c r="C2" s="154"/>
      <c r="D2" s="154"/>
      <c r="E2" s="154"/>
      <c r="F2" s="154"/>
      <c r="G2" s="157"/>
      <c r="H2" s="158"/>
      <c r="I2" s="158"/>
      <c r="J2" s="158"/>
      <c r="K2" s="158"/>
      <c r="L2" s="158"/>
      <c r="M2" s="158"/>
    </row>
    <row r="3" spans="2:23" ht="12" customHeight="1" x14ac:dyDescent="0.25">
      <c r="B3" s="82"/>
      <c r="C3" s="82"/>
      <c r="D3" s="82"/>
      <c r="E3" s="82"/>
      <c r="F3" s="82"/>
      <c r="G3" s="158"/>
      <c r="H3" s="158"/>
      <c r="I3" s="158"/>
      <c r="J3" s="158"/>
      <c r="K3" s="158"/>
      <c r="L3" s="158"/>
      <c r="M3" s="158"/>
    </row>
    <row r="4" spans="2:23" x14ac:dyDescent="0.2">
      <c r="G4" s="158"/>
      <c r="H4" s="158"/>
      <c r="I4" s="158"/>
      <c r="J4" s="158"/>
      <c r="K4" s="158"/>
      <c r="L4" s="158"/>
      <c r="M4" s="158"/>
    </row>
    <row r="5" spans="2:23" x14ac:dyDescent="0.2">
      <c r="G5" s="158"/>
      <c r="H5" s="158"/>
      <c r="I5" s="158"/>
      <c r="J5" s="158"/>
      <c r="K5" s="158"/>
      <c r="L5" s="158"/>
      <c r="M5" s="158"/>
    </row>
    <row r="6" spans="2:23" x14ac:dyDescent="0.2">
      <c r="B6" s="63"/>
      <c r="C6" s="19"/>
      <c r="D6" s="20"/>
      <c r="G6" s="158"/>
      <c r="H6" s="158"/>
      <c r="I6" s="158"/>
      <c r="J6" s="158"/>
      <c r="K6" s="158"/>
      <c r="L6" s="158"/>
      <c r="M6" s="158"/>
    </row>
    <row r="7" spans="2:23" x14ac:dyDescent="0.2">
      <c r="B7" s="63"/>
      <c r="C7" s="19"/>
      <c r="D7" s="20"/>
      <c r="G7" s="158"/>
      <c r="H7" s="158"/>
      <c r="I7" s="158"/>
      <c r="J7" s="158"/>
      <c r="K7" s="158"/>
      <c r="L7" s="158"/>
      <c r="M7" s="158"/>
    </row>
    <row r="8" spans="2:23" ht="12.75" thickBot="1" x14ac:dyDescent="0.25">
      <c r="B8" s="63"/>
      <c r="C8" s="19"/>
      <c r="D8" s="20"/>
      <c r="G8" s="158"/>
      <c r="H8" s="158"/>
      <c r="I8" s="158"/>
      <c r="J8" s="158"/>
      <c r="K8" s="158"/>
      <c r="L8" s="158"/>
      <c r="M8" s="158"/>
    </row>
    <row r="9" spans="2:23" x14ac:dyDescent="0.2">
      <c r="B9" s="42"/>
      <c r="C9" s="152" t="s">
        <v>114</v>
      </c>
      <c r="D9" s="155"/>
      <c r="E9" s="155"/>
      <c r="F9" s="19"/>
      <c r="G9" s="158"/>
      <c r="H9" s="158"/>
      <c r="I9" s="158"/>
      <c r="J9" s="158"/>
      <c r="K9" s="158"/>
      <c r="L9" s="158"/>
      <c r="M9" s="158"/>
    </row>
    <row r="10" spans="2:23" x14ac:dyDescent="0.2">
      <c r="B10" s="43"/>
      <c r="C10" s="152" t="s">
        <v>115</v>
      </c>
      <c r="D10" s="155"/>
      <c r="E10" s="155"/>
      <c r="F10" s="19"/>
      <c r="G10" s="158"/>
      <c r="H10" s="158"/>
      <c r="I10" s="158"/>
      <c r="J10" s="158"/>
      <c r="K10" s="158"/>
      <c r="L10" s="158"/>
      <c r="M10" s="158"/>
    </row>
    <row r="11" spans="2:23" ht="12.75" thickBot="1" x14ac:dyDescent="0.25">
      <c r="B11" s="44"/>
      <c r="C11" s="152" t="s">
        <v>116</v>
      </c>
      <c r="D11" s="155"/>
      <c r="E11" s="155"/>
      <c r="G11" s="158"/>
      <c r="H11" s="158"/>
      <c r="I11" s="158"/>
      <c r="J11" s="158"/>
      <c r="K11" s="158"/>
      <c r="L11" s="158"/>
      <c r="M11" s="158"/>
    </row>
    <row r="12" spans="2:23" x14ac:dyDescent="0.2">
      <c r="B12" s="58"/>
      <c r="C12" s="19"/>
      <c r="D12" s="20"/>
      <c r="E12" s="9"/>
    </row>
    <row r="13" spans="2:23" x14ac:dyDescent="0.2">
      <c r="B13" s="58"/>
      <c r="C13" s="155"/>
      <c r="D13" s="153"/>
      <c r="E13" s="10"/>
    </row>
    <row r="14" spans="2:23" x14ac:dyDescent="0.2">
      <c r="B14" s="39" t="s">
        <v>117</v>
      </c>
      <c r="C14" s="39"/>
      <c r="D14" s="39"/>
      <c r="F14" s="1" t="s">
        <v>24</v>
      </c>
      <c r="G14" s="26"/>
      <c r="H14" s="26"/>
      <c r="I14" s="26"/>
      <c r="J14" s="22"/>
    </row>
    <row r="15" spans="2:23" x14ac:dyDescent="0.2">
      <c r="B15" s="48" t="str">
        <f>IF(B11=5,(IF(B9&lt;125,10),(IF(AND(B9&gt;124,B9&lt;154),9),(IF(AND(B9&gt;153,B9&lt;171),8),(IF(AND(B9&gt;170,B9&lt;203),7),(IF(AND(B9&gt;202,B9&lt;227),6),(IF(AND(B9&gt;226,B9&lt;261),5),(IF(AND(B9&gt;260,B9&lt;290),4),(IF(AND(B9&gt;289,B9&lt;359),3),(IF(AND(B9&gt;358,B9&lt;483),2),(IF(B9&gt;482,1))))))))))),"x")</f>
        <v>x</v>
      </c>
      <c r="C15" s="151" t="s">
        <v>119</v>
      </c>
      <c r="D15" s="151"/>
      <c r="E15" s="151"/>
      <c r="F15" s="11" t="s">
        <v>136</v>
      </c>
      <c r="G15" s="26"/>
      <c r="H15" s="26" t="s">
        <v>121</v>
      </c>
      <c r="I15" s="26">
        <v>10</v>
      </c>
      <c r="J15" s="83">
        <v>0</v>
      </c>
    </row>
    <row r="16" spans="2:23" x14ac:dyDescent="0.2">
      <c r="B16" s="48" t="str">
        <f>IF(B11=5,(IF(B10=0,10,(IF(B10=1,"8-9"),(IF(B10=2,"6-7"),(IF(B10=3,"4-6"),(IF(B10=4,"3-4"),(IF(B10=5,3,(IF(B10=6,2),(IF(B10=7,2),(IF(B10&gt;7,1)))))))))))),"x")</f>
        <v>x</v>
      </c>
      <c r="C16" s="151" t="s">
        <v>120</v>
      </c>
      <c r="D16" s="151"/>
      <c r="E16" s="151"/>
      <c r="F16" s="11" t="s">
        <v>136</v>
      </c>
      <c r="G16" s="26"/>
      <c r="H16" s="26" t="s">
        <v>122</v>
      </c>
      <c r="I16" s="26">
        <v>9</v>
      </c>
      <c r="J16" s="83">
        <v>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2:23" x14ac:dyDescent="0.2">
      <c r="B17" s="48"/>
      <c r="C17" s="151" t="s">
        <v>119</v>
      </c>
      <c r="D17" s="151"/>
      <c r="E17" s="151"/>
      <c r="F17" s="40" t="s">
        <v>137</v>
      </c>
      <c r="G17" s="26"/>
      <c r="H17" s="26" t="s">
        <v>123</v>
      </c>
      <c r="I17" s="26">
        <v>8</v>
      </c>
      <c r="J17" s="83">
        <v>1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2:23" x14ac:dyDescent="0.2">
      <c r="B18" s="78"/>
      <c r="C18" s="151" t="s">
        <v>120</v>
      </c>
      <c r="D18" s="151"/>
      <c r="E18" s="151"/>
      <c r="F18" s="80" t="s">
        <v>137</v>
      </c>
      <c r="H18" s="21" t="s">
        <v>124</v>
      </c>
      <c r="I18" s="26">
        <v>7</v>
      </c>
      <c r="J18" s="84">
        <v>2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2:23" x14ac:dyDescent="0.2">
      <c r="B19" s="59"/>
      <c r="C19" s="59"/>
      <c r="D19" s="59"/>
      <c r="E19" s="61"/>
      <c r="F19" s="61"/>
      <c r="H19" s="21" t="s">
        <v>125</v>
      </c>
      <c r="I19" s="26">
        <v>6</v>
      </c>
      <c r="J19" s="85" t="s">
        <v>131</v>
      </c>
      <c r="K19" s="21"/>
      <c r="L19" s="21"/>
      <c r="M19" s="21"/>
    </row>
    <row r="20" spans="2:23" x14ac:dyDescent="0.2">
      <c r="B20" s="62"/>
      <c r="C20" s="62"/>
      <c r="D20" s="62"/>
      <c r="E20" s="61"/>
      <c r="F20" s="61"/>
      <c r="H20" s="1" t="s">
        <v>130</v>
      </c>
      <c r="I20" s="26">
        <v>5</v>
      </c>
      <c r="J20" s="84">
        <v>3</v>
      </c>
      <c r="K20" s="21"/>
      <c r="L20" s="21"/>
      <c r="M20" s="21"/>
    </row>
    <row r="21" spans="2:23" x14ac:dyDescent="0.2">
      <c r="B21" s="59"/>
      <c r="C21" s="59"/>
      <c r="D21" s="59"/>
      <c r="E21" s="61"/>
      <c r="F21" s="61"/>
      <c r="H21" s="21" t="s">
        <v>126</v>
      </c>
      <c r="I21" s="26">
        <v>4</v>
      </c>
      <c r="J21" s="84" t="s">
        <v>132</v>
      </c>
      <c r="K21" s="21"/>
      <c r="L21" s="21"/>
      <c r="M21" s="21"/>
    </row>
    <row r="22" spans="2:23" x14ac:dyDescent="0.2">
      <c r="B22" s="59"/>
      <c r="C22" s="60"/>
      <c r="D22" s="59"/>
      <c r="E22" s="61"/>
      <c r="F22" s="61"/>
      <c r="H22" s="21" t="s">
        <v>127</v>
      </c>
      <c r="I22" s="26">
        <v>3</v>
      </c>
      <c r="J22" s="84" t="s">
        <v>133</v>
      </c>
      <c r="K22" s="21"/>
      <c r="L22" s="21"/>
      <c r="M22" s="21"/>
    </row>
    <row r="23" spans="2:23" x14ac:dyDescent="0.2">
      <c r="B23" s="62"/>
      <c r="C23" s="62"/>
      <c r="D23" s="62"/>
      <c r="E23" s="61"/>
      <c r="F23" s="61"/>
      <c r="H23" s="21" t="s">
        <v>128</v>
      </c>
      <c r="I23" s="26">
        <v>2</v>
      </c>
      <c r="J23" s="84" t="s">
        <v>134</v>
      </c>
      <c r="K23" s="21"/>
      <c r="L23" s="21"/>
      <c r="M23" s="21"/>
    </row>
    <row r="24" spans="2:23" x14ac:dyDescent="0.2">
      <c r="B24" s="59"/>
      <c r="C24" s="60"/>
      <c r="D24" s="59"/>
      <c r="E24" s="61"/>
      <c r="F24" s="61"/>
      <c r="H24" s="21" t="s">
        <v>129</v>
      </c>
      <c r="I24" s="26">
        <v>1</v>
      </c>
      <c r="J24" s="84" t="s">
        <v>135</v>
      </c>
      <c r="K24" s="21"/>
      <c r="L24" s="21"/>
      <c r="M24" s="21"/>
    </row>
    <row r="25" spans="2:23" x14ac:dyDescent="0.2">
      <c r="B25" s="62"/>
      <c r="C25" s="62"/>
      <c r="D25" s="62"/>
      <c r="E25" s="61"/>
      <c r="F25" s="61"/>
      <c r="H25" s="21"/>
      <c r="I25" s="21"/>
      <c r="J25" s="84"/>
      <c r="K25" s="21"/>
      <c r="L25" s="21"/>
      <c r="M25" s="21"/>
    </row>
    <row r="26" spans="2:23" x14ac:dyDescent="0.2">
      <c r="B26" s="59"/>
      <c r="C26" s="60"/>
      <c r="D26" s="59"/>
      <c r="E26" s="61"/>
      <c r="F26" s="61"/>
      <c r="H26" s="21"/>
      <c r="I26" s="21"/>
      <c r="J26" s="21"/>
      <c r="K26" s="21"/>
      <c r="L26" s="21"/>
      <c r="M26" s="21"/>
    </row>
    <row r="27" spans="2:23" x14ac:dyDescent="0.2">
      <c r="B27" s="59"/>
      <c r="C27" s="60"/>
      <c r="D27" s="59"/>
      <c r="E27" s="61"/>
      <c r="F27" s="61"/>
      <c r="H27" s="21"/>
      <c r="I27" s="21"/>
      <c r="J27" s="21"/>
      <c r="K27" s="21"/>
      <c r="L27" s="21"/>
      <c r="M27" s="21"/>
    </row>
    <row r="28" spans="2:23" x14ac:dyDescent="0.2">
      <c r="H28" s="21"/>
      <c r="I28" s="21"/>
      <c r="J28" s="21"/>
      <c r="K28" s="21"/>
      <c r="L28" s="21"/>
      <c r="M28" s="21"/>
    </row>
    <row r="29" spans="2:23" x14ac:dyDescent="0.2">
      <c r="H29" s="21"/>
      <c r="I29" s="21"/>
      <c r="J29" s="21"/>
      <c r="K29" s="21"/>
      <c r="L29" s="21"/>
      <c r="M29" s="21"/>
    </row>
    <row r="30" spans="2:23" x14ac:dyDescent="0.2">
      <c r="H30" s="21"/>
      <c r="I30" s="21"/>
      <c r="J30" s="21"/>
      <c r="K30" s="21"/>
      <c r="L30" s="21"/>
      <c r="M30" s="21"/>
    </row>
    <row r="31" spans="2:23" x14ac:dyDescent="0.2">
      <c r="H31" s="21"/>
      <c r="I31" s="21"/>
      <c r="J31" s="21"/>
      <c r="K31" s="21"/>
      <c r="L31" s="21"/>
      <c r="M31" s="21"/>
    </row>
    <row r="32" spans="2:23" x14ac:dyDescent="0.2">
      <c r="H32" s="21"/>
      <c r="I32" s="21"/>
      <c r="J32" s="21"/>
      <c r="K32" s="21"/>
      <c r="L32" s="21"/>
      <c r="M32" s="21"/>
    </row>
    <row r="33" spans="8:23" x14ac:dyDescent="0.2">
      <c r="H33" s="21"/>
      <c r="I33" s="21"/>
      <c r="J33" s="21"/>
      <c r="K33" s="21"/>
      <c r="L33" s="21"/>
      <c r="M33" s="21"/>
    </row>
    <row r="34" spans="8:23" ht="15" x14ac:dyDescent="0.25">
      <c r="H34" s="21"/>
      <c r="I34" s="21"/>
      <c r="J34" s="33"/>
      <c r="K34" s="33"/>
      <c r="L34" s="33"/>
      <c r="M34" s="33"/>
      <c r="N34" s="33"/>
      <c r="O34" s="33"/>
      <c r="P34" s="33"/>
      <c r="Q34" s="33"/>
      <c r="R34" s="21"/>
      <c r="S34" s="21"/>
      <c r="T34" s="21"/>
      <c r="U34" s="21"/>
      <c r="V34" s="21"/>
      <c r="W34" s="21"/>
    </row>
    <row r="35" spans="8:23" ht="15" x14ac:dyDescent="0.25">
      <c r="H35" s="21"/>
      <c r="I35" s="21"/>
      <c r="J35" s="33"/>
      <c r="K35" s="33"/>
      <c r="L35" s="33"/>
      <c r="M35" s="33"/>
      <c r="N35" s="33"/>
      <c r="O35" s="33"/>
      <c r="P35" s="33"/>
      <c r="Q35" s="33"/>
      <c r="R35" s="21"/>
      <c r="S35" s="21"/>
      <c r="T35" s="21"/>
      <c r="U35" s="21"/>
      <c r="V35" s="21"/>
      <c r="W35" s="21"/>
    </row>
    <row r="36" spans="8:23" ht="15" x14ac:dyDescent="0.25">
      <c r="J36"/>
      <c r="K36"/>
      <c r="L36"/>
      <c r="M36"/>
      <c r="N36"/>
      <c r="O36"/>
      <c r="P36"/>
      <c r="Q36"/>
    </row>
  </sheetData>
  <mergeCells count="10">
    <mergeCell ref="C17:E17"/>
    <mergeCell ref="C18:E18"/>
    <mergeCell ref="C13:D13"/>
    <mergeCell ref="B2:F2"/>
    <mergeCell ref="G2:M11"/>
    <mergeCell ref="C11:E11"/>
    <mergeCell ref="C10:E10"/>
    <mergeCell ref="C9:E9"/>
    <mergeCell ref="C15:E15"/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workbookViewId="0">
      <selection activeCell="G1" sqref="G1:M1048576"/>
    </sheetView>
  </sheetViews>
  <sheetFormatPr defaultRowHeight="12" x14ac:dyDescent="0.2"/>
  <cols>
    <col min="1" max="1" width="5.7109375" style="1" customWidth="1"/>
    <col min="2" max="4" width="9.28515625" style="1" customWidth="1"/>
    <col min="5" max="5" width="2.28515625" style="1" customWidth="1"/>
    <col min="6" max="6" width="26.7109375" style="1" bestFit="1" customWidth="1"/>
    <col min="7" max="16384" width="9.140625" style="1"/>
  </cols>
  <sheetData>
    <row r="2" spans="2:13" ht="18.75" customHeight="1" x14ac:dyDescent="0.3">
      <c r="B2" s="154" t="s">
        <v>11</v>
      </c>
      <c r="C2" s="154"/>
      <c r="D2" s="154"/>
      <c r="E2" s="154"/>
      <c r="F2" s="154"/>
      <c r="G2" s="156" t="s">
        <v>47</v>
      </c>
      <c r="H2" s="149"/>
      <c r="I2" s="149"/>
      <c r="J2" s="149"/>
      <c r="K2" s="149"/>
      <c r="L2" s="149"/>
      <c r="M2" s="149"/>
    </row>
    <row r="3" spans="2:13" x14ac:dyDescent="0.2">
      <c r="G3" s="149"/>
      <c r="H3" s="149"/>
      <c r="I3" s="149"/>
      <c r="J3" s="149"/>
      <c r="K3" s="149"/>
      <c r="L3" s="149"/>
      <c r="M3" s="149"/>
    </row>
    <row r="4" spans="2:13" x14ac:dyDescent="0.2">
      <c r="G4" s="149"/>
      <c r="H4" s="149"/>
      <c r="I4" s="149"/>
      <c r="J4" s="149"/>
      <c r="K4" s="149"/>
      <c r="L4" s="149"/>
      <c r="M4" s="149"/>
    </row>
    <row r="5" spans="2:13" ht="12.75" thickBot="1" x14ac:dyDescent="0.25">
      <c r="G5" s="149"/>
      <c r="H5" s="149"/>
      <c r="I5" s="149"/>
      <c r="J5" s="149"/>
      <c r="K5" s="149"/>
      <c r="L5" s="149"/>
      <c r="M5" s="149"/>
    </row>
    <row r="6" spans="2:13" x14ac:dyDescent="0.2">
      <c r="B6" s="46">
        <f>Demografisch!B2</f>
        <v>0</v>
      </c>
      <c r="C6" s="152" t="s">
        <v>10</v>
      </c>
      <c r="D6" s="153"/>
      <c r="G6" s="149"/>
      <c r="H6" s="149"/>
      <c r="I6" s="149"/>
      <c r="J6" s="149"/>
      <c r="K6" s="149"/>
      <c r="L6" s="149"/>
      <c r="M6" s="149"/>
    </row>
    <row r="7" spans="2:13" x14ac:dyDescent="0.2">
      <c r="B7" s="47">
        <f>Demografisch!B3</f>
        <v>0</v>
      </c>
      <c r="C7" s="152" t="s">
        <v>0</v>
      </c>
      <c r="D7" s="153"/>
      <c r="G7" s="149"/>
      <c r="H7" s="149"/>
      <c r="I7" s="149"/>
      <c r="J7" s="149"/>
      <c r="K7" s="149"/>
      <c r="L7" s="149"/>
      <c r="M7" s="149"/>
    </row>
    <row r="8" spans="2:13" x14ac:dyDescent="0.2">
      <c r="B8" s="47">
        <f>Demografisch!B4</f>
        <v>0</v>
      </c>
      <c r="C8" s="152" t="s">
        <v>1</v>
      </c>
      <c r="D8" s="153"/>
      <c r="G8" s="149"/>
      <c r="H8" s="149"/>
      <c r="I8" s="149"/>
      <c r="J8" s="149"/>
      <c r="K8" s="149"/>
      <c r="L8" s="149"/>
      <c r="M8" s="149"/>
    </row>
    <row r="9" spans="2:13" x14ac:dyDescent="0.2">
      <c r="B9" s="47">
        <f>Demografisch!B6</f>
        <v>0</v>
      </c>
      <c r="C9" s="152" t="s">
        <v>12</v>
      </c>
      <c r="D9" s="153"/>
      <c r="G9" s="149"/>
      <c r="H9" s="149"/>
      <c r="I9" s="149"/>
      <c r="J9" s="149"/>
      <c r="K9" s="149"/>
      <c r="L9" s="149"/>
      <c r="M9" s="149"/>
    </row>
    <row r="10" spans="2:13" x14ac:dyDescent="0.2">
      <c r="B10" s="43"/>
      <c r="C10" s="152" t="s">
        <v>13</v>
      </c>
      <c r="D10" s="153"/>
      <c r="E10" s="9" t="s">
        <v>17</v>
      </c>
      <c r="G10" s="149"/>
      <c r="H10" s="149"/>
      <c r="I10" s="149"/>
      <c r="J10" s="149"/>
      <c r="K10" s="149"/>
      <c r="L10" s="149"/>
      <c r="M10" s="149"/>
    </row>
    <row r="11" spans="2:13" x14ac:dyDescent="0.2">
      <c r="B11" s="43"/>
      <c r="C11" s="152" t="s">
        <v>14</v>
      </c>
      <c r="D11" s="153"/>
      <c r="E11" s="9" t="s">
        <v>18</v>
      </c>
      <c r="G11" s="149"/>
      <c r="H11" s="149"/>
      <c r="I11" s="149"/>
      <c r="J11" s="149"/>
      <c r="K11" s="149"/>
      <c r="L11" s="149"/>
      <c r="M11" s="149"/>
    </row>
    <row r="12" spans="2:13" x14ac:dyDescent="0.2">
      <c r="B12" s="43"/>
      <c r="C12" s="152" t="s">
        <v>15</v>
      </c>
      <c r="D12" s="153"/>
      <c r="E12" s="9" t="s">
        <v>19</v>
      </c>
    </row>
    <row r="13" spans="2:13" ht="12.75" thickBot="1" x14ac:dyDescent="0.25">
      <c r="B13" s="44"/>
      <c r="C13" s="152" t="s">
        <v>16</v>
      </c>
      <c r="D13" s="153"/>
      <c r="E13" s="10" t="s">
        <v>20</v>
      </c>
    </row>
    <row r="16" spans="2:13" x14ac:dyDescent="0.2">
      <c r="B16" s="39" t="s">
        <v>21</v>
      </c>
      <c r="C16" s="73" t="s">
        <v>22</v>
      </c>
      <c r="D16" s="39" t="s">
        <v>23</v>
      </c>
      <c r="F16" s="1" t="s">
        <v>24</v>
      </c>
    </row>
    <row r="17" spans="2:6" x14ac:dyDescent="0.2">
      <c r="B17" s="153" t="s">
        <v>13</v>
      </c>
      <c r="C17" s="153"/>
      <c r="D17" s="153"/>
    </row>
    <row r="18" spans="2:6" x14ac:dyDescent="0.2">
      <c r="B18" s="48">
        <f>ROUND(50 + 10/5.24 * (B10 - D18),0)</f>
        <v>10</v>
      </c>
      <c r="C18" s="49">
        <f>ROUND(100 * (NORMDIST(B18,50,10,TRUE)),0)</f>
        <v>0</v>
      </c>
      <c r="D18" s="48">
        <f>ROUND((20.55+1.165*B8-0.052*B7),0)</f>
        <v>21</v>
      </c>
      <c r="E18" s="11"/>
      <c r="F18" s="11" t="s">
        <v>25</v>
      </c>
    </row>
    <row r="19" spans="2:6" x14ac:dyDescent="0.2">
      <c r="B19" s="48">
        <f>ROUND(50 + 10/4.985 * (B10 - D19),0)</f>
        <v>16</v>
      </c>
      <c r="C19" s="49">
        <f>ROUND(100 * (NORMDIST(B19,50,10,TRUE)),0)</f>
        <v>0</v>
      </c>
      <c r="D19" s="48">
        <f>ROUND((17.29+0.118*B9-0.068*B7),0)</f>
        <v>17</v>
      </c>
      <c r="E19" s="11"/>
      <c r="F19" s="11" t="s">
        <v>26</v>
      </c>
    </row>
    <row r="20" spans="2:6" x14ac:dyDescent="0.2">
      <c r="B20" s="153" t="s">
        <v>14</v>
      </c>
      <c r="C20" s="153"/>
      <c r="D20" s="153"/>
    </row>
    <row r="21" spans="2:6" x14ac:dyDescent="0.2">
      <c r="B21" s="48">
        <f>ROUND(50 + 10/4.2*(B11 - D21),0)</f>
        <v>19</v>
      </c>
      <c r="C21" s="49">
        <f>ROUND(100 * (NORMDIST(B21,50,10,TRUE)),0)</f>
        <v>0</v>
      </c>
      <c r="D21" s="48">
        <f>ROUND((12.91+1.22*B8-0.028*B7),0)</f>
        <v>13</v>
      </c>
      <c r="E21" s="11"/>
      <c r="F21" s="11" t="s">
        <v>27</v>
      </c>
    </row>
    <row r="22" spans="2:6" x14ac:dyDescent="0.2">
      <c r="B22" s="48">
        <f>ROUND(50 + 10/4.054*(B11 - D22),0)</f>
        <v>25</v>
      </c>
      <c r="C22" s="49">
        <f>ROUND(100 * (NORMDIST(B22,50,10,TRUE)),0)</f>
        <v>1</v>
      </c>
      <c r="D22" s="48">
        <f>ROUND((9.55+0.091*B9-0.028*B7+0.216*B6*B8),0)</f>
        <v>10</v>
      </c>
      <c r="E22" s="11"/>
      <c r="F22" s="11" t="s">
        <v>28</v>
      </c>
    </row>
    <row r="23" spans="2:6" x14ac:dyDescent="0.2">
      <c r="B23" s="153" t="s">
        <v>15</v>
      </c>
      <c r="C23" s="153"/>
      <c r="D23" s="153"/>
    </row>
    <row r="24" spans="2:6" x14ac:dyDescent="0.2">
      <c r="B24" s="48">
        <f>ROUND(50 + 10/5.07 * (B12 - D24),0)</f>
        <v>16</v>
      </c>
      <c r="C24" s="49">
        <f>ROUND(100 * (NORMDIST(B24,50,10,TRUE)),0)</f>
        <v>0</v>
      </c>
      <c r="D24" s="48">
        <f>ROUND((17.3 + 0.87*B8 + 1.4*B6),0)</f>
        <v>17</v>
      </c>
      <c r="E24" s="11"/>
      <c r="F24" s="11" t="s">
        <v>29</v>
      </c>
    </row>
    <row r="25" spans="2:6" x14ac:dyDescent="0.2">
      <c r="B25" s="153" t="s">
        <v>16</v>
      </c>
      <c r="C25" s="153"/>
      <c r="D25" s="153"/>
    </row>
    <row r="26" spans="2:6" x14ac:dyDescent="0.2">
      <c r="B26" s="48">
        <f>ROUND((50 + 10 * (B13 -D26)/10.2),0)</f>
        <v>30</v>
      </c>
      <c r="C26" s="49">
        <f>ROUND(100 * (NORMDIST(B26,50,10,TRUE)),0)</f>
        <v>2</v>
      </c>
      <c r="D26" s="48">
        <f>ROUND(19.6+3.5*B8,0)</f>
        <v>20</v>
      </c>
      <c r="E26" s="11"/>
      <c r="F26" s="11" t="s">
        <v>30</v>
      </c>
    </row>
    <row r="27" spans="2:6" x14ac:dyDescent="0.2">
      <c r="B27" s="48">
        <f>ROUND((50 + 10 * (B13 -D27)/9.5),0)</f>
        <v>44</v>
      </c>
      <c r="C27" s="49">
        <f>ROUND(100 * (NORMDIST(B27,50,10,TRUE)),0)</f>
        <v>27</v>
      </c>
      <c r="D27" s="48">
        <f>ROUND(6 + 2.16*B8 + 0.24*B9,0)</f>
        <v>6</v>
      </c>
      <c r="E27" s="11"/>
      <c r="F27" s="11" t="s">
        <v>31</v>
      </c>
    </row>
    <row r="30" spans="2:6" x14ac:dyDescent="0.2">
      <c r="B30" s="146" t="s">
        <v>40</v>
      </c>
      <c r="C30" s="147"/>
      <c r="E30" s="144" t="s">
        <v>9</v>
      </c>
      <c r="F30" s="145"/>
    </row>
    <row r="31" spans="2:6" x14ac:dyDescent="0.2">
      <c r="B31" s="12" t="s">
        <v>21</v>
      </c>
      <c r="C31" s="13" t="s">
        <v>32</v>
      </c>
      <c r="E31" s="2">
        <v>1</v>
      </c>
      <c r="F31" s="5" t="s">
        <v>2</v>
      </c>
    </row>
    <row r="32" spans="2:6" x14ac:dyDescent="0.2">
      <c r="B32" s="14">
        <v>70</v>
      </c>
      <c r="C32" s="15" t="s">
        <v>33</v>
      </c>
      <c r="E32" s="2">
        <v>2</v>
      </c>
      <c r="F32" s="5" t="s">
        <v>3</v>
      </c>
    </row>
    <row r="33" spans="2:6" x14ac:dyDescent="0.2">
      <c r="B33" s="14">
        <v>60</v>
      </c>
      <c r="C33" s="15" t="s">
        <v>34</v>
      </c>
      <c r="E33" s="2">
        <v>3</v>
      </c>
      <c r="F33" s="5" t="s">
        <v>4</v>
      </c>
    </row>
    <row r="34" spans="2:6" x14ac:dyDescent="0.2">
      <c r="B34" s="14">
        <v>50</v>
      </c>
      <c r="C34" s="15" t="s">
        <v>35</v>
      </c>
      <c r="E34" s="2">
        <v>4</v>
      </c>
      <c r="F34" s="5" t="s">
        <v>5</v>
      </c>
    </row>
    <row r="35" spans="2:6" x14ac:dyDescent="0.2">
      <c r="B35" s="14">
        <v>40</v>
      </c>
      <c r="C35" s="15" t="s">
        <v>36</v>
      </c>
      <c r="E35" s="2">
        <v>5</v>
      </c>
      <c r="F35" s="5" t="s">
        <v>6</v>
      </c>
    </row>
    <row r="36" spans="2:6" x14ac:dyDescent="0.2">
      <c r="B36" s="14">
        <v>33</v>
      </c>
      <c r="C36" s="15" t="s">
        <v>37</v>
      </c>
      <c r="E36" s="2">
        <v>6</v>
      </c>
      <c r="F36" s="5" t="s">
        <v>7</v>
      </c>
    </row>
    <row r="37" spans="2:6" x14ac:dyDescent="0.2">
      <c r="B37" s="14">
        <v>30</v>
      </c>
      <c r="C37" s="15" t="s">
        <v>38</v>
      </c>
      <c r="E37" s="3">
        <v>7</v>
      </c>
      <c r="F37" s="6" t="s">
        <v>8</v>
      </c>
    </row>
    <row r="38" spans="2:6" x14ac:dyDescent="0.2">
      <c r="B38" s="16">
        <v>27</v>
      </c>
      <c r="C38" s="17" t="s">
        <v>39</v>
      </c>
    </row>
  </sheetData>
  <mergeCells count="16">
    <mergeCell ref="B30:C30"/>
    <mergeCell ref="G2:M11"/>
    <mergeCell ref="E30:F30"/>
    <mergeCell ref="C7:D7"/>
    <mergeCell ref="C6:D6"/>
    <mergeCell ref="B17:D17"/>
    <mergeCell ref="B20:D20"/>
    <mergeCell ref="B23:D23"/>
    <mergeCell ref="B25:D25"/>
    <mergeCell ref="C13:D13"/>
    <mergeCell ref="C12:D12"/>
    <mergeCell ref="C11:D11"/>
    <mergeCell ref="C10:D10"/>
    <mergeCell ref="C9:D9"/>
    <mergeCell ref="C8:D8"/>
    <mergeCell ref="B2:F2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L15" sqref="L15"/>
    </sheetView>
  </sheetViews>
  <sheetFormatPr defaultRowHeight="15" x14ac:dyDescent="0.25"/>
  <cols>
    <col min="1" max="1" width="5.7109375" style="1" customWidth="1"/>
    <col min="2" max="4" width="9.28515625" style="1" customWidth="1"/>
    <col min="5" max="5" width="2.28515625" style="1" customWidth="1"/>
    <col min="6" max="6" width="26.7109375" style="1" bestFit="1" customWidth="1"/>
    <col min="7" max="9" width="9.140625" style="1"/>
    <col min="10" max="10" width="12.42578125" style="1" bestFit="1" customWidth="1"/>
    <col min="11" max="13" width="9.140625" style="1"/>
  </cols>
  <sheetData>
    <row r="1" spans="2:13" ht="12" customHeight="1" x14ac:dyDescent="0.25"/>
    <row r="2" spans="2:13" ht="18.75" customHeight="1" x14ac:dyDescent="0.3">
      <c r="B2" s="154" t="s">
        <v>111</v>
      </c>
      <c r="C2" s="154"/>
      <c r="D2" s="154"/>
      <c r="E2" s="154"/>
      <c r="F2" s="154"/>
      <c r="G2" s="148" t="s">
        <v>113</v>
      </c>
      <c r="H2" s="149"/>
      <c r="I2" s="149"/>
      <c r="J2" s="149"/>
      <c r="K2" s="149"/>
      <c r="L2" s="149"/>
      <c r="M2" s="149"/>
    </row>
    <row r="3" spans="2:13" ht="12" customHeight="1" x14ac:dyDescent="0.25">
      <c r="B3" s="159"/>
      <c r="C3" s="159"/>
      <c r="D3" s="159"/>
      <c r="E3" s="159"/>
      <c r="F3" s="159"/>
      <c r="G3" s="149"/>
      <c r="H3" s="149"/>
      <c r="I3" s="149"/>
      <c r="J3" s="149"/>
      <c r="K3" s="149"/>
      <c r="L3" s="149"/>
      <c r="M3" s="149"/>
    </row>
    <row r="4" spans="2:13" ht="12" customHeight="1" x14ac:dyDescent="0.25">
      <c r="G4" s="149"/>
      <c r="H4" s="149"/>
      <c r="I4" s="149"/>
      <c r="J4" s="149"/>
      <c r="K4" s="149"/>
      <c r="L4" s="149"/>
      <c r="M4" s="149"/>
    </row>
    <row r="5" spans="2:13" ht="12" customHeight="1" x14ac:dyDescent="0.25">
      <c r="G5" s="149"/>
      <c r="H5" s="149"/>
      <c r="I5" s="149"/>
      <c r="J5" s="149"/>
      <c r="K5" s="149"/>
      <c r="L5" s="149"/>
      <c r="M5" s="149"/>
    </row>
    <row r="6" spans="2:13" ht="12" customHeight="1" x14ac:dyDescent="0.25">
      <c r="B6" s="63"/>
      <c r="C6" s="155"/>
      <c r="D6" s="153"/>
      <c r="G6" s="149"/>
      <c r="H6" s="149"/>
      <c r="I6" s="149"/>
      <c r="J6" s="149"/>
      <c r="K6" s="149"/>
      <c r="L6" s="149"/>
      <c r="M6" s="149"/>
    </row>
    <row r="7" spans="2:13" ht="12" customHeight="1" thickBot="1" x14ac:dyDescent="0.3">
      <c r="B7" s="63"/>
      <c r="C7" s="155"/>
      <c r="D7" s="153"/>
      <c r="G7" s="149"/>
      <c r="H7" s="149"/>
      <c r="I7" s="149"/>
      <c r="J7" s="149"/>
      <c r="K7" s="149"/>
      <c r="L7" s="149"/>
      <c r="M7" s="149"/>
    </row>
    <row r="8" spans="2:13" ht="12" customHeight="1" x14ac:dyDescent="0.25">
      <c r="B8" s="46">
        <f>Demografisch!B4</f>
        <v>0</v>
      </c>
      <c r="C8" s="155" t="s">
        <v>1</v>
      </c>
      <c r="D8" s="153"/>
      <c r="G8" s="149"/>
      <c r="H8" s="149"/>
      <c r="I8" s="149"/>
      <c r="J8" s="149"/>
      <c r="K8" s="149"/>
      <c r="L8" s="149"/>
      <c r="M8" s="149"/>
    </row>
    <row r="9" spans="2:13" ht="12" customHeight="1" x14ac:dyDescent="0.25">
      <c r="B9" s="43"/>
      <c r="C9" s="155" t="s">
        <v>106</v>
      </c>
      <c r="D9" s="155"/>
      <c r="E9" s="155"/>
      <c r="F9" s="155"/>
      <c r="G9" s="149"/>
      <c r="H9" s="149"/>
      <c r="I9" s="149"/>
      <c r="J9" s="149"/>
      <c r="K9" s="149"/>
      <c r="L9" s="149"/>
      <c r="M9" s="149"/>
    </row>
    <row r="10" spans="2:13" ht="12" customHeight="1" x14ac:dyDescent="0.25">
      <c r="B10" s="43"/>
      <c r="C10" s="155" t="s">
        <v>107</v>
      </c>
      <c r="D10" s="155"/>
      <c r="E10" s="155"/>
      <c r="F10" s="155"/>
      <c r="G10" s="149"/>
      <c r="H10" s="149"/>
      <c r="I10" s="149"/>
      <c r="J10" s="149"/>
      <c r="K10" s="149"/>
      <c r="L10" s="149"/>
      <c r="M10" s="149"/>
    </row>
    <row r="11" spans="2:13" ht="12" customHeight="1" x14ac:dyDescent="0.25">
      <c r="B11" s="43"/>
      <c r="C11" s="152" t="s">
        <v>104</v>
      </c>
      <c r="D11" s="155"/>
      <c r="E11" s="155"/>
      <c r="F11" s="155"/>
      <c r="G11" s="149"/>
      <c r="H11" s="149"/>
      <c r="I11" s="149"/>
      <c r="J11" s="149"/>
      <c r="K11" s="149"/>
      <c r="L11" s="149"/>
      <c r="M11" s="149"/>
    </row>
    <row r="12" spans="2:13" ht="12" customHeight="1" thickBot="1" x14ac:dyDescent="0.3">
      <c r="B12" s="44"/>
      <c r="C12" s="152" t="s">
        <v>108</v>
      </c>
      <c r="D12" s="155"/>
      <c r="E12" s="155"/>
      <c r="F12" s="155"/>
    </row>
    <row r="13" spans="2:13" ht="12" customHeight="1" x14ac:dyDescent="0.25">
      <c r="B13" s="58"/>
      <c r="C13" s="155"/>
      <c r="D13" s="153"/>
      <c r="E13" s="10"/>
    </row>
    <row r="14" spans="2:13" ht="12" customHeight="1" x14ac:dyDescent="0.25">
      <c r="B14" s="73" t="s">
        <v>21</v>
      </c>
      <c r="C14" s="73"/>
      <c r="D14" s="39" t="s">
        <v>23</v>
      </c>
      <c r="G14" s="153" t="s">
        <v>24</v>
      </c>
      <c r="H14" s="153"/>
      <c r="I14" s="153"/>
    </row>
    <row r="15" spans="2:13" ht="12" customHeight="1" x14ac:dyDescent="0.25">
      <c r="B15" s="49">
        <f>ROUND(50 + 4.29 * (B9 - D15),0)</f>
        <v>13</v>
      </c>
      <c r="C15" s="49"/>
      <c r="D15" s="48">
        <f>8.6+0.76*B8</f>
        <v>8.6</v>
      </c>
      <c r="E15" s="11"/>
      <c r="F15" s="11" t="s">
        <v>102</v>
      </c>
      <c r="G15" s="151" t="s">
        <v>109</v>
      </c>
      <c r="H15" s="151"/>
      <c r="I15" s="151"/>
      <c r="J15" s="151"/>
    </row>
    <row r="16" spans="2:13" ht="12" customHeight="1" x14ac:dyDescent="0.25">
      <c r="B16" s="49">
        <f>ROUND(50 + 4.61 * (B10 - D16),0)</f>
        <v>25</v>
      </c>
      <c r="C16" s="49"/>
      <c r="D16" s="48">
        <f>5.4 + 0.6 * B8</f>
        <v>5.4</v>
      </c>
      <c r="E16" s="11"/>
      <c r="F16" s="11" t="s">
        <v>103</v>
      </c>
      <c r="G16" s="151" t="s">
        <v>109</v>
      </c>
      <c r="H16" s="151"/>
      <c r="I16" s="151"/>
      <c r="J16" s="151"/>
      <c r="K16" s="21"/>
      <c r="L16" s="21"/>
      <c r="M16" s="21"/>
    </row>
    <row r="17" spans="2:13" ht="12" customHeight="1" x14ac:dyDescent="0.25">
      <c r="B17" s="49">
        <f>ROUND(50 + 5.35 * (B10 - ((1.3 + 0.24*B8 + 0.48*B9))),0)</f>
        <v>43</v>
      </c>
      <c r="C17" s="11"/>
      <c r="D17" s="11"/>
      <c r="E17" s="11"/>
      <c r="F17" s="11" t="s">
        <v>103</v>
      </c>
      <c r="G17" s="151" t="s">
        <v>112</v>
      </c>
      <c r="H17" s="151"/>
      <c r="I17" s="151"/>
      <c r="J17" s="151"/>
      <c r="K17" s="21"/>
      <c r="L17" s="21"/>
      <c r="M17" s="21"/>
    </row>
    <row r="18" spans="2:13" ht="12" customHeight="1" x14ac:dyDescent="0.25">
      <c r="B18" s="49">
        <f>ROUND(50 + 8.62 * (B11 - D18),0)</f>
        <v>-29</v>
      </c>
      <c r="C18" s="49"/>
      <c r="D18" s="48">
        <f>9.2 + 0.19 * B8</f>
        <v>9.1999999999999993</v>
      </c>
      <c r="E18" s="11"/>
      <c r="F18" s="40" t="s">
        <v>104</v>
      </c>
      <c r="G18" s="151" t="s">
        <v>109</v>
      </c>
      <c r="H18" s="151"/>
      <c r="I18" s="151"/>
      <c r="J18" s="151"/>
      <c r="K18" s="21"/>
      <c r="L18" s="21"/>
      <c r="M18" s="21"/>
    </row>
    <row r="19" spans="2:13" ht="12" customHeight="1" x14ac:dyDescent="0.25">
      <c r="B19" s="49">
        <f>ROUND(50 + 9.1 * (B11 - ((7.9 + 0.17*B9))),0)</f>
        <v>-22</v>
      </c>
      <c r="C19" s="11"/>
      <c r="D19" s="11"/>
      <c r="E19" s="11"/>
      <c r="F19" s="40" t="s">
        <v>104</v>
      </c>
      <c r="G19" s="151" t="s">
        <v>102</v>
      </c>
      <c r="H19" s="151"/>
      <c r="I19" s="151"/>
      <c r="J19" s="151"/>
      <c r="K19" s="21"/>
      <c r="L19" s="21"/>
      <c r="M19" s="21"/>
    </row>
    <row r="20" spans="2:13" ht="12" customHeight="1" x14ac:dyDescent="0.25">
      <c r="B20" s="49">
        <f>ROUND(50 + 4.35 * (B12 - D20),0)</f>
        <v>-20</v>
      </c>
      <c r="C20" s="49"/>
      <c r="D20" s="48">
        <f>16.2 + 0.57 * B8</f>
        <v>16.2</v>
      </c>
      <c r="E20" s="11"/>
      <c r="F20" s="40" t="s">
        <v>105</v>
      </c>
      <c r="G20" s="28" t="s">
        <v>109</v>
      </c>
      <c r="H20" s="28"/>
      <c r="I20" s="28"/>
      <c r="J20" s="28"/>
      <c r="K20" s="21"/>
      <c r="L20" s="21"/>
      <c r="M20" s="21"/>
    </row>
    <row r="21" spans="2:13" ht="12" customHeight="1" x14ac:dyDescent="0.25">
      <c r="B21" s="79">
        <f>ROUND(50 + 5 * (B12 - (13.3 + 0.53*B10 + 0.26*B8)),0)</f>
        <v>-17</v>
      </c>
      <c r="C21" s="79"/>
      <c r="D21" s="78"/>
      <c r="E21" s="80"/>
      <c r="F21" s="40" t="s">
        <v>105</v>
      </c>
      <c r="G21" s="151" t="s">
        <v>110</v>
      </c>
      <c r="H21" s="151"/>
      <c r="I21" s="151"/>
      <c r="J21" s="151"/>
      <c r="K21" s="21"/>
      <c r="L21" s="21"/>
      <c r="M21" s="21"/>
    </row>
    <row r="22" spans="2:13" ht="12" customHeight="1" x14ac:dyDescent="0.25">
      <c r="B22" s="59"/>
      <c r="C22" s="60"/>
      <c r="D22" s="59"/>
      <c r="E22" s="61"/>
      <c r="F22" s="61"/>
      <c r="H22" s="21"/>
      <c r="I22" s="21"/>
      <c r="J22" s="21"/>
      <c r="K22" s="21"/>
      <c r="L22" s="21"/>
      <c r="M22" s="21"/>
    </row>
    <row r="23" spans="2:13" ht="12" customHeight="1" x14ac:dyDescent="0.25">
      <c r="B23" s="62"/>
      <c r="C23" s="62"/>
      <c r="D23" s="62"/>
      <c r="E23" s="61"/>
      <c r="F23" s="61"/>
      <c r="H23" s="21"/>
      <c r="I23" s="21"/>
      <c r="J23" s="21"/>
      <c r="K23" s="21"/>
      <c r="L23" s="21"/>
      <c r="M23" s="21"/>
    </row>
    <row r="24" spans="2:13" ht="12" customHeight="1" x14ac:dyDescent="0.25">
      <c r="B24" s="59"/>
      <c r="C24" s="60"/>
      <c r="D24" s="59"/>
      <c r="E24" s="61"/>
      <c r="F24" s="61"/>
      <c r="H24" s="21"/>
      <c r="I24" s="21"/>
      <c r="J24" s="21"/>
      <c r="K24" s="21"/>
      <c r="L24" s="21"/>
      <c r="M24" s="21"/>
    </row>
    <row r="25" spans="2:13" ht="12" customHeight="1" x14ac:dyDescent="0.25">
      <c r="B25" s="62"/>
      <c r="C25" s="62"/>
      <c r="D25" s="62"/>
      <c r="E25" s="61"/>
      <c r="F25" s="61"/>
      <c r="H25" s="21"/>
      <c r="I25" s="21"/>
      <c r="J25" s="21"/>
      <c r="K25" s="21"/>
      <c r="L25" s="21"/>
      <c r="M25" s="21"/>
    </row>
    <row r="26" spans="2:13" ht="12" customHeight="1" x14ac:dyDescent="0.25">
      <c r="B26" s="59"/>
      <c r="C26" s="60"/>
      <c r="D26" s="59"/>
      <c r="E26" s="61"/>
      <c r="F26" s="61"/>
      <c r="H26" s="21"/>
      <c r="I26" s="21"/>
      <c r="J26" s="21"/>
      <c r="K26" s="21"/>
      <c r="L26" s="21"/>
      <c r="M26" s="21"/>
    </row>
    <row r="27" spans="2:13" ht="12" customHeight="1" x14ac:dyDescent="0.25">
      <c r="B27" s="59"/>
      <c r="C27" s="60"/>
      <c r="D27" s="59"/>
      <c r="E27" s="61"/>
      <c r="F27" s="61"/>
      <c r="H27" s="21"/>
      <c r="I27" s="21"/>
      <c r="J27" s="21"/>
      <c r="K27" s="21"/>
      <c r="L27" s="21"/>
      <c r="M27" s="21"/>
    </row>
    <row r="28" spans="2:13" ht="12" customHeight="1" x14ac:dyDescent="0.25">
      <c r="H28" s="21"/>
      <c r="I28" s="21"/>
      <c r="J28" s="21"/>
      <c r="K28" s="21"/>
      <c r="L28" s="21"/>
      <c r="M28" s="21"/>
    </row>
    <row r="29" spans="2:13" ht="12" customHeight="1" x14ac:dyDescent="0.25">
      <c r="H29" s="21"/>
      <c r="I29" s="21"/>
      <c r="J29" s="21"/>
      <c r="K29" s="21"/>
      <c r="L29" s="21"/>
      <c r="M29" s="21"/>
    </row>
    <row r="30" spans="2:13" ht="12" customHeight="1" x14ac:dyDescent="0.25">
      <c r="B30" s="146" t="s">
        <v>40</v>
      </c>
      <c r="C30" s="147"/>
      <c r="E30" s="144" t="s">
        <v>9</v>
      </c>
      <c r="F30" s="145"/>
      <c r="H30" s="21"/>
      <c r="I30" s="21"/>
      <c r="J30" s="21"/>
      <c r="K30" s="21"/>
      <c r="L30" s="21"/>
      <c r="M30" s="21"/>
    </row>
    <row r="31" spans="2:13" ht="12" customHeight="1" x14ac:dyDescent="0.25">
      <c r="B31" s="12" t="s">
        <v>21</v>
      </c>
      <c r="C31" s="13" t="s">
        <v>32</v>
      </c>
      <c r="E31" s="2">
        <v>1</v>
      </c>
      <c r="F31" s="5" t="s">
        <v>2</v>
      </c>
      <c r="H31" s="21"/>
      <c r="I31" s="21"/>
      <c r="J31" s="21"/>
      <c r="K31" s="21"/>
      <c r="L31" s="21"/>
      <c r="M31" s="21"/>
    </row>
    <row r="32" spans="2:13" ht="12" customHeight="1" x14ac:dyDescent="0.25">
      <c r="B32" s="14">
        <v>70</v>
      </c>
      <c r="C32" s="15" t="s">
        <v>33</v>
      </c>
      <c r="E32" s="2">
        <v>2</v>
      </c>
      <c r="F32" s="5" t="s">
        <v>3</v>
      </c>
      <c r="H32" s="21"/>
      <c r="I32" s="21"/>
      <c r="J32" s="21"/>
      <c r="K32" s="21"/>
      <c r="L32" s="21"/>
      <c r="M32" s="21"/>
    </row>
    <row r="33" spans="2:13" ht="12" customHeight="1" x14ac:dyDescent="0.25">
      <c r="B33" s="14">
        <v>60</v>
      </c>
      <c r="C33" s="15" t="s">
        <v>34</v>
      </c>
      <c r="E33" s="2">
        <v>3</v>
      </c>
      <c r="F33" s="5" t="s">
        <v>4</v>
      </c>
      <c r="H33" s="21"/>
      <c r="I33" s="21"/>
      <c r="J33" s="21"/>
      <c r="K33" s="21"/>
      <c r="L33" s="21"/>
      <c r="M33" s="21"/>
    </row>
    <row r="34" spans="2:13" ht="12" customHeight="1" x14ac:dyDescent="0.25">
      <c r="B34" s="14">
        <v>50</v>
      </c>
      <c r="C34" s="15" t="s">
        <v>35</v>
      </c>
      <c r="E34" s="2">
        <v>4</v>
      </c>
      <c r="F34" s="5" t="s">
        <v>5</v>
      </c>
      <c r="H34" s="21"/>
      <c r="I34" s="21"/>
      <c r="J34" s="21"/>
      <c r="K34" s="21"/>
      <c r="L34" s="21"/>
      <c r="M34" s="21"/>
    </row>
    <row r="35" spans="2:13" ht="12" customHeight="1" x14ac:dyDescent="0.25">
      <c r="B35" s="14">
        <v>40</v>
      </c>
      <c r="C35" s="15" t="s">
        <v>36</v>
      </c>
      <c r="E35" s="2">
        <v>5</v>
      </c>
      <c r="F35" s="5" t="s">
        <v>6</v>
      </c>
      <c r="H35" s="21"/>
      <c r="I35" s="21"/>
      <c r="J35" s="21"/>
      <c r="K35" s="21"/>
      <c r="L35" s="21"/>
      <c r="M35" s="21"/>
    </row>
    <row r="36" spans="2:13" ht="12" customHeight="1" x14ac:dyDescent="0.25">
      <c r="B36" s="14">
        <v>33</v>
      </c>
      <c r="C36" s="15" t="s">
        <v>37</v>
      </c>
      <c r="E36" s="2">
        <v>6</v>
      </c>
      <c r="F36" s="5" t="s">
        <v>7</v>
      </c>
      <c r="H36" s="21"/>
      <c r="I36" s="21"/>
      <c r="J36" s="21"/>
      <c r="K36" s="21"/>
      <c r="L36" s="21"/>
      <c r="M36" s="21"/>
    </row>
    <row r="37" spans="2:13" ht="12" customHeight="1" x14ac:dyDescent="0.25">
      <c r="B37" s="14">
        <v>30</v>
      </c>
      <c r="C37" s="15" t="s">
        <v>38</v>
      </c>
      <c r="E37" s="3">
        <v>7</v>
      </c>
      <c r="F37" s="6" t="s">
        <v>8</v>
      </c>
      <c r="H37" s="21"/>
      <c r="I37" s="21"/>
      <c r="J37" s="21"/>
      <c r="K37" s="21"/>
      <c r="L37" s="21"/>
      <c r="M37" s="21"/>
    </row>
    <row r="38" spans="2:13" ht="12" customHeight="1" x14ac:dyDescent="0.25">
      <c r="B38" s="16">
        <v>27</v>
      </c>
      <c r="C38" s="17" t="s">
        <v>39</v>
      </c>
      <c r="H38" s="21"/>
      <c r="I38" s="21"/>
      <c r="J38" s="21"/>
      <c r="K38" s="21"/>
      <c r="L38" s="21"/>
      <c r="M38" s="21"/>
    </row>
    <row r="39" spans="2:13" ht="12" customHeight="1" x14ac:dyDescent="0.25">
      <c r="H39" s="21"/>
      <c r="I39" s="21"/>
      <c r="J39" s="21"/>
      <c r="K39" s="21"/>
      <c r="L39" s="21"/>
      <c r="M39" s="21"/>
    </row>
    <row r="40" spans="2:13" ht="12" customHeight="1" x14ac:dyDescent="0.25">
      <c r="H40" s="21"/>
      <c r="I40" s="21"/>
      <c r="J40" s="21"/>
      <c r="K40" s="21"/>
      <c r="L40" s="21"/>
      <c r="M40" s="21"/>
    </row>
    <row r="41" spans="2:13" ht="12" customHeight="1" x14ac:dyDescent="0.25">
      <c r="H41" s="21"/>
      <c r="I41" s="21"/>
      <c r="J41" s="21"/>
      <c r="K41" s="21"/>
      <c r="L41" s="21"/>
      <c r="M41" s="21"/>
    </row>
    <row r="42" spans="2:13" ht="12" customHeight="1" x14ac:dyDescent="0.25">
      <c r="H42" s="21"/>
      <c r="I42" s="21"/>
      <c r="J42" s="21"/>
      <c r="K42" s="21"/>
      <c r="L42" s="21"/>
      <c r="M42" s="21"/>
    </row>
    <row r="43" spans="2:13" ht="12" customHeight="1" x14ac:dyDescent="0.25">
      <c r="H43" s="21"/>
      <c r="I43" s="21"/>
      <c r="J43" s="21"/>
      <c r="K43" s="21"/>
      <c r="L43" s="21"/>
      <c r="M43" s="21"/>
    </row>
    <row r="44" spans="2:13" ht="12" customHeight="1" x14ac:dyDescent="0.25">
      <c r="H44" s="21"/>
      <c r="I44" s="21"/>
      <c r="J44" s="21"/>
      <c r="K44" s="21"/>
      <c r="L44" s="21"/>
      <c r="M44" s="21"/>
    </row>
    <row r="45" spans="2:13" ht="12" customHeight="1" x14ac:dyDescent="0.25">
      <c r="H45" s="21"/>
      <c r="I45" s="21"/>
      <c r="J45" s="21"/>
      <c r="K45" s="21"/>
      <c r="L45" s="21"/>
      <c r="M45" s="21"/>
    </row>
    <row r="46" spans="2:13" x14ac:dyDescent="0.25">
      <c r="H46" s="21"/>
      <c r="I46" s="21"/>
      <c r="J46" s="21"/>
      <c r="K46" s="21"/>
      <c r="L46" s="21"/>
      <c r="M46" s="21"/>
    </row>
    <row r="47" spans="2:13" x14ac:dyDescent="0.25">
      <c r="H47" s="21"/>
      <c r="I47" s="21"/>
      <c r="J47" s="33"/>
      <c r="K47" s="33"/>
      <c r="L47" s="33"/>
      <c r="M47" s="33"/>
    </row>
    <row r="48" spans="2:13" x14ac:dyDescent="0.25">
      <c r="H48" s="21"/>
      <c r="I48" s="21"/>
      <c r="J48" s="33"/>
      <c r="K48" s="33"/>
      <c r="L48" s="33"/>
      <c r="M48" s="33"/>
    </row>
    <row r="49" spans="10:13" x14ac:dyDescent="0.25">
      <c r="J49"/>
      <c r="K49"/>
      <c r="L49"/>
      <c r="M49"/>
    </row>
  </sheetData>
  <mergeCells count="20">
    <mergeCell ref="B30:C30"/>
    <mergeCell ref="E30:F30"/>
    <mergeCell ref="C12:F12"/>
    <mergeCell ref="C11:F11"/>
    <mergeCell ref="G21:J21"/>
    <mergeCell ref="G19:J19"/>
    <mergeCell ref="G17:J17"/>
    <mergeCell ref="C13:D13"/>
    <mergeCell ref="G14:I14"/>
    <mergeCell ref="G15:J15"/>
    <mergeCell ref="G16:J16"/>
    <mergeCell ref="G18:J18"/>
    <mergeCell ref="B2:F2"/>
    <mergeCell ref="G2:M11"/>
    <mergeCell ref="B3:F3"/>
    <mergeCell ref="C6:D6"/>
    <mergeCell ref="C7:D7"/>
    <mergeCell ref="C8:D8"/>
    <mergeCell ref="C9:F9"/>
    <mergeCell ref="C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4"/>
  <sheetViews>
    <sheetView tabSelected="1" workbookViewId="0">
      <selection activeCell="F20" sqref="F20"/>
    </sheetView>
  </sheetViews>
  <sheetFormatPr defaultRowHeight="15" x14ac:dyDescent="0.25"/>
  <cols>
    <col min="1" max="1" width="5.7109375" style="1" customWidth="1"/>
    <col min="2" max="4" width="9.28515625" style="100" customWidth="1"/>
    <col min="5" max="5" width="2.28515625" style="100" customWidth="1"/>
    <col min="6" max="6" width="26.7109375" style="100" customWidth="1"/>
    <col min="7" max="13" width="9.140625" style="100" customWidth="1"/>
    <col min="15" max="16" width="9.140625" style="143"/>
  </cols>
  <sheetData>
    <row r="1" spans="2:16" ht="12" customHeight="1" x14ac:dyDescent="0.25">
      <c r="B1"/>
      <c r="C1"/>
      <c r="D1"/>
      <c r="E1"/>
      <c r="F1"/>
      <c r="O1"/>
      <c r="P1"/>
    </row>
    <row r="2" spans="2:16" ht="18.75" x14ac:dyDescent="0.3">
      <c r="B2" s="164" t="s">
        <v>92</v>
      </c>
      <c r="C2" s="164"/>
      <c r="D2" s="164"/>
      <c r="E2" s="164"/>
      <c r="F2" s="164"/>
      <c r="G2" s="165"/>
      <c r="H2" s="165"/>
      <c r="I2" s="165"/>
      <c r="J2" s="165"/>
      <c r="K2" s="165"/>
      <c r="L2" s="165"/>
      <c r="M2" s="165"/>
      <c r="O2"/>
      <c r="P2"/>
    </row>
    <row r="3" spans="2:16" ht="12" customHeight="1" x14ac:dyDescent="0.25">
      <c r="B3"/>
      <c r="C3"/>
      <c r="D3"/>
      <c r="E3"/>
      <c r="F3"/>
      <c r="G3" s="165"/>
      <c r="H3" s="165"/>
      <c r="I3" s="165"/>
      <c r="J3" s="165"/>
      <c r="K3" s="165"/>
      <c r="L3" s="165"/>
      <c r="M3" s="165"/>
      <c r="O3" s="101"/>
      <c r="P3" s="101"/>
    </row>
    <row r="4" spans="2:16" ht="12" customHeight="1" x14ac:dyDescent="0.25">
      <c r="B4"/>
      <c r="C4"/>
      <c r="D4"/>
      <c r="E4"/>
      <c r="F4"/>
      <c r="G4" s="165"/>
      <c r="H4" s="165"/>
      <c r="I4" s="165"/>
      <c r="J4" s="165"/>
      <c r="K4" s="165"/>
      <c r="L4" s="165"/>
      <c r="M4" s="165"/>
      <c r="O4" s="101"/>
      <c r="P4" s="101"/>
    </row>
    <row r="5" spans="2:16" ht="12" customHeight="1" x14ac:dyDescent="0.25">
      <c r="B5"/>
      <c r="C5"/>
      <c r="D5"/>
      <c r="E5"/>
      <c r="F5"/>
      <c r="G5" s="165"/>
      <c r="H5" s="165"/>
      <c r="I5" s="165"/>
      <c r="J5" s="165"/>
      <c r="K5" s="165"/>
      <c r="L5" s="165"/>
      <c r="M5" s="165"/>
      <c r="O5" s="102"/>
      <c r="P5" s="102"/>
    </row>
    <row r="6" spans="2:16" ht="12" customHeight="1" thickBot="1" x14ac:dyDescent="0.3">
      <c r="B6" s="103"/>
      <c r="C6" s="160"/>
      <c r="D6" s="160"/>
      <c r="E6"/>
      <c r="F6"/>
      <c r="G6" s="165"/>
      <c r="H6" s="165"/>
      <c r="I6" s="165"/>
      <c r="J6" s="165"/>
      <c r="K6" s="165"/>
      <c r="L6" s="165"/>
      <c r="M6" s="165"/>
      <c r="O6" s="102"/>
      <c r="P6" s="102"/>
    </row>
    <row r="7" spans="2:16" ht="12" customHeight="1" x14ac:dyDescent="0.25">
      <c r="B7" s="104">
        <f>[1]Demografisch!B3</f>
        <v>0</v>
      </c>
      <c r="C7" s="160" t="s">
        <v>0</v>
      </c>
      <c r="D7" s="160"/>
      <c r="E7" s="160"/>
      <c r="F7" s="160"/>
      <c r="G7" s="165"/>
      <c r="H7" s="165"/>
      <c r="I7" s="165"/>
      <c r="J7" s="165"/>
      <c r="K7" s="165"/>
      <c r="L7" s="165"/>
      <c r="M7" s="165"/>
      <c r="O7" s="102"/>
      <c r="P7" s="102"/>
    </row>
    <row r="8" spans="2:16" ht="12" customHeight="1" x14ac:dyDescent="0.25">
      <c r="B8" s="105"/>
      <c r="C8" s="160" t="s">
        <v>164</v>
      </c>
      <c r="D8" s="160"/>
      <c r="E8" s="160"/>
      <c r="F8" s="160"/>
      <c r="G8" s="165"/>
      <c r="H8" s="165"/>
      <c r="I8" s="165"/>
      <c r="J8" s="165"/>
      <c r="K8" s="165"/>
      <c r="L8" s="165"/>
      <c r="M8" s="165"/>
      <c r="O8" s="106"/>
      <c r="P8" s="106"/>
    </row>
    <row r="9" spans="2:16" ht="12" customHeight="1" x14ac:dyDescent="0.25">
      <c r="B9" s="105"/>
      <c r="C9" s="160" t="s">
        <v>93</v>
      </c>
      <c r="D9" s="160"/>
      <c r="E9"/>
      <c r="F9"/>
      <c r="G9" s="165"/>
      <c r="H9" s="165"/>
      <c r="I9" s="165"/>
      <c r="J9" s="165"/>
      <c r="K9" s="165"/>
      <c r="L9" s="165"/>
      <c r="M9" s="165"/>
      <c r="O9" s="106"/>
      <c r="P9" s="106"/>
    </row>
    <row r="10" spans="2:16" ht="12" customHeight="1" x14ac:dyDescent="0.25">
      <c r="B10" s="105"/>
      <c r="C10" s="160" t="s">
        <v>94</v>
      </c>
      <c r="D10" s="160"/>
      <c r="E10" s="107"/>
      <c r="F10"/>
      <c r="G10" s="165"/>
      <c r="H10" s="165"/>
      <c r="I10" s="165"/>
      <c r="J10" s="165"/>
      <c r="K10" s="165"/>
      <c r="L10" s="165"/>
      <c r="M10" s="165"/>
      <c r="O10" s="106"/>
      <c r="P10" s="106"/>
    </row>
    <row r="11" spans="2:16" ht="12" customHeight="1" x14ac:dyDescent="0.25">
      <c r="B11" s="105"/>
      <c r="C11" s="160" t="s">
        <v>95</v>
      </c>
      <c r="D11" s="160"/>
      <c r="E11" s="107"/>
      <c r="F11" s="108"/>
      <c r="G11" s="165"/>
      <c r="H11" s="165"/>
      <c r="I11" s="165"/>
      <c r="J11" s="165"/>
      <c r="K11" s="165"/>
      <c r="L11" s="165"/>
      <c r="M11" s="165"/>
      <c r="O11" s="106"/>
      <c r="P11" s="106"/>
    </row>
    <row r="12" spans="2:16" ht="12" customHeight="1" x14ac:dyDescent="0.25">
      <c r="B12" s="105"/>
      <c r="C12" s="160" t="s">
        <v>96</v>
      </c>
      <c r="D12" s="160"/>
      <c r="E12" s="107"/>
      <c r="F12" s="109"/>
      <c r="O12" s="106"/>
      <c r="P12" s="106"/>
    </row>
    <row r="13" spans="2:16" ht="12" customHeight="1" x14ac:dyDescent="0.25">
      <c r="B13" s="105"/>
      <c r="C13" s="160" t="s">
        <v>97</v>
      </c>
      <c r="D13" s="160"/>
      <c r="E13" s="110"/>
      <c r="F13" s="111"/>
      <c r="O13" s="106"/>
      <c r="P13" s="106"/>
    </row>
    <row r="14" spans="2:16" ht="12" customHeight="1" x14ac:dyDescent="0.25">
      <c r="B14" s="105"/>
      <c r="C14" s="160" t="s">
        <v>98</v>
      </c>
      <c r="D14" s="160"/>
      <c r="E14" s="160"/>
      <c r="F14" s="112"/>
      <c r="G14" s="113"/>
      <c r="H14" s="113"/>
      <c r="I14" s="113"/>
      <c r="J14" s="113"/>
      <c r="K14" s="113"/>
      <c r="L14" s="113"/>
      <c r="M14" s="113"/>
      <c r="O14" s="106"/>
      <c r="P14" s="106"/>
    </row>
    <row r="15" spans="2:16" ht="12" customHeight="1" thickBot="1" x14ac:dyDescent="0.3">
      <c r="B15" s="114"/>
      <c r="C15" s="115" t="s">
        <v>163</v>
      </c>
      <c r="D15" s="115"/>
      <c r="E15" s="115"/>
      <c r="F15" s="111"/>
      <c r="G15" s="116" t="s">
        <v>174</v>
      </c>
      <c r="H15" s="113"/>
      <c r="I15" s="113"/>
      <c r="J15" s="113"/>
      <c r="K15" s="116" t="s">
        <v>175</v>
      </c>
      <c r="L15" s="113"/>
      <c r="M15" s="113"/>
      <c r="O15" s="106"/>
      <c r="P15" s="106"/>
    </row>
    <row r="16" spans="2:16" ht="12" customHeight="1" x14ac:dyDescent="0.25">
      <c r="B16" s="110"/>
      <c r="C16" s="110"/>
      <c r="D16" s="110"/>
      <c r="E16" s="110"/>
      <c r="F16" s="111"/>
      <c r="G16" s="117" t="s">
        <v>176</v>
      </c>
      <c r="H16" s="117" t="s">
        <v>170</v>
      </c>
      <c r="I16" s="117" t="s">
        <v>171</v>
      </c>
      <c r="J16" s="117"/>
      <c r="K16" s="117" t="s">
        <v>176</v>
      </c>
      <c r="L16" s="118" t="s">
        <v>170</v>
      </c>
      <c r="M16" s="118" t="s">
        <v>171</v>
      </c>
      <c r="O16" s="106"/>
      <c r="P16" s="106"/>
    </row>
    <row r="17" spans="2:16" ht="12" customHeight="1" x14ac:dyDescent="0.25">
      <c r="B17" s="119">
        <f>SUM(B9:B13)</f>
        <v>0</v>
      </c>
      <c r="C17" s="163" t="s">
        <v>99</v>
      </c>
      <c r="D17" s="163"/>
      <c r="E17" s="163"/>
      <c r="F17" s="111"/>
      <c r="G17" s="117" t="s">
        <v>167</v>
      </c>
      <c r="H17" s="120">
        <f>IF(B17&gt;60,"&lt;2",(IF(B17=60,2,(IF(AND(B17&lt;60,B17&gt;48),"2-5",(IF(B17=48,5,(IF(AND(B17&lt;48,B17&gt;37),"5-10",(IF(B17=37,10,(IF(AND(B17&lt;37,B17&gt;30),"10-15",(IF(B17=30,15,(IF(AND(B17&lt;30,B17&gt;26),"15-20",(IF(B17=26,20,(IF(AND(B17&lt;26,B17&gt;22),"20-25",(IF(B17=22,25,(IF(AND(B17&lt;22,B17&gt;20),"25-30",(IF(B17=20,30,(IF(AND(B17&lt;20,B17&gt;14),"30-40",(IF(B17=14,40,(IF(AND(B17&lt;14,B17&gt;11),"40-50",(IF(B17=11,50,(IF(AND(B17&lt;11,B17&gt;8),"50-60",(IF(B17=8,60,(IF(AND(B17&lt;8,B17&gt;5),"60-70",(IF(B17=5,70,(IF(AND(B17&lt;5,B17&gt;4),"70-75",(IF(B17=4,75,(IF(AND(B17&lt;4,B17&gt;2),"75-80",(IF(B17=2,80,(IF(B17=1,"80-85",(IF(B17=0,95,"&gt;95")))))))))))))))))))))))))))))))))))))))))))))))))))))))</f>
        <v>95</v>
      </c>
      <c r="I17" s="121"/>
      <c r="J17" s="113"/>
      <c r="K17" s="117" t="s">
        <v>167</v>
      </c>
      <c r="L17" s="120">
        <f>IF(B18&lt;0.378,"&lt;2",(IF(B18=0.378,2,(IF(AND(B18&gt;0.378,B18&lt;0.468),"2-5",(IF(B18=0.468,5,(IF(AND(B18&gt;0.468,B18&lt;0.515),"5-10",(IF(B18=0.515,10,(IF(AND(B18&gt;0.515,B18&lt;0.568),"10-15",(IF(B18=0.568,15,(IF(AND(B18&gt;0.568,B18&lt;0.61),"15-20",(IF(B18=0.61,20,(IF(AND(B18&gt;0.61,B18&lt;0.647),"20-25",(IF(B18=0.647,25,(IF(AND(B18&gt;0.647,B18&lt;0.698),"25-30",(IF(B18=0.698,30,(IF(AND(B18&gt;0.698,B18&lt;0.78),"30-40",(IF(B18=0.78,40,(IF(AND(B18&gt;0.78,B18&lt;0.878),"40-50",(IF(B18=0.878,50,(IF(AND(B18&gt;0.878,B18&lt;0.978),"50-60",(IF(B18=0.978,60,(IF(AND(B18&gt;0.978,B18&lt;1),"60-70",(IF(B18=1,70,"&gt;70")))))))))))))))))))))))))))))))))))))))))))</f>
        <v>70</v>
      </c>
      <c r="M17" s="121"/>
      <c r="O17" s="106"/>
      <c r="P17" s="106"/>
    </row>
    <row r="18" spans="2:16" ht="12" customHeight="1" x14ac:dyDescent="0.25">
      <c r="B18" s="122">
        <f>AVERAGE((IF((AND(B9=0,B10=0)),1,(IF((AND(B9=0,B10&gt;0)),0,((B9-B10)/B9))))),(IF((AND(B10=0,B17=0)),1,(IF((AND(B10=0,B11&gt;0)),0,((B10-B11)/B10))))),(IF((AND(B11=0,B17=0)),1,(IF((AND(B11=0,B12&gt;0)),0,((B11-B12)/B11))))),(IF((AND(B12=0,B13=0)),1,(IF((AND(B12=0,B13&gt;0)),0,((B12-B13)/B12))))))</f>
        <v>1</v>
      </c>
      <c r="C18" s="163" t="s">
        <v>100</v>
      </c>
      <c r="D18" s="163"/>
      <c r="E18" s="163"/>
      <c r="F18" s="111"/>
      <c r="G18" s="117" t="s">
        <v>168</v>
      </c>
      <c r="H18" s="120" t="str">
        <f>IF(B17&gt;73,"&lt;2",(IF(B17=73,2,(IF(AND(B17&lt;73,B17&gt;59),"2-5",(IF(B17=59,5,(IF(AND(B17&lt;59,B17&gt;47),"5-10",(IF(B17=47,10,(IF(AND(B17&lt;47,B17&gt;39),"10-15",(IF(B17=39,15,(IF(AND(B17&lt;39,B17&gt;35),"15-20",(IF(B17=35,20,(IF(AND(B17&lt;35,B17&gt;30),"20-25",(IF(B17=30,25,(IF(AND(B17&lt;30,B17&gt;27),"25-30",(IF(B17=27,30,(IF(AND(B17&lt;27,B17&gt;21),"30-40",(IF(B17=21,40,(IF(AND(B17&lt;21,B17&gt;17),"40-50",(IF(B17=17,50,(IF(AND(B17&lt;17,B17&gt;13),"50-60",(IF(B17=13,60,(IF(AND(B17&lt;13,B17&gt;9),"60-70",(IF(B17=9,70,(IF(AND(B17&lt;9,B17&gt;7),"70-75",(IF(B17=7,75,(IF(AND(B17&lt;7,B17&gt;5),"75-80",(IF(B17=5,80,(IF(AND(B17&lt;5,B17&gt;3),"80-85",(IF(B17=3,"85-90",(IF(AND(B17&lt;3,B17&gt;1),"90-95",(IF(B17=1,95,"&gt;95")))))))))))))))))))))))))))))))))))))))))))))))))))))))))))</f>
        <v>&gt;95</v>
      </c>
      <c r="I18" s="121"/>
      <c r="J18" s="113"/>
      <c r="K18" s="117" t="s">
        <v>168</v>
      </c>
      <c r="L18" s="120">
        <f>IF(B18&lt;0.218,"&lt;2",(IF(B18=0.218,2,(IF(AND(B18&gt;0.218,B18&lt;0.308),"2-5",(IF(B18=0.308,5,(IF(AND(B18&gt;0.308,B18&lt;0.355),"5-10",(IF(B18=0.355,10,(IF(AND(B18&gt;0.355,B18&lt;0.408),"10-15",(IF(B18=0.408,15,(IF(AND(B18&gt;0.408,B18&lt;0.45),"15-20",(IF(B18=0.45,20,(IF(AND(B18&gt;0.45,B18&lt;0.487),"20-25",(IF(B18=0.487,25,(IF(AND(B18&gt;0.487,B18&lt;0.538),"25-30",(IF(B18=0.538,30,(IF(AND(B18&gt;0.538,B18&lt;0.62),"30-40",(IF(B18=0.62,40,(IF(AND(B18&gt;0.62,B18&lt;0.718),"40-50",(IF(B18=0.718,50,(IF(AND(B18&gt;0.718,B18&lt;0.818),"50-60",(IF(B18=0.818,60,(IF(AND(B18&gt;0.818,B18&lt;0.9),"60-70",(IF(B18=0.9,70,(IF(AND(B18&gt;0.9,B18&lt;0.963),"70-75",(IF(B18=0.963,75,(IF(AND(B18&gt;0.963,B18&lt;1),"75-80",(IF(B18=1,80,"&gt;80")))))))))))))))))))))))))))))))))))))))))))))))))))</f>
        <v>80</v>
      </c>
      <c r="M18" s="121"/>
      <c r="O18" s="106"/>
      <c r="P18" s="106"/>
    </row>
    <row r="19" spans="2:16" ht="12" customHeight="1" x14ac:dyDescent="0.25">
      <c r="B19" s="123">
        <f>B13-B14</f>
        <v>0</v>
      </c>
      <c r="C19" s="163" t="s">
        <v>101</v>
      </c>
      <c r="D19" s="163"/>
      <c r="E19" s="163"/>
      <c r="F19" s="109"/>
      <c r="G19" s="117" t="s">
        <v>177</v>
      </c>
      <c r="H19" s="120"/>
      <c r="I19" s="120">
        <f>IF(B17&gt;76,"&lt;2",(IF(B17=76,2,(IF(AND(B17&lt;76,B17&gt;55),"2-5",(IF(B17=55,5,(IF(AND(B17&lt;55,B17&gt;47),"5-10",(IF(B17=47,10,(IF(AND(B17&lt;47,B17&gt;41),"10-15",(IF(B17=41,15,(IF(AND(B17&lt;41,B17&gt;37),"15-20",(IF(B17=37,20,(IF(AND(B17&lt;37,B17&gt;32),"20-25",(IF(B17=32,25,(IF(AND(B17&lt;32,B17&gt;29),"25-30",(IF(B17=29,30,(IF(AND(B17&lt;29,B17&gt;26),"30-40",(IF(B17=26,40,(IF(AND(B17&lt;26,B17&gt;24),"40-50",(IF(B17=24,50,(IF(AND(B17&lt;24,B17&gt;15),"50-60",(IF(B17=15,60,(IF(AND(B17&lt;15,B17&gt;10),"60-70",(IF(B17=10,70,(IF(AND(B17&lt;10,B17&gt;9),"70-75",(IF(B17=9,75,(IF(AND(B17&lt;9,B17&gt;6),"75-80",(IF(B17=6,80,(IF(AND(B17&lt;6,B17&gt;4),"80-85",(IF(B17=4,85,(IF(AND(B17&lt;4,B17&gt;2),"85-90",(IF(B17=2,90,(IF(B17=1,95,(IF(B17=0,98,"&gt;98")))))))))))))))))))))))))))))))))))))))))))))))))))))))))))))))</f>
        <v>98</v>
      </c>
      <c r="J19" s="113"/>
      <c r="K19" s="117" t="s">
        <v>177</v>
      </c>
      <c r="L19" s="120"/>
      <c r="M19" s="120">
        <f>IF(B18&lt;0.117,"&lt;2",(IF(B18=0.117,2,(IF(AND(B18&gt;0.117,B18&lt;0.207),"2-5",(IF(B18=0.207,5,(IF(AND(B18&gt;0.207,B18&lt;0.247),"5-10",(IF(B18=0.247,10,(IF(AND(B18&gt;0.247,B18&lt;0.307),"10-15",(IF(B18=0.307,15,(IF(AND(B18&gt;0.307,B18&lt;0.337),"15-20",(IF(B18=0.337,20,(IF(AND(B18&gt;0.337,B18&lt;0.377),"20-25",(IF(B18=0.377,25,(IF(AND(B18&gt;0.377,B18&lt;0.417),"25-30",(IF(B18=0.417,30,(IF(AND(B18&gt;0.417,B18&lt;0.487),"30-40",(IF(B18=0.487,40,(IF(AND(B18&gt;0.487,B18&lt;0.567),"40-50",(IF(B18=0.567,50,(IF(AND(B18&gt;0.567,B18&lt;0.677),"50-60",(IF(B18=0.677,60,(IF(AND(B18&gt;0.677,B18&lt;0.807),"60-70",(IF(B18=0.807,70,(IF(AND(B18&gt;0.807,B18&lt;0.867),"70-75",(IF(B18=0.867,75,(IF(AND(B18&gt;0.867,B18&lt;0.907),"75-80",(IF(B18=0.907,80,(IF(AND(B18&gt;0.907,B18&lt;0.957),"80-85",(IF(B18=0.957,85,(IF(AND(B18&gt;0.957,B18&lt;1),"85-90",(IF(B18=1,90,"&gt;90")))))))))))))))))))))))))))))))))))))))))))))))))))))))))))</f>
        <v>90</v>
      </c>
      <c r="O19" s="106"/>
      <c r="P19" s="106"/>
    </row>
    <row r="20" spans="2:16" ht="12" customHeight="1" x14ac:dyDescent="0.25">
      <c r="B20"/>
      <c r="C20"/>
      <c r="D20"/>
      <c r="E20"/>
      <c r="F20" s="69"/>
      <c r="G20" s="117" t="s">
        <v>169</v>
      </c>
      <c r="H20" s="120" t="str">
        <f>IF(B17&gt;84,"&lt;2",(IF(B17=84,2,(IF(AND(B17&lt;84,B17&gt;69),"2-5",(IF(B17=69,5,(IF(AND(B17&lt;69,B17&gt;55),"5-10",(IF(B17=55,10,(IF(AND(B17&lt;55,B17&gt;47),"10-15",(IF(B17=47,15,(IF(AND(B17&lt;47,B17&gt;42),"15-20",(IF(B17=42,20,(IF(AND(B17&lt;42,B17&gt;37),"20-25",(IF(B17=37,25,(IF(AND(B17&lt;37,B17&gt;34),"25-30",(IF(B17=34,30,(IF(AND(B17&lt;34,B17&gt;27),"30-40",(IF(B17=27,40,(IF(AND(B17&lt;27,B17&gt;23),"40-50",(IF(B17=23,50,(IF(AND(B17&lt;23,B17&gt;17),"50-60",(IF(B17=17,60,(IF(AND(B17&lt;17,B17&gt;13),"60-70",(IF(B17=13,70,(IF(AND(B17&lt;13,B17&gt;11),"70-75",(IF(B17=11,75,(IF(AND(B17&lt;11,B17&gt;8),"75-80",(IF(B17=8,80,(IF(AND(B17&lt;8,B17&gt;6),"80-85",(IF(B17=6,85,(IF(AND(B17&lt;6,B17&gt;5),"85-90",(IF(B17=5,90,(IF(AND(B17&lt;5,B17&gt;3),"90-95",(IF(B17=3,95,(IF(AND(B17&lt;3,B17&gt;2),"95-98",(IF(B17=2,98,"&gt;98")))))))))))))))))))))))))))))))))))))))))))))))))))))))))))))))))))</f>
        <v>&gt;98</v>
      </c>
      <c r="I20" s="120" t="str">
        <f>IF(B17&gt;87,"&lt;2",(IF(B17=87,2,(IF(AND(B17&lt;87,B17&gt;64),"2-5",(IF(B17=64,5,(IF(AND(B17&lt;64,B17&gt;56),"5-10",(IF(B17=56,10,(IF(AND(B17&lt;56,B17&gt;49),"10-15",(IF(B17=49,15,(IF(AND(B17&lt;49,B17&gt;44),"15-20",(IF(B17=44,20,(IF(AND(B17&lt;44,B17&gt;40),"20-25",(IF(B17=40,25,(IF(AND(B17&lt;40,B17&gt;36),"25-30",(IF(B17=36,30,(IF(AND(B17&lt;36,B17&gt;32),"30-40",(IF(B17=32,40,(IF(AND(B17&lt;32,B17&gt;30),"40-50",(IF(B17=30,50,(IF(AND(B17&lt;30,B17&gt;20),"50-60",(IF(B17=20,60,(IF(AND(B17&lt;20,B17&gt;15),"60-70",(IF(B17=15,70,(IF(AND(B17&lt;15,B17&gt;13),"70-75",(IF(B17=13,75,(IF(AND(B17&lt;13,B17&gt;9),"75-80",(IF(B17=9,80,(IF(AND(B17&lt;9,B17&gt;6),"80-85",(IF(B17=6,85,(IF(AND(B17&lt;6,B17&gt;4),"85-90",(IF(B17=4,90,(IF(AND(B17&lt;4,B17&gt;2),"90-95",(IF(B17=2,95,(IF(AND(B17&lt;2,B17&gt;1),"95-98",(IF(B17=1,98,"&gt;98")))))))))))))))))))))))))))))))))))))))))))))))))))))))))))))))))))</f>
        <v>&gt;98</v>
      </c>
      <c r="J20" s="113"/>
      <c r="K20" s="117" t="s">
        <v>169</v>
      </c>
      <c r="L20" s="120">
        <f>IF(B18&lt;0.098,"&lt;2",(IF(B18=0.098,2,(IF(AND(B18&gt;0.098,B18&lt;0.188),"2-5",(IF(B18=0.188,5,(IF(AND(B18&gt;0.188,B18&lt;0.235),"5-10",(IF(B18=0.235,10,(IF(AND(B18&gt;0.235,B18&lt;0.288),"10-15",(IF(B18=0.288,15,(IF(AND(B18&gt;0.288,B18&lt;0.33),"15-20",(IF(B18=0.33,20,(IF(AND(B18&gt;0.33,B18&lt;0.367),"20-25",(IF(B18=0.367,25,(IF(AND(B18&gt;0.367,B18&lt;0.418),"25-30",(IF(B18=0.418,30,(IF(AND(B18&gt;0.418,B18&lt;0.5),"30-40",(IF(B18=0.5,40,(IF(AND(B18&gt;0.5,B18&lt;0.598),"40-50",(IF(B18=0.598,50,(IF(AND(B18&gt;0.598,B18&lt;0.698),"50-60",(IF(B18=0.698,60,(IF(AND(B18&gt;0.698,B18&lt;0.78),"60-70",(IF(B18=0.78,70,(IF(AND(B18&gt;0.78,B18&lt;0.843),"70-75",(IF(B18=0.843,75,(IF(AND(B18&gt;0.843,B18&lt;0.887),"75-80",(IF(B18=0.887,80,(IF(AND(B18&gt;0.887,B18&lt;0.916),"80-85",(IF(B18=0.916,85,(IF(AND(B18&gt;0.916,B18&lt;0.961),"85-90",(IF(B18=0.961,90,(IF(AND(B18&gt;0.961,B18&lt;1),"90-98",(IF(B18=1,98,"&gt;98")))))))))))))))))))))))))))))))))))))))))))))))))))))))))))))))</f>
        <v>98</v>
      </c>
      <c r="M20" s="120">
        <f>IF(B18&lt;0.017,"&lt;2",(IF(B18=0.017,2,(IF(AND(B18&gt;0.017,B18&lt;0.107),"2-5",(IF(B18=0.107,5,(IF(AND(B18&gt;0.107,B18&lt;0.147),"5-10",(IF(B18=0.147,10,(IF(AND(B18&gt;0.147,B18&lt;0.207),"10-15",(IF(B18=0.207,15,(IF(AND(B18&gt;0.207,B18&lt;0.237),"15-20",(IF(B18=0.237,20,(IF(AND(B18&gt;0.237,B18&lt;0.277),"20-25",(IF(B18=0.277,25,(IF(AND(B18&gt;0.277,B18&lt;0.317),"25-30",(IF(B18=0.317,30,(IF(AND(B18&gt;0.317,B18&lt;0.387),"30-40",(IF(B18=0.387,40,(IF(AND(B18&gt;0.387,B18&lt;0.467),"40-50",(IF(B18=0.467,50,(IF(AND(B18&gt;0.467,B18&lt;0.577),"50-60",(IF(B18=0.577,60,(IF(AND(B18&gt;0.577,B18&lt;0.707),"60-70",(IF(B18=0.707,70,(IF(AND(B18&gt;0.707,B18&lt;0.767),"70-75",(IF(B18=0.767,75,(IF(AND(B18&gt;0.767,B18&lt;0.807),"75-80",(IF(B18=0.807,80,(IF(AND(B18&gt;0.807,B18&lt;0.857),"80-85",(IF(B18=0.857,85,(IF(AND(B18&gt;0.857,B18&lt;0.907),"85-90",(IF(B18=0.907,90,(IF(AND(B18&gt;0.907,B18&lt;0.947),"90-95",(IF(B18=0.947,95,(IF(AND(B18&gt;0.947,B18&lt;1),"95-98",(IF(B18=1,98,"&gt;98")))))))))))))))))))))))))))))))))))))))))))))))))))))))))))))))))))</f>
        <v>98</v>
      </c>
      <c r="O20" s="106"/>
      <c r="P20" s="106"/>
    </row>
    <row r="21" spans="2:16" ht="12" customHeight="1" x14ac:dyDescent="0.25">
      <c r="B21"/>
      <c r="C21"/>
      <c r="D21"/>
      <c r="E21"/>
      <c r="F21"/>
      <c r="G21" s="117" t="s">
        <v>173</v>
      </c>
      <c r="H21" s="120" t="str">
        <f>IF(B17&gt;91,"&lt;2",(IF(B17=91,2,(IF(AND(B17&lt;91,B17&gt;76),"2-5",(IF(B17=76,5,(IF(AND(B17&lt;76,B17&gt;62),"5-10",(IF(B17=62,10,(IF(AND(B17&lt;62,B17&gt;52),"10-15",(IF(B17=52,15,(IF(AND(B17&lt;52,B17&gt;48),"15-20",(IF(B17=48,20,(IF(AND(B17&lt;48,B17&gt;42),"20-25",(IF(B17=42,25,(IF(AND(B17&lt;42,B17&gt;39),"25-30",(IF(B17=39,30,(IF(AND(B17&lt;39,B17&gt;31),"30-40",(IF(B17=31,40,(IF(AND(B17&lt;31,B17&gt;26),"40-50",(IF(B17=26,50,(IF(AND(B17&lt;26,B17&gt;21),"50-60",(IF(B17=21,60,(IF(AND(B17&lt;21,B17&gt;16),"60-70",(IF(B17=16,70,(IF(AND(B17&lt;16,B17&gt;14),"70-75",(IF(B17=14,75,(IF(AND(B17&lt;14,B17&gt;11),"75-80",(IF(B17=11,80,(IF(AND(B17&lt;11,B17&gt;8),"80-85",(IF(B17=8,85,(IF(AND(B17&lt;8,B17&gt;7),"85-90",(IF(B17=7,90,(IF(AND(B17&lt;7,B17&gt;5),"90-95",(IF(B17=5,95,(IF(AND(B17&lt;5,B17&gt;3),"95-98",(IF(B17=3,98,"&gt;98")))))))))))))))))))))))))))))))))))))))))))))))))))))))))))))))))))</f>
        <v>&gt;98</v>
      </c>
      <c r="I21" s="120" t="str">
        <f>IF(B17&gt;98,"&lt;2",(IF(B17=98,2,(IF(AND(B17&lt;98,B17&gt;74),"2-5",(IF(B17=74,5,(IF(AND(B17&lt;74,B17&gt;65),"5-10",(IF(B17=65,10,(IF(AND(B17&lt;65,B17&gt;57),"10-15",(IF(B17=57,15,(IF(AND(B17&lt;57,B17&gt;53),"15-20",(IF(B17=53,20,(IF(AND(B17&lt;53,B17&gt;47),"20-25",(IF(B17=47,25,(IF(AND(B17&lt;47,B17&gt;44),"25-30",(IF(B17=44,30,(IF(AND(B17&lt;44,B17&gt;40),"30-40",(IF(B17=40,40,(IF(AND(B17&lt;40,B17&gt;37),"40-50",(IF(B17=37,50,(IF(AND(B17&lt;37,B17&gt;26),"50-60",(IF(B17=26,60,(IF(AND(B17&lt;26,B17&gt;20),"60-70",(IF(B17=20,70,(IF(AND(B17&lt;20,B17&gt;17),"70-75",(IF(B17=17,75,(IF(AND(B17&lt;17,B17&gt;13),"75-80",(IF(B17=13,80,(IF(AND(B17&lt;13,B17&gt;10),"80-85",(IF(B17=10,85,(IF(AND(B17&lt;10,B17&gt;7),"85-90",(IF(B17=7,90,(IF(AND(B17&lt;7,B17&gt;4),"90-95",(IF(B17=4,95,(IF(AND(B17&lt;4,B17&gt;2),"95-98",(IF(B17=2,98,"&gt;98")))))))))))))))))))))))))))))))))))))))))))))))))))))))))))))))))))</f>
        <v>&gt;98</v>
      </c>
      <c r="J21" s="113"/>
      <c r="K21" s="117" t="s">
        <v>173</v>
      </c>
      <c r="L21" s="120" t="str">
        <f>IF(B18&lt;0.018,"&lt;2",(IF(B18=0.018,2,(IF(AND(B18&gt;0.018,B18&lt;0.108),"2-5",(IF(B18=0.108,5,(IF(AND(B18&gt;0.108,B18&lt;0.155),"5-10",(IF(B18=0.155,10,(IF(AND(B18&gt;0.155,B18&lt;0.208),"10-15",(IF(B18=0.208,15,(IF(AND(B18&gt;0.208,B18&lt;0.25),"15-20",(IF(B18=0.25,20,(IF(AND(B18&gt;0.25,B18&lt;0.287),"20-25",(IF(B18=0.287,25,(IF(AND(B18&gt;0.287,B18&lt;0.338),"25-30",(IF(B18=0.338,30,(IF(AND(B18&gt;0.338,B18&lt;0.42),"30-40",(IF(B18=0.42,40,(IF(AND(B18&gt;0.42,B18&lt;0.518),"40-50",(IF(B18=0.518,50,(IF(AND(B18&gt;0.518,B18&lt;0.618),"50-60",(IF(B18=0.618,60,(IF(AND(B18&gt;0.618,B18&lt;0.7),"60-70",(IF(B18=0.7,70,(IF(AND(B18&gt;0.7,B18&lt;0.763),"70-75",(IF(B18=0.763,75,(IF(AND(B18&gt;0.763,B18&lt;0.807),"75-80",(IF(B18=0.807,80,(IF(AND(B18&gt;0.807,B18&lt;0.836),"80-85",(IF(B18=0.836,85,(IF(AND(B18&gt;0.836,B18&lt;0.881),"85-90",(IF(B18=0.881,90,(IF(AND(B18&gt;0.881,B18&lt;0.957),"90-95",(IF(B18=0.957,95,(IF(AND(B18&gt;0.957,B18&lt;0.999),"95-98",(IF(B18=0.999,98,"&gt;98")))))))))))))))))))))))))))))))))))))))))))))))))))))))))))))))))))</f>
        <v>&gt;98</v>
      </c>
      <c r="M21" s="120" t="str">
        <f>IF(B18&lt;0,"&lt;2",(IF(B18=0,2,(IF(AND(B18&gt;0,B18&lt;0.007),"2-5",(IF(B18=0.007,5,(IF(AND(B18&gt;0.047,B18&lt;0.047),"5-10",(IF(B18=0.047,10,(IF(AND(B18&gt;0.047,B18&lt;0.107),"10-15",(IF(B18=0.107,15,(IF(AND(B18&gt;0.107,B18&lt;0.137),"15-20",(IF(B18=0.137,20,(IF(AND(B18&gt;0.137,B18&lt;0.177),"20-25",(IF(B18=0.177,25,(IF(AND(B18&gt;0.177,B18&lt;0.217),"25-30",(IF(B18=0.217,30,(IF(AND(B18&gt;0.217,B18&lt;0.287),"30-40",(IF(B18=0.287,40,(IF(AND(B18&gt;0.287,B18&lt;0.367),"40-50",(IF(B18=0.367,50,(IF(AND(B18&gt;0.367,B18&lt;0.477),"50-60",(IF(B18=0.477,60,(IF(AND(B18&gt;0.477,B18&lt;0.607),"60-70",(IF(B18=0.607,70,(IF(AND(B18&gt;0.607,B18&lt;0.667),"70-75",(IF(B18=0.667,75,(IF(AND(B18&gt;0.667,B18&lt;0.707),"75-80",(IF(B18=0.707,80,(IF(AND(B18&gt;0.707,B18&lt;0.757),"80-85",(IF(B18=0.757,85,(IF(AND(B18&gt;0.757,B18&lt;0.807),"85-90",(IF(B18=0.807,90,(IF(AND(B18&gt;0.807,B18&lt;0.847),"90-95",(IF(B18=0.847,95,(IF(AND(B18&gt;0.847,B18&lt;0.917),"95-98",(IF(B18=0.917,98,"&gt;98")))))))))))))))))))))))))))))))))))))))))))))))))))))))))))))))))))</f>
        <v>&gt;98</v>
      </c>
      <c r="O21" s="106"/>
      <c r="P21" s="106"/>
    </row>
    <row r="22" spans="2:16" ht="12" customHeight="1" x14ac:dyDescent="0.25">
      <c r="B22" s="124"/>
      <c r="C22" s="125"/>
      <c r="G22" s="117" t="s">
        <v>166</v>
      </c>
      <c r="H22" s="120" t="str">
        <f>IF(B17&gt;99,"&lt;2",(IF(B17=99,2,(IF(AND(B17&lt;99,B17&gt;83),"2-5",(IF(B17=83,5,(IF(AND(B17&lt;83,B17&gt;68),"5-10",(IF(B17=68,10,(IF(AND(B17&lt;68,B17&gt;58),"10-15",(IF(B17=58,15,(IF(AND(B17&lt;58,B17&gt;53),"15-20",(IF(B17=53,20,(IF(AND(B17&lt;53,B17&gt;47),"20-25",(IF(B17=47,25,(IF(AND(B17&lt;47,B17&gt;44),"25-30",(IF(B17=44,30,(IF(AND(B17&lt;44,B17&gt;36),"30-40",(IF(B17=36,40,(IF(AND(B17&lt;36,B17&gt;31),"40-50",(IF(B17=31,50,(IF(AND(B17&lt;31,B17&gt;25),"50-60",(IF(B17=25,60,(IF(AND(B17&lt;25,B17&gt;19),"60-70",(IF(B17=19,70,(IF(AND(B17&lt;19,B17&gt;17),"70-75",(IF(B17=17,75,(IF(AND(B17&lt;17,B17&gt;14),"75-80",(IF(B17=14,80,(IF(AND(B17&lt;14,B17&gt;11),"80-85",(IF(B17=11,85,(IF(AND(B17&lt;11,B17&gt;9),"85-90",(IF(B17=9,90,(IF(AND(B17&lt;9,B17&gt;7),"90-95",(IF(B17=7,95,(IF(AND(B17&lt;7,B17&gt;5),"95-98",(IF(B17=5,98,"&gt;98")))))))))))))))))))))))))))))))))))))))))))))))))))))))))))))))))))</f>
        <v>&gt;98</v>
      </c>
      <c r="I22" s="120" t="str">
        <f>IF(B17&gt;110,"&lt;2",(IF(B17=110,2,(IF(AND(B17&lt;110,B17&gt;85),"2-5",(IF(B17=85,5,(IF(AND(B17&lt;85,B17&gt;75),"5-10",(IF(B17=75,10,(IF(AND(B17&lt;75,B17&gt;67),"10-15",(IF(B17=67,15,(IF(AND(B17&lt;67,B17&gt;62),"15-20",(IF(B17=62,20,(IF(AND(B17&lt;62,B17&gt;56),"20-25",(IF(B17=56,25,(IF(AND(B17&lt;56,B17&gt;52),"25-30",(IF(B17=52,30,(IF(AND(B17&lt;52,B17&gt;48),"30-40",(IF(B17=48,40,(IF(AND(B17&lt;48,B17&gt;45),"40-50",(IF(B17=45,50,(IF(AND(B17&lt;45,B17&gt;32),"50-60",(IF(B17=32,60,(IF(AND(B17&lt;32,B17&gt;25),"60-70",(IF(B17=25,70,(IF(AND(B17&lt;25,B17&gt;23),"70-75",(IF(B17=23,75,(IF(AND(B17&lt;23,B17&gt;18),"75-80",(IF(B17=18,80,(IF(AND(B17&lt;18,B17&gt;14),"80-85",(IF(B17=14,85,(IF(AND(B17&lt;14,B17&gt;10),"85-90",(IF(B17=10,90,(IF(AND(B17&lt;10,B17&gt;7),"90-95",(IF(B17=7,95,(IF(AND(B17&lt;7,B17&gt;4),"95-98",(IF(B17=4,98,"&gt;98")))))))))))))))))))))))))))))))))))))))))))))))))))))))))))))))))))</f>
        <v>&gt;98</v>
      </c>
      <c r="J22" s="113"/>
      <c r="K22" s="117" t="s">
        <v>166</v>
      </c>
      <c r="L22" s="120" t="str">
        <f>IF(B18&lt;0,"&lt;2",(IF(B18=0,2,(IF(AND(B18&gt;0,B18&lt;0.028),"2-5",(IF(B18=0.028,5,(IF(AND(B18&gt;0.028,B18&lt;0.075),"5-10",(IF(B18=0.075,10,(IF(AND(B18&gt;0.075,B18&lt;0.128),"10-15",(IF(B18=0.128,15,(IF(AND(B18&gt;0.128,B18&lt;0.17),"15-20",(IF(B18=0.17,20,(IF(AND(B18&gt;0.17,B18&lt;0.207),"20-25",(IF(B18=0.207,25,(IF(AND(B18&gt;0.207,B18&lt;0.258),"25-30",(IF(B18=0.258,30,(IF(AND(B18&gt;0.258,B18&lt;0.34),"30-40",(IF(B18=0.34,40,(IF(AND(B18&gt;0.34,B18&lt;0.438),"40-50",(IF(B18=0.438,50,(IF(AND(B18&gt;0.438,B18&lt;0.538),"50-60",(IF(B18=0.538,60,(IF(AND(B18&gt;0.538,B18&lt;0.62),"60-70",(IF(B18=0.62,70,(IF(AND(B18&gt;0.62,B18&lt;0.683),"70-75",(IF(B18=0.683,75,(IF(AND(B18&gt;0.683,B18&lt;0.727),"75-80",(IF(B18=0.727,80,(IF(AND(B18&gt;0.727,B18&lt;0.756),"80-85",(IF(B18=0.756,85,(IF(AND(B18&gt;0.756,B18&lt;0.801),"85-90",(IF(B18=0.801,90,(IF(AND(B18&gt;0.801,B18&lt;0.877),"90-95",(IF(B18=0.877,95,(IF(AND(B18&gt;0.877,B18&lt;0.919),"95-98",(IF(B18=0.919,98,"&gt;98")))))))))))))))))))))))))))))))))))))))))))))))))))))))))))))))))))</f>
        <v>&gt;98</v>
      </c>
      <c r="M22" s="120" t="str">
        <f>IF(B18&lt;0,"&lt;10",(IF(B18=0,10,(IF(AND(B18&gt;0,B18&lt;0.007),"10-15",(IF(B18=0.007,15,(IF(AND(B18&gt;0.007,B18&lt;0.037),"15-20",(IF(B18=0.037,20,(IF(AND(B18&gt;0.037,B18&lt;0.077),"20-25",(IF(B18=0.077,25,(IF(AND(B18&gt;0.077,B18&lt;0.117),"25-30",(IF(B18=0.117,30,(IF(AND(B18&gt;0.117,B18&lt;0.187),"30-40",(IF(B18=0.187,40,(IF(AND(B18&gt;0.187,B18&lt;0.267),"40-50",(IF(B18=0.267,50,(IF(AND(B18&gt;0.267,B18&lt;0.377),"50-60",(IF(B18=0.377,60,(IF(AND(B18&gt;0.377,B18&lt;0.507),"60-70",(IF(B18=0.507,70,(IF(AND(B18&gt;0.507,B18&lt;0.567),"70-75",(IF(B18=0.567,75,(IF(AND(B18&gt;0.567,B18&lt;0.607),"75-80",(IF(B18=0.607,80,(IF(AND(B18&gt;0.607,B18&lt;0.657),"80-85",(IF(B18=0.657,85,(IF(AND(B18&gt;0.657,B18&lt;0.707),"85-90",(IF(B18=0.707,90,(IF(AND(B18&gt;0.707,B18&lt;0.747),"90-95",(IF(B18=0.747,95,(IF(AND(B18&gt;0.747,B18&lt;0.817),"95-98",(IF(B18=0.817,98,"&gt;98")))))))))))))))))))))))))))))))))))))))))))))))))))))))))))</f>
        <v>&gt;98</v>
      </c>
      <c r="O22" s="106"/>
      <c r="P22" s="106"/>
    </row>
    <row r="23" spans="2:16" ht="12" customHeight="1" x14ac:dyDescent="0.25">
      <c r="B23" s="110"/>
      <c r="C23" s="110"/>
      <c r="D23" s="110"/>
      <c r="E23" s="110"/>
      <c r="F23" s="110"/>
      <c r="G23" s="126"/>
      <c r="H23" s="120"/>
      <c r="I23" s="120"/>
      <c r="J23" s="113"/>
      <c r="K23" s="126"/>
      <c r="L23" s="120"/>
      <c r="M23" s="120"/>
      <c r="O23" s="106"/>
      <c r="P23" s="106"/>
    </row>
    <row r="24" spans="2:16" ht="12" customHeight="1" x14ac:dyDescent="0.25">
      <c r="B24" s="127" t="s">
        <v>22</v>
      </c>
      <c r="C24"/>
      <c r="D24"/>
      <c r="E24"/>
      <c r="F24" s="100" t="s">
        <v>24</v>
      </c>
      <c r="G24" s="117" t="s">
        <v>172</v>
      </c>
      <c r="H24" s="118" t="s">
        <v>170</v>
      </c>
      <c r="I24" s="118" t="s">
        <v>171</v>
      </c>
      <c r="J24" s="117"/>
      <c r="K24" s="117" t="s">
        <v>172</v>
      </c>
      <c r="L24" s="118" t="s">
        <v>170</v>
      </c>
      <c r="M24" s="118" t="s">
        <v>171</v>
      </c>
      <c r="O24" s="106"/>
      <c r="P24" s="106"/>
    </row>
    <row r="25" spans="2:16" ht="12" customHeight="1" x14ac:dyDescent="0.25">
      <c r="B25" s="128">
        <f>IF(B15=0,(IF(B8=1,(IF(B7&lt;40,H33,(IF(AND(B7&gt;39,B7&lt;60),H34,(IF(AND(B7&gt;59,B7&lt;70),H36,(IF(AND(B7&gt;69,B7&lt;80),H37,H38)))))))),(IF(B8=-1,(IF(B7&lt;40,H25,(IF(AND(B7&gt;39,B7&lt;60),H26,(IF(AND(B7&gt;59,B7&lt;70),H28,(IF(AND(B7&gt;69,B7&lt;80),H29,H30)))))))),((IF(B7&lt;40,H17,(IF(AND(B7&gt;39,B7&lt;60),H18,(IF(AND(B7&gt;59,B7&lt;70),H20,(IF(AND(B7&gt;69,B7&lt;80),H21,H22))))))))))))),(IF(B8=1,(IF(B7&lt;60,I35,(IF(AND(B7&gt;59,B7&lt;70),I36,(IF(AND(B7&gt;69,B7&lt;80),I37,I38)))))),(IF(B8=-1,(IF(B7&lt;60,I27,(IF(AND(B7&gt;59,B7&lt;70),I28,(IF(AND(B7&gt;69,B7&lt;80),I29,I30)))))),(IF(B7&lt;60,I19,(IF(AND(B7&gt;59,B7&lt;70),I20,(IF(AND(B7&gt;69,B7&lt;80),I21,I22)))))))))))</f>
        <v>95</v>
      </c>
      <c r="C25" s="163" t="s">
        <v>99</v>
      </c>
      <c r="D25" s="163"/>
      <c r="E25" s="163"/>
      <c r="F25" s="123" t="s">
        <v>165</v>
      </c>
      <c r="G25" s="117" t="s">
        <v>167</v>
      </c>
      <c r="H25" s="120" t="str">
        <f>IF(B17&gt;75,"&lt;2",(IF(B17=75,2,(IF(AND(B17&lt;75,B17&gt;61),"2-5",(IF(B17=61,5,(IF(AND(B17&lt;61,B17&gt;49),"5-10",(IF(B17=49,10,(IF(AND(B17&lt;49,B17&gt;40),"10-15",(IF(B17=40,15,(IF(AND(B17&lt;40,B17&gt;36),"15-20",(IF(B17=36,20,(IF(AND(B17&lt;36,B17&gt;31),"20-25",(IF(B17=31,25,(IF(AND(B17&lt;31,B17&gt;29),"25-30",(IF(B17=29,30,(IF(AND(B17&lt;29,B17&gt;22),"30-40",(IF(B17=22,40,(IF(AND(B17&lt;22,B17&gt;18),"40-50",(IF(B17=18,50,(IF(AND(B17&lt;18,B17&gt;14),"50-60",(IF(B17=14,60,(IF(AND(B17&lt;14,B17&gt;9),"60-70",(IF(B17=9,70,(IF(AND(B17&lt;9,B17&gt;8),"70-75",(IF(B17=8,75,(IF(AND(B17&lt;8,B17&gt;6),"75-80",(IF(B17=6,80,(IF(AND(B17&lt;6,B17&gt;4),"80-85",(IF(B17=4,85,(IF(AND(B17&lt;4,B17&gt;3),"85-90",(IF(B17=3,90,(IF(AND(B17&lt;3,B17&gt;2),"90-95",(IF(B17=2,95,(IF(AND(B17&lt;2,B17&gt;1),"95-98",(IF(B17=1,98,"&gt;98")))))))))))))))))))))))))))))))))))))))))))))))))))))))))))))))))))</f>
        <v>&gt;98</v>
      </c>
      <c r="I25" s="120"/>
      <c r="J25" s="113"/>
      <c r="K25" s="117" t="s">
        <v>167</v>
      </c>
      <c r="L25" s="120">
        <f>IF(B18&lt;0.253,"&lt;2",(IF(B18=0.253,2,(IF(AND(B18&gt;0.253,B18&lt;0.343),"2-5",(IF(B18=0.343,5,(IF(AND(B18&gt;0.343,B18&lt;0.39),"5-10",(IF(B18=0.39,10,(IF(AND(B18&gt;0.39,B18&lt;0.443),"10-15",(IF(B18=0.443,15,(IF(AND(B18&gt;0.443,B18&lt;0.485),"15-20",(IF(B18=0.485,20,(IF(AND(B18&gt;0.485,B18&lt;0.522),"20-25",(IF(B18=0.522,25,(IF(AND(B18&gt;0.522,B18&lt;0.573),"25-30",(IF(B18=0.573,30,(IF(AND(B18&gt;0.573,B18&lt;0.655),"30-40",(IF(B18=0.655,40,(IF(AND(B18&gt;0.655,B18&lt;0.753),"40-50",(IF(B18=0.753,50,(IF(AND(B18&gt;0.753,B18&lt;0.853),"50-60",(IF(B18=0.853,60,(IF(AND(B18&gt;0.853,B18&lt;0.935),"60-70",(IF(B18=0.935,70,(IF(AND(B18&gt;0.935,B18&lt;0.998),"70-75",(IF(B18=0.998,75,(IF(AND(B18&gt;0.998,B18&lt;1),"75-80",(IF(B18=1,80,"&gt;80")))))))))))))))))))))))))))))))))))))))))))))))))))</f>
        <v>80</v>
      </c>
      <c r="M25" s="120"/>
      <c r="O25" s="106"/>
      <c r="P25" s="106"/>
    </row>
    <row r="26" spans="2:16" ht="12" customHeight="1" x14ac:dyDescent="0.25">
      <c r="B26" s="128">
        <f>IF(B15=0,(IF(B8=1,(IF(B7&lt;40,L33,(IF(AND(B7&gt;39,B7&lt;60),L34,(IF(AND(B7&gt;59,B7&lt;70),L36,(IF(AND(B7&gt;69,B7&lt;80),L37,L38)))))))),(IF(B8=-1,(IF(B7&lt;40,L25,(IF(AND(B7&gt;39,B7&lt;60),L26,(IF(AND(B7&gt;59,B7&lt;70),L28,(IF(AND(B7&gt;69,B7&lt;80),L29,L30)))))))),((IF(B7&lt;40,L17,(IF(AND(B7&gt;39,B7&lt;60),L18,(IF(AND(B7&gt;59,B7&lt;70),L20,(IF(AND(B7&gt;69,B7&lt;80),L21,L22))))))))))))),(IF(B8=1,(IF(B7&lt;60,M35,(IF(AND(B7&gt;59,B7&lt;70),M36,(IF(AND(B7&gt;69,B7&lt;80),M37,M38)))))),(IF(B8=-1,(IF(B7&lt;60,M27,(IF(AND(B7&gt;59,B7&lt;70),M28,(IF(AND(B7&gt;69,B7&lt;80),M29,M30)))))),(IF(B7&lt;60,M19,(IF(AND(B7&gt;59,B7&lt;70),M20,(IF(AND(B7&gt;69,B7&lt;80),M21,M22)))))))))))</f>
        <v>70</v>
      </c>
      <c r="C26" s="163" t="s">
        <v>100</v>
      </c>
      <c r="D26" s="163"/>
      <c r="E26" s="163"/>
      <c r="F26" s="123" t="s">
        <v>165</v>
      </c>
      <c r="G26" s="117" t="s">
        <v>168</v>
      </c>
      <c r="H26" s="120" t="str">
        <f>IF(B17&gt;90,"&lt;2",(IF(B17=90,2,(IF(AND(B17&lt;90,B17&gt;74),"2-5",(IF(B17=74,5,(IF(AND(B17&lt;74,B17&gt;60),"5-10",(IF(B17=60,10,(IF(AND(B17&lt;60,B17&gt;51),"10-15",(IF(B17=51,15,(IF(AND(B17&lt;51,B17&gt;47),"15-20",(IF(B17=47,20,(IF(AND(B17&lt;47,B17&gt;41),"20-25",(IF(B17=41,25,(IF(AND(B17&lt;41,B17&gt;38),"25-30",(IF(B17=38,30,(IF(AND(B17&lt;38,B17&gt;30),"30-40",(IF(B17=30,40,(IF(AND(B17&lt;30,B17&gt;26),"40-50",(IF(B17=26,50,(IF(AND(B17&lt;26,B17&gt;20),"50-60",(IF(B17=20,60,(IF(AND(B17&lt;20,B17&gt;15),"60-70",(IF(B17=15,70,(IF(AND(B17&lt;15,B17&gt;13),"70-75",(IF(B17=13,75,(IF(AND(B17&lt;13,B17&gt;10),"75-80",(IF(B17=10,80,(IF(AND(B17&lt;10,B17&gt;8),"80-85",(IF(B17=8,85,(IF(AND(B17&lt;8,B17&gt;6),"85-90",(IF(B17=6,90,(IF(AND(B17&lt;6,B17&gt;4),"90-95",(IF(B17=4,95,(IF(AND(B17&lt;4,B17&gt;3),"95-98",(IF(B17=3,98,"&gt;98")))))))))))))))))))))))))))))))))))))))))))))))))))))))))))))))))))</f>
        <v>&gt;98</v>
      </c>
      <c r="I26" s="120"/>
      <c r="J26" s="113"/>
      <c r="K26" s="117" t="s">
        <v>168</v>
      </c>
      <c r="L26" s="120">
        <f>IF(B18&lt;0.093,"&lt;2",(IF(B18=0.093,2,(IF(AND(B18&gt;0.093,B18&lt;0.183),"2-5",(IF(B18=0.183,5,(IF(AND(B18&gt;0.183,B18&lt;0.23),"5-10",(IF(B18=0.23,10,(IF(AND(B18&gt;0.23,B18&lt;0.283),"10-15",(IF(B18=0.283,15,(IF(AND(B18&gt;0.283,B18&lt;0.325),"15-20",(IF(B18=0.325,20,(IF(AND(B18&gt;0.325,B18&lt;0.362),"20-25",(IF(B18=0.362,25,(IF(AND(B18&gt;0.362,B18&lt;0.413),"25-30",(IF(B18=0.413,30,(IF(AND(B18&gt;0.413,B18&lt;0.495),"30-40",(IF(B18=0.495,40,(IF(AND(B18&gt;0.495,B18&lt;0.593),"40-50",(IF(B18=0.593,50,(IF(AND(B18&gt;0.593,B18&lt;0.693),"50-60",(IF(B18=0.693,60,(IF(AND(B18&gt;0.693,B18&lt;0.775),"60-70",(IF(B18=0.775,70,(IF(AND(B18&gt;0.775,B18&lt;0.838),"70-75",(IF(B18=0.838,75,(IF(AND(B18&gt;0.838,B18&lt;0.882),"75-80",(IF(B18=0.882,80,(IF(AND(B18&gt;0.882,B18&lt;0.911),"80-85",(IF(B18=0.911,85,(IF(AND(B18&gt;0.911,B18&lt;0.956),"85-90",(IF(B18=0.956,90,(IF(AND(B18&gt;0.956,B18&lt;1),"90-95",(IF(B18=1,95,"&gt;95")))))))))))))))))))))))))))))))))))))))))))))))))))))))))))))))</f>
        <v>95</v>
      </c>
      <c r="M26" s="120"/>
      <c r="O26" s="106"/>
      <c r="P26" s="106"/>
    </row>
    <row r="27" spans="2:16" ht="12" customHeight="1" x14ac:dyDescent="0.25">
      <c r="B27" s="129" t="str">
        <f>IF(B15=0,(IF(B17&lt;-9,"&lt;2",(IF(B17=-9,2,(IF(AND(B17&gt;-9,B17&lt;-6),"2-5",(IF(B17=-6,5,(IF(AND(B17&gt;-6,B17&lt;-4),"5-10",(IF(B17=-4,10,(IF(AND(B17&gt;-4,B17&lt;-2),"10-15",(IF(B17=-2,15,(IF(B17=-1,"20-25",(IF(B17=0,"30-85",(IF(B17=1,90,(IF(B17=2,95,(IF(AND(B17&gt;2,B17&lt;5),"95-98",(IF(B17=5,98,"&gt;98")))))))))))))))))))))))))))),((IF(B9&lt;60,(IF(B17&lt;-7,"&lt;2",(IF(B17=-7,2,(IF(B17=-6,5,(IF(B17=-5,10,(IF(B17=-4,"10-15",(IF(B17=-3,"15-20",(IF(B17=-2,25,(IF(B17=-1,30,(IF(B17=0,"40-85",(IF(B17=1,90,(IF(AND(B17&gt;1,B17&lt;6),"90-95",(IF(B17=6,95,(IF(B17=7,"95-98",(IF(B17=8,98,"&gt;98")))))))))))))))))))))))))))),(IF(AND(B9&gt;59,B9&lt;70),(IF(B17&lt;-7,"&lt;2",(IF(B17=-7,2,(IF(B17=-6,5,(IF(B17=-5,10,(IF(B17=-4,15,(IF(B17=-3,20,(IF(B17=-2,"25-30",(IF(B17=-1,"40-70",(IF(B17=0,"75-85",(IF(B17=1,90,(IF(AND(B17&gt;1,B17&lt;5),"90-95",(IF(B17=5,95,(IF(B17=6,"95-98",(IF(B17=7,98,"&gt;98")))))))))))))))))))))))))))),(IF(AND(B9&gt;69,B9&lt;80),(IF(B17&lt;-8,"&lt;2",(IF(B17=-8,2,(IF(B17=-7,5,(IF(B17=-6,10,(IF(B17=-5,"10-15",(IF(B17=-4,"15-20",(IF(B17=-3,25,(IF(B17=-2,30,(IF(B17=-1,"40-85",(IF(B17=0,90,(IF(AND(B17&gt;0,B17&lt;4),"90-95",(IF(B17=4,95,(IF(AND(B17&gt;4,B17&lt;7),"95-98",(IF(B17=7,98,"&gt;98")))))))))))))))))))))))))))),(IF(B17&lt;-9,"&lt;2",(IF(B17=-9,2,(IF(B17=-8,5,(IF(B17=-7,"5-10",(IF(B17=-6,10,(IF(B17=-5,15,(IF(B17=-4,"20-25",(IF(B17=-3,30,(IF(B17=-2,"40-75",(IF(B17=-1,"80-85",(IF(B17=0,90,(IF(AND(B17&gt;0,B17&lt;4),"90-95",(IF(B17=4,95,(IF(B17=5,98,"&gt;98"))))))))))))))))))))))))))))))))))))</f>
        <v>30-85</v>
      </c>
      <c r="C27" s="163" t="s">
        <v>101</v>
      </c>
      <c r="D27" s="163"/>
      <c r="E27" s="163"/>
      <c r="F27" s="123" t="s">
        <v>0</v>
      </c>
      <c r="G27" s="117" t="s">
        <v>177</v>
      </c>
      <c r="H27" s="120"/>
      <c r="I27" s="120" t="str">
        <f>IF(B17&gt;97,"&lt;2",(IF(B17=97,2,(IF(AND(B17&lt;97,B17&gt;73),"2-5",(IF(B17=73,5,(IF(AND(B17&lt;73,B17&gt;64),"5-10",(IF(B17=64,10,(IF(AND(B17&lt;64,B17&gt;57),"10-15",(IF(B17=57,15,(IF(AND(B17&lt;57,B17&gt;52),"15-20",(IF(B17=52,20,(IF(AND(B17&lt;52,B17&gt;47),"20-25",(IF(B17=47,25,(IF(AND(B17&lt;47,B17&gt;43),"25-30",(IF(B17=43,30,(IF(AND(B17&lt;43,B17&gt;39),"30-40",(IF(B17=39,40,(IF(AND(B17&lt;39,B17&gt;37),"40-50",(IF(B17=37,50,(IF(AND(B17&lt;37,B17&gt;25),"50-60",(IF(B17=25,60,(IF(AND(B17&lt;25,B17&gt;19),"60-70",(IF(B17=19,70,(IF(AND(B17&lt;19,B17&gt;17),"70-75",(IF(B17=17,75,(IF(AND(B17&lt;17,B17&gt;13),"75-80",(IF(B17=13,80,(IF(AND(B17&lt;13,B17&gt;9),"80-85",(IF(B17=9,85,(IF(AND(B17&lt;9,B17&gt;7),"85-90",(IF(B17=7,90,(IF(AND(B17&lt;7,B17&gt;4),"90-95",(IF(B17=4,95,(IF(AND(B17&lt;4,B17&gt;2),"95-98",(IF(B17=2,98,"&gt;98")))))))))))))))))))))))))))))))))))))))))))))))))))))))))))))))))))</f>
        <v>&gt;98</v>
      </c>
      <c r="J27" s="113"/>
      <c r="K27" s="117" t="s">
        <v>177</v>
      </c>
      <c r="L27" s="120"/>
      <c r="M27" s="120">
        <f>IF(B18&lt;0,"&lt;2",(IF(B18=0,2,(IF(AND(B18&gt;0,B18&lt;0.107),"2-5",(IF(B18=0.107,5,(IF(AND(B18&gt;0.107,B18&lt;0.147),"5-10",(IF(B18=0.147,10,(IF(AND(B18&gt;0.147,B18&lt;0.207),"10-15",(IF(B18=0.207,15,(IF(AND(B18&gt;0.207,B18&lt;0.237),"15-20",(IF(B18=0.237,20,(IF(AND(B18&gt;0.237,B18&lt;0.277),"20-25",(IF(B18=0.277,25,(IF(AND(B18&gt;0.277,B18&lt;0.317),"25-30",(IF(B18=0.317,30,(IF(AND(B18&gt;0.317,B18&lt;0.387),"30-40",(IF(B18=0.387,40,(IF(AND(B18&gt;0.387,B18&lt;0.467),"40-50",(IF(B18=0.467,50,(IF(AND(B18&gt;0.467,B18&lt;0.577),"50-60",(IF(B18=0.577,60,(IF(AND(B18&gt;0.577,B18&lt;0.707),"60-70",(IF(B18=0.707,70,(IF(AND(B18&gt;0.707,B18&lt;0.767),"70-75",(IF(B18=0.767,75,(IF(AND(B18&gt;0.767,B18&lt;0.807),"75-80",(IF(B18=0.807,80,(IF(AND(B18&gt;0.807,B18&lt;0.857),"80-85",(IF(B18=0.857,85,(IF(AND(B18&gt;0.857,B18&lt;0.907),"85-90",(IF(B18=0.907,90,(IF(AND(B18&gt;0.907,B18&lt;0.947),"90-95",(IF(B18=0.947,95,(IF(AND(B18&gt;0.947,B18&lt;1),"95-98",(IF(B18=1,98,"&gt;98")))))))))))))))))))))))))))))))))))))))))))))))))))))))))))))))))))</f>
        <v>98</v>
      </c>
      <c r="O27" s="106"/>
      <c r="P27" s="106"/>
    </row>
    <row r="28" spans="2:16" ht="12" customHeight="1" x14ac:dyDescent="0.25">
      <c r="B28" s="124"/>
      <c r="C28" s="125"/>
      <c r="G28" s="117" t="s">
        <v>169</v>
      </c>
      <c r="H28" s="120" t="str">
        <f>IF(B17&gt;102,"&lt;2",(IF(B17=102,2,(IF(AND(B17&lt;102,B17&gt;85),"2-5",(IF(B17=85,5,(IF(AND(B17&lt;85,B17&gt;70),"5-10",(IF(B17=70,10,(IF(AND(B17&lt;70,B17&gt;60),"10-15",(IF(B17=60,15,(IF(AND(B17&lt;60,B17&gt;55),"15-20",(IF(B17=55,20,(IF(AND(B17&lt;55,B17&gt;49),"20-25",(IF(B17=49,25,(IF(AND(B17&lt;49,B17&gt;46),"25-30",(IF(B17=46,30,(IF(AND(B17&lt;46,B17&gt;37),"30-40",(IF(B17=37,40,(IF(AND(B17&lt;37,B17&gt;32),"40-50",(IF(B17=32,50,(IF(AND(B17&lt;32,B17&gt;26),"50-60",(IF(B17=26,60,(IF(AND(B17&lt;26,B17&gt;20),"60-70",(IF(B17=20,70,(IF(AND(B17&lt;20,B17&gt;18),"70-75",(IF(B17=18,75,(IF(AND(B17&lt;18,B17&gt;15),"75-80",(IF(B17=15,80,(IF(AND(B17&lt;15,B17&gt;11),"80-85",(IF(B17=11,85,(IF(AND(B17&lt;11,B17&gt;10),"85-90",(IF(B17=10,90,(IF(AND(B17&lt;10,B17&gt;7),"90-95",(IF(B17=7,95,(IF(AND(B17&lt;7,B17&gt;5),"95-98",(IF(B17=5,98,"&gt;98")))))))))))))))))))))))))))))))))))))))))))))))))))))))))))))))))))</f>
        <v>&gt;98</v>
      </c>
      <c r="I28" s="120" t="str">
        <f>IF(B17&gt;109,"&lt;2",(IF(B17=109,2,(IF(AND(B17&lt;109,B17&gt;84),"2-5",(IF(B17=84,5,(IF(AND(B17&lt;84,B17&gt;74),"5-10",(IF(B17=74,10,(IF(AND(B17&lt;74,B17&gt;66),"10-15",(IF(B17=66,15,(IF(AND(B17&lt;66,B17&gt;61),"15-20",(IF(B17=61,20,(IF(AND(B17&lt;61,B17&gt;55),"20-25",(IF(B17=55,25,(IF(AND(B17&lt;55,B17&gt;51),"25-30",(IF(B17=51,30,(IF(AND(B17&lt;51,B17&gt;47),"30-40",(IF(B17=47,40,(IF(AND(B17&lt;47,B17&gt;44),"40-50",(IF(B17=44,50,(IF(AND(B17&lt;44,B17&gt;32),"50-60",(IF(B17=32,60,(IF(AND(B17&lt;32,B17&gt;25),"60-70",(IF(B17=25,70,(IF(AND(B17&lt;25,B17&gt;22),"70-75",(IF(B17=22,75,(IF(AND(B17&lt;22,B17&gt;17),"75-80",(IF(B17=17,80,(IF(AND(B17&lt;17,B17&gt;13),"80-85",(IF(B17=13,85,(IF(AND(B17&lt;13,B17&gt;10),"85-90",(IF(B17=10,90,(IF(AND(B17&lt;10,B17&gt;7),"90-95",(IF(B17=7,95,(IF(AND(B17&lt;7,B17&gt;4),"95-98",(IF(B17=4,98,"&gt;98")))))))))))))))))))))))))))))))))))))))))))))))))))))))))))))))))))</f>
        <v>&gt;98</v>
      </c>
      <c r="J28" s="113"/>
      <c r="K28" s="117" t="s">
        <v>169</v>
      </c>
      <c r="L28" s="120" t="str">
        <f>IF(B18&lt;0,"&lt;2",(IF(B18=0,2,(IF(AND(B18&gt;0,B18&lt;0.063),"2-5",(IF(B18=0.063,5,(IF(AND(B18&gt;0.063,B18&lt;0.11),"5-10",(IF(B18=0.11,10,(IF(AND(B18&gt;0.11,B18&lt;0.163),"10-15",(IF(B18=0.163,15,(IF(AND(B18&gt;0.163,B18&lt;0.205),"15-20",(IF(B18=0.205,20,(IF(AND(B18&gt;0.205,B18&lt;0.242),"20-25",(IF(B18=0.242,25,(IF(AND(B18&gt;0.242,B18&lt;0.293),"25-30",(IF(B18=0.293,30,(IF(AND(B18&gt;0.293,B18&lt;0.375),"30-40",(IF(B18=0.375,40,(IF(AND(B18&gt;0.375,B18&lt;0.473),"40-50",(IF(B18=0.473,50,(IF(AND(B18&gt;0.473,B18&lt;0.573),"50-60",(IF(B18=0.573,60,(IF(AND(B18&gt;0.573,B18&lt;0.655),"60-70",(IF(B18=0.655,70,(IF(AND(B18&gt;0.655,B18&lt;0.718),"70-75",(IF(B18=0.718,75,(IF(AND(B18&gt;0.718,B18&lt;0.762),"75-80",(IF(B18=0.762,80,(IF(AND(B18&gt;0.762,B18&lt;0.791),"80-85",(IF(B18=0.791,85,(IF(AND(B18&gt;0.791,B18&lt;0.836),"85-90",(IF(B18=0.836,90,(IF(AND(B18&gt;0.836,B18&lt;0.912),"90-95",(IF(B18=0.912,95,(IF(AND(B18&gt;0.912,B18&lt;0.954),"95-98",(IF(B18=0.954,98,"&gt;98")))))))))))))))))))))))))))))))))))))))))))))))))))))))))))))))))))</f>
        <v>&gt;98</v>
      </c>
      <c r="M28" s="120" t="str">
        <f>IF(B18&lt;0,"&lt;10",(IF(B18=0,10,(IF(AND(B18&gt;0,B18&lt;0.057),"10-15",(IF(B18=0.057,15,(IF(AND(B18&gt;0.057,B18&lt;0.087),"15-20",(IF(B18=0.087,20,(IF(AND(B18&gt;0.087,B18&lt;0.127),"20-25",(IF(B18=0.127,25,(IF(AND(B18&gt;0.127,B18&lt;0.167),"25-30",(IF(B18=0.167,30,(IF(AND(B18&gt;0.167,B18&lt;0.237),"30-40",(IF(B18=0.237,40,(IF(AND(B18&gt;0.237,B18&lt;0.317),"40-50",(IF(B18=0.317,50,(IF(AND(B18&gt;0.317,B18&lt;0.427),"50-60",(IF(B18=0.427,60,(IF(AND(B18&gt;0.427,B18&lt;0.557),"60-70",(IF(B18=0.557,70,(IF(AND(B18&gt;0.557,B18&lt;0.617),"70-75",(IF(B18=0.617,75,(IF(AND(B18&gt;0.617,B18&lt;0.657),"75-80",(IF(B18=0.657,80,(IF(AND(B18&gt;0.657,B18&lt;0.707),"80-85",(IF(B18=0.707,85,(IF(AND(B18&gt;0.707,B18&lt;0.757),"85-90",(IF(B18=0.757,90,(IF(AND(B18&gt;0.757,B18&lt;0.797),"90-95",(IF(B18=0.867,95,(IF(AND(B18&gt;0.797,B18&lt;0.867),"95-98",(IF(B18=0.867,98,"&gt;98")))))))))))))))))))))))))))))))))))))))))))))))))))))))))))</f>
        <v>&gt;98</v>
      </c>
      <c r="O28" s="106"/>
      <c r="P28" s="106"/>
    </row>
    <row r="29" spans="2:16" ht="12" customHeight="1" x14ac:dyDescent="0.25">
      <c r="B29"/>
      <c r="C29"/>
      <c r="E29"/>
      <c r="F29"/>
      <c r="G29" s="117" t="s">
        <v>173</v>
      </c>
      <c r="H29" s="120" t="str">
        <f>IF(B17&gt;110,"&lt;2",(IF(B17=110,2,(IF(AND(B17&lt;110,B17&gt;93),"2-5",(IF(B17=93,5,(IF(AND(B17&lt;93,B17&gt;77),"5-10",(IF(B17=77,10,(IF(AND(B17&lt;77,B17&gt;67),"10-15",(IF(B17=67,15,(IF(AND(B17&lt;67,B17&gt;61),"15-20",(IF(B17=61,20,(IF(AND(B17&lt;61,B17&gt;55),"20-25",(IF(B17=55,25,(IF(AND(B17&lt;55,B17&gt;51),"25-30",(IF(B17=51,30,(IF(AND(B17&lt;51,B17&gt;43),"30-40",(IF(B17=43,40,(IF(AND(B17&lt;43,B17&gt;37),"40-50",(IF(B17=37,50,(IF(AND(B17&lt;37,B17&gt;30),"50-60",(IF(B17=30,60,(IF(AND(B17&lt;30,B17&gt;24),"60-70",(IF(B17=24,70,(IF(AND(B17&lt;24,B17&gt;21),"70-75",(IF(B17=21,75,(IF(AND(B17&lt;21,B17&gt;18),"75-80",(IF(B17=18,80,(IF(AND(B17&lt;18,B17&gt;14),"80-85",(IF(B17=14,85,(IF(AND(B17&lt;14,B17&gt;13),"85-90",(IF(B17=13,90,(IF(AND(B17&lt;13,B17&gt;10),"90-95",(IF(B17=10,95,(IF(AND(B17&lt;10,B17&gt;7),"95-98",(IF(B17=7,98,"&gt;98")))))))))))))))))))))))))))))))))))))))))))))))))))))))))))))))))))</f>
        <v>&gt;98</v>
      </c>
      <c r="I29" s="120" t="str">
        <f>IF(B17&gt;122,"&lt;2",(IF(B17=122,2,(IF(AND(B17&lt;122,B17&gt;95),"2-5",(IF(B17=95,5,(IF(AND(B17&lt;95,B17&gt;85),"5-10",(IF(B17=85,10,(IF(AND(B17&lt;85,B17&gt;76),"10-15",(IF(B17=76,15,(IF(AND(B17&lt;76,B17&gt;71),"15-20",(IF(B17=71,20,(IF(AND(B17&lt;71,B17&gt;65),"20-25",(IF(B17=65,25,(IF(AND(B17&lt;65,B17&gt;60),"25-30",(IF(B17=60,30,(IF(AND(B17&lt;60,B17&gt;56),"30-40",(IF(B17=56,40,(IF(AND(B17&lt;56,B17&gt;53),"40-50",(IF(B17=53,50,(IF(AND(B17&lt;53,B17&gt;39),"50-60",(IF(B17=39,60,(IF(AND(B17&lt;39,B17&gt;31),"60-70",(IF(B17=31,70,(IF(AND(B17&lt;31,B17&gt;28),"70-75",(IF(B17=28,75,(IF(AND(B17&lt;28,B17&gt;23),"75-80",(IF(B17=23,80,(IF(AND(B17&lt;23,B17&gt;18),"80-85",(IF(B17=18,85,(IF(AND(B17&lt;18,B17&gt;14),"85-90",(IF(B17=14,90,(IF(AND(B17&lt;14,B17&gt;10),"90-95",(IF(B17=10,95,(IF(AND(B17&lt;10,B17&gt;7),"95-98",(IF(B17=7,98,"&gt;98")))))))))))))))))))))))))))))))))))))))))))))))))))))))))))))))))))</f>
        <v>&gt;98</v>
      </c>
      <c r="J29" s="113"/>
      <c r="K29" s="117" t="s">
        <v>173</v>
      </c>
      <c r="L29" s="120" t="str">
        <f>IF(B18&lt;0,"&lt;5",(IF(B18=0,5,(IF(AND(B18&gt;0,B18&lt;0.03),"5-10",(IF(B18=0.03,10,(IF(AND(B18&gt;0.03,B18&lt;0.083),"10-15",(IF(B18=0.083,15,(IF(AND(B18&gt;0.083,B18&lt;0.125),"15-20",(IF(B18=0.125,20,(IF(AND(B18&gt;0.125,B18&lt;0.162),"20-25",(IF(B18=0.162,25,(IF(AND(B18&gt;0.162,B18&lt;0.213),"25-30",(IF(B18=0.213,30,(IF(AND(B18&gt;0.213,B18&lt;0.295),"30-40",(IF(B18=0.295,40,(IF(AND(B18&gt;0.295,B18&lt;0.393),"40-50",(IF(B18=0.393,50,(IF(AND(B18&gt;0.393,B18&lt;0.493),"50-60",(IF(B18=0.493,60,(IF(AND(B18&gt;0.493,B18&lt;0.575),"60-70",(IF(B18=0.575,70,(IF(AND(B18&gt;0.575,B18&lt;0.638),"70-75",(IF(B18=0.638,75,(IF(AND(B18&gt;0.638,B18&lt;0.682),"75-80",(IF(B18=0.682,80,(IF(AND(B18&gt;0.682,B18&lt;0.711),"80-85",(IF(B18=0.711,85,(IF(AND(B18&gt;0.711,B18&lt;0.756),"85-90",(IF(B18=0.756,90,(IF(AND(B18&gt;0.756,B18&lt;0.832),"90-95",(IF(B18=0.832,95,(IF(AND(B18&gt;0.832,B18&lt;0.874),"95-98",(IF(B18=0.874,98,"&gt;98")))))))))))))))))))))))))))))))))))))))))))))))))))))))))))))))</f>
        <v>&gt;98</v>
      </c>
      <c r="M29" s="120" t="str">
        <f>IF(B18&lt;0,"&lt;20",(IF(B18=0,20,(IF(AND(B18&gt;0,B18&lt;0.027),"20-25",(IF(B18=0.027,25,(IF(AND(B18&gt;0.027,B18&lt;0.067),"25-30",(IF(B18=0.067,30,(IF(AND(B18&gt;0.067,B18&lt;0.137),"30-40",(IF(B18=0.137,40,(IF(AND(B18&gt;0.137,B18&lt;0.217),"40-50",(IF(B18=0.217,50,(IF(AND(B18&gt;0.217,B18&lt;0.327),"50-60",(IF(B18=0.327,60,(IF(AND(B18&gt;0.327,B18&lt;0.457),"60-70",(IF(B18=0.457,70,(IF(AND(B18&gt;0.457,B18&lt;0.517),"70-75",(IF(B18=0.517,75,(IF(AND(B18&gt;0.517,B18&lt;0.557),"75-80",(IF(B18=0.557,80,(IF(AND(B18&gt;0.557,B18&lt;0.607),"80-85",(IF(B18=0.607,85,(IF(AND(B18&gt;0.607,B18&lt;0.657),"85-90",(IF(B18=0.657,90,(IF(AND(B18&gt;0.657,B18&lt;0.697),"90-95",(IF(B18=0.767,95,(IF(AND(B18&gt;0.697,B18&lt;0.767),"95-98",(IF(B18=0.767,98,"&gt;98")))))))))))))))))))))))))))))))))))))))))))))))))))</f>
        <v>&gt;98</v>
      </c>
      <c r="O29" s="106"/>
      <c r="P29" s="106"/>
    </row>
    <row r="30" spans="2:16" ht="12" customHeight="1" x14ac:dyDescent="0.25">
      <c r="B30"/>
      <c r="C30"/>
      <c r="E30"/>
      <c r="F30"/>
      <c r="G30" s="117" t="s">
        <v>166</v>
      </c>
      <c r="H30" s="120" t="str">
        <f>IF(B17&gt;118,"&lt;2",(IF(B17=118,2,(IF(AND(B17&lt;118,B17&gt;101),"2-5",(IF(B17=101,5,(IF(AND(B17&lt;101,B17&gt;84),"5-10",(IF(B17=84,10,(IF(AND(B17&lt;84,B17&gt;73),"10-15",(IF(B17=73,15,(IF(AND(B17&lt;73,B17&gt;68),"15-20",(IF(B17=68,20,(IF(AND(B17&lt;68,B17&gt;61),"20-25",(IF(B17=61,25,(IF(AND(B17&lt;61,B17&gt;57),"25-30",(IF(B17=57,30,(IF(AND(B17&lt;57,B17&gt;48),"30-40",(IF(B17=48,40,(IF(AND(B17&lt;48,B17&gt;42),"40-50",(IF(B17=42,50,(IF(AND(B17&lt;42,B17&gt;35),"50-60",(IF(B17=35,60,(IF(AND(B17&lt;35,B17&gt;28),"60-70",(IF(B17=28,70,(IF(AND(B17&lt;28,B17&gt;25),"70-75",(IF(B17=25,75,(IF(AND(B17&lt;25,B17&gt;21),"75-80",(IF(B17=21,80,(IF(AND(B17&lt;21,B17&gt;17),"80-85",(IF(B17=17,85,(IF(AND(B17&lt;17,B17&gt;16),"85-90",(IF(B17=16,90,(IF(AND(B17&lt;16,B17&gt;12),"90-95",(IF(B17=12,95,(IF(AND(B17&lt;12,B17&gt;9),"95-98",(IF(B17=9,98,"&gt;98")))))))))))))))))))))))))))))))))))))))))))))))))))))))))))))))))))</f>
        <v>&gt;98</v>
      </c>
      <c r="I30" s="120" t="str">
        <f>IF(B17&gt;136,"&lt;2",(IF(B17=136,2,(IF(AND(B17&lt;136,B17&gt;107),"2-5",(IF(B17=107,5,(IF(AND(B17&lt;107,B17&gt;97),"5-10",(IF(B17=97,10,(IF(AND(B17&lt;97,B17&gt;87),"10-15",(IF(B17=87,15,(IF(AND(B17&lt;87,B17&gt;81),"15-20",(IF(B17=81,20,(IF(AND(B17&lt;81,B17&gt;75),"20-25",(IF(B17=75,25,(IF(AND(B17&lt;75,B17&gt;70),"25-30",(IF(B17=70,30,(IF(AND(B17&lt;70,B17&gt;65),"30-40",(IF(B17=65,40,(IF(AND(B17&lt;65,B17&gt;62),"40-50",(IF(B17=62,50,(IF(AND(B17&lt;62,B17&gt;47),"50-60",(IF(B17=47,60,(IF(AND(B17&lt;47,B17&gt;38),"60-70",(IF(B17=38,70,(IF(AND(B17&lt;38,B17&gt;35),"70-75",(IF(B17=35,75,(IF(AND(B17&lt;35,B17&gt;29),"75-80",(IF(B17=29,80,(IF(AND(B17&lt;29,B17&gt;24),"80-85",(IF(B17=24,85,(IF(AND(B17&lt;24,B17&gt;19),"85-90",(IF(B17=19,90,(IF(AND(B17&lt;19,B17&gt;15),"90-95",(IF(B17=15,95,(IF(AND(B17&lt;15,B17&gt;10),"95-98",(IF(B17=10,98,"&gt;98")))))))))))))))))))))))))))))))))))))))))))))))))))))))))))))))))))</f>
        <v>&gt;98</v>
      </c>
      <c r="J30" s="113"/>
      <c r="K30" s="117" t="s">
        <v>166</v>
      </c>
      <c r="L30" s="120" t="str">
        <f>IF(B18&lt;0,"&lt;5",(IF(B18=0,10,(IF(AND(B18&gt;0,B18&lt;0.003),"10-15",(IF(B18=0.003,15,(IF(AND(B18&gt;0.003,B18&lt;0.045),"15-20",(IF(B18=0.045,20,(IF(AND(B18&gt;0.045,B18&lt;0.082),"20-25",(IF(B18=0.082,25,(IF(AND(B18&gt;0.082,B18&lt;0.133),"25-30",(IF(B18=0.133,30,(IF(AND(B18&gt;0.133,B18&lt;0.215),"30-40",(IF(B18=0.215,40,(IF(AND(B18&gt;0.215,B18&lt;0.313),"40-50",(IF(B18=0.313,50,(IF(AND(B18&gt;0.313,B18&lt;0.413),"50-60",(IF(B18=0.413,60,(IF(AND(B18&gt;0.413,B18&lt;0.495),"60-70",(IF(B18=0.495,70,(IF(AND(B18&gt;0.495,B18&lt;0.558),"70-75",(IF(B18=0.558,75,(IF(AND(B18&gt;0.558,B18&lt;0.602),"75-80",(IF(B18=0.602,80,(IF(AND(B18&gt;0.602,B18&lt;0.631),"80-85",(IF(B18=0.631,85,(IF(AND(B18&gt;0.631,B18&lt;0.676),"85-90",(IF(B18=0.676,90,(IF(AND(B18&gt;0.676,B18&lt;0.752),"90-95",(IF(B18=0.752,95,(IF(AND(B18&gt;0.752,B18&lt;0.794),"95-98",(IF(B18=0.794,98,"&gt;98")))))))))))))))))))))))))))))))))))))))))))))))))))))))))))</f>
        <v>&gt;98</v>
      </c>
      <c r="M30" s="120" t="str">
        <f>IF(B18&lt;0,"&lt;30",(IF(B18=0,30,(IF(AND(B18&gt;0,B18&lt;0.037),"30-40",(IF(B18=0.037,40,(IF(AND(B18&gt;0.037,B18&lt;0.117),"40-50",(IF(B18=0.117,50,(IF(AND(B18&gt;0.117,B18&lt;0.227),"50-60",(IF(B18=0.227,60,(IF(AND(B18&gt;0.227,B18&lt;0.357),"60-70",(IF(B18=0.357,70,(IF(AND(B18&gt;0.357,B18&lt;0.417),"70-75",(IF(B18=0.417,75,(IF(AND(B18&gt;0.417,B18&lt;0.457),"75-80",(IF(B18=0.457,80,(IF(AND(B18&gt;0.457,B18&lt;0.507),"80-85",(IF(B18=0.507,85,(IF(AND(B18&gt;0.507,B18&lt;0.557),"85-90",(IF(B18=0.557,90,(IF(AND(B18&gt;0.557,B18&lt;0.597),"90-95",(IF(B18=0.567,95,(IF(AND(B18&gt;0.597,B18&lt;0.667),"95-98",(IF(B18=0.667,98,"&gt;98")))))))))))))))))))))))))))))))))))))))))))</f>
        <v>&gt;98</v>
      </c>
      <c r="O30" s="130"/>
      <c r="P30" s="130"/>
    </row>
    <row r="31" spans="2:16" ht="12" customHeight="1" x14ac:dyDescent="0.25">
      <c r="B31" s="161" t="s">
        <v>40</v>
      </c>
      <c r="C31" s="161"/>
      <c r="E31" s="162" t="s">
        <v>9</v>
      </c>
      <c r="F31" s="162"/>
      <c r="G31" s="117"/>
      <c r="H31" s="120"/>
      <c r="I31" s="120"/>
      <c r="J31" s="113"/>
      <c r="K31" s="117"/>
      <c r="L31" s="120"/>
      <c r="M31" s="120"/>
      <c r="O31" s="130"/>
      <c r="P31" s="130"/>
    </row>
    <row r="32" spans="2:16" ht="12" customHeight="1" x14ac:dyDescent="0.25">
      <c r="B32" s="131" t="s">
        <v>21</v>
      </c>
      <c r="C32" s="132" t="s">
        <v>32</v>
      </c>
      <c r="E32" s="133">
        <v>1</v>
      </c>
      <c r="F32" s="134" t="s">
        <v>2</v>
      </c>
      <c r="G32" s="117" t="s">
        <v>178</v>
      </c>
      <c r="H32" s="118" t="s">
        <v>170</v>
      </c>
      <c r="I32" s="118" t="s">
        <v>171</v>
      </c>
      <c r="J32" s="117"/>
      <c r="K32" s="117" t="s">
        <v>178</v>
      </c>
      <c r="L32" s="118" t="s">
        <v>170</v>
      </c>
      <c r="M32" s="118" t="s">
        <v>171</v>
      </c>
      <c r="O32" s="130"/>
      <c r="P32" s="130"/>
    </row>
    <row r="33" spans="2:16" ht="12" customHeight="1" x14ac:dyDescent="0.25">
      <c r="B33" s="135">
        <v>70</v>
      </c>
      <c r="C33" s="136" t="s">
        <v>33</v>
      </c>
      <c r="E33" s="133">
        <v>2</v>
      </c>
      <c r="F33" s="134" t="s">
        <v>3</v>
      </c>
      <c r="G33" s="117" t="s">
        <v>167</v>
      </c>
      <c r="H33" s="120">
        <f>IF(B17&gt;47,"&lt;2",(IF(B17=47,2,(IF(AND(B17&lt;47,B17&gt;36),"2-5",(IF(B17=36,5,(IF(AND(B17&lt;36,B17&gt;26),"5-10",(IF(B17=26,10,(IF(AND(B17&lt;26,B17&gt;20),"10-15",(IF(B17=20,15,(IF(AND(B17&lt;20,B17&gt;18),"15-20",(IF(B17=18,20,(IF(AND(B17&lt;18,B17&gt;14),"20-25",(IF(B17=14,25,(IF(AND(B17&lt;14,B17&gt;12),"25-30",(IF(B17=12,30,(IF(AND(B17&lt;12,B17&gt;8),"30-40",(IF(B17=8,40,(IF(AND(B17&lt;8,B17&gt;6),"40-50",(IF(B17=6,50,(IF(AND(B17&lt;6,B17&gt;3),"50-60",(IF(B17=3,60,(IF(B17=2,70,(IF(B17=1,75,(IF(B17=0,80,"&gt;80")))))))))))))))))))))))))))))))))))))))))))))</f>
        <v>80</v>
      </c>
      <c r="I33" s="121"/>
      <c r="J33" s="113"/>
      <c r="K33" s="117" t="s">
        <v>167</v>
      </c>
      <c r="L33" s="120">
        <f>IF(B18&lt;0.503,"&lt;2",(IF(B18=0.503,2,(IF(AND(B18&gt;0.503,B18&lt;0.593),"2-5",(IF(B18=0.593,5,(IF(AND(B18&gt;0.593,B18&lt;0.64),"5-10",(IF(B18=0.64,10,(IF(AND(B18&gt;0.64,B18&lt;0.693),"10-15",(IF(B18=0.693,15,(IF(AND(B18&gt;0.693,B18&lt;0.735),"15-20",(IF(B18=0.735,20,(IF(AND(B18&gt;0.735,B18&lt;0.772),"20-25",(IF(B18=0.772,25,(IF(AND(B18&gt;0.772,B18&lt;0.823),"25-30",(IF(B18=0.823,30,(IF(AND(B18&gt;0.823,B18&lt;0.905),"30-40",(IF(B18=0.905,40,(IF(AND(B18&gt;0.905,B18&lt;1),"40-50",(IF(B18=1,50,"&gt;50")))))))))))))))))))))))))))))))))))</f>
        <v>50</v>
      </c>
      <c r="M33" s="121"/>
      <c r="O33"/>
      <c r="P33"/>
    </row>
    <row r="34" spans="2:16" ht="12" customHeight="1" x14ac:dyDescent="0.25">
      <c r="B34" s="135">
        <v>60</v>
      </c>
      <c r="C34" s="136" t="s">
        <v>34</v>
      </c>
      <c r="E34" s="133">
        <v>3</v>
      </c>
      <c r="F34" s="134" t="s">
        <v>4</v>
      </c>
      <c r="G34" s="117" t="s">
        <v>168</v>
      </c>
      <c r="H34" s="120">
        <f>IF(B17&gt;58,"&lt;2",(IF(B17=58,2,(IF(AND(B17&lt;58,B17&gt;46),"2-5",(IF(B17=46,5,(IF(AND(B17&lt;46,B17&gt;35),"5-10",(IF(B17=35,10,(IF(AND(B17&lt;35,B17&gt;28),"10-15",(IF(B17=28,15,(IF(AND(B17&lt;28,B17&gt;25),"15-20",(IF(B17=25,20,(IF(AND(B17&lt;25,B17&gt;21),"20-25",(IF(B17=21,25,(IF(AND(B17&lt;21,B17&gt;19),"25-30",(IF(B17=19,30,(IF(AND(B17&lt;19,B17&gt;13),"30-40",(IF(B17=13,40,(IF(AND(B17&lt;13,B17&gt;10),"40-50",(IF(B17=10,50,(IF(AND(B17&lt;10,B17&gt;7),"50-60",(IF(B17=7,60,(IF(AND(B17&lt;7,B17&gt;4),"60-70",(IF(B17=4,70,(IF(B17=3,75,(IF(B17=2,80,(IF(B17=1,85,(IF(B17=0,90,"&gt;90")))))))))))))))))))))))))))))))))))))))))))))))))))</f>
        <v>90</v>
      </c>
      <c r="I34" s="121"/>
      <c r="J34" s="113"/>
      <c r="K34" s="117" t="s">
        <v>168</v>
      </c>
      <c r="L34" s="120">
        <f>IF(B18&lt;0.343,"&lt;2",(IF(B18=0.343,2,(IF(AND(B18&gt;0.343,B18&lt;0.433),"2-5",(IF(B18=0.433,5,(IF(AND(B18&gt;0.433,B18&lt;0.48),"5-10",(IF(B18=0.48,10,(IF(AND(B18&gt;0.48,B18&lt;0.533),"10-15",(IF(B18=0.533,15,(IF(AND(B18&gt;0.533,B18&lt;0.575),"15-20",(IF(B18=0.575,20,(IF(AND(B18&gt;0.575,B18&lt;0.612),"20-25",(IF(B18=0.612,25,(IF(AND(B18&gt;0.612,B18&lt;0.663),"25-30",(IF(B18=0.663,30,(IF(AND(B18&gt;0.663,B18&lt;0.745),"30-40",(IF(B18=0.745,40,(IF(AND(B18&gt;0.745,B18&lt;0.843),"40-50",(IF(B18=0.843,50,(IF(AND(B18&gt;0.843,B18&lt;0.943),"50-60",(IF(B18=0.943,60,(IF(AND(B18&gt;0.943,B18&lt;1),"60-70",(IF(B18=1,70,"&gt;70")))))))))))))))))))))))))))))))))))))))))))</f>
        <v>70</v>
      </c>
      <c r="M34" s="121"/>
      <c r="O34"/>
      <c r="P34"/>
    </row>
    <row r="35" spans="2:16" ht="12" customHeight="1" x14ac:dyDescent="0.25">
      <c r="B35" s="135">
        <v>50</v>
      </c>
      <c r="C35" s="136" t="s">
        <v>35</v>
      </c>
      <c r="E35" s="133">
        <v>4</v>
      </c>
      <c r="F35" s="134" t="s">
        <v>5</v>
      </c>
      <c r="G35" s="117" t="s">
        <v>177</v>
      </c>
      <c r="H35" s="120"/>
      <c r="I35" s="120">
        <f>IF(B17&gt;57,"&lt;2",(IF(B17=57,2,(IF(AND(B17&lt;57,B17&gt;39),"2-5",(IF(B17=39,5,(IF(AND(B17&lt;39,B17&gt;33),"5-10",(IF(B17=33,10,(IF(AND(B17&lt;33,B17&gt;27),"10-15",(IF(B17=27,15,(IF(AND(B17&lt;27,B17&gt;24),"15-20",(IF(B17=24,20,(IF(AND(B17&lt;24,B17&gt;21),"20-25",(IF(B17=21,25,(IF(AND(B17&lt;21,B17&gt;18),"25-30",(IF(B17=18,30,(IF(AND(B17&lt;18,B17&gt;16),"30-40",(IF(B17=16,40,(IF(AND(B17&lt;16,B17&gt;14),"40-50",(IF(B17=14,50,(IF(AND(B17&lt;14,B17&gt;8),"50-60",(IF(B17=8,60,(IF(AND(B17&lt;8,B17&gt;4),"60-70",(IF(B17=4,70,(IF(B17=3,75,(IF(B17=2,80,(IF(B17=1,85,(IF(B17=0,90,"&gt;90")))))))))))))))))))))))))))))))))))))))))))))))))))</f>
        <v>90</v>
      </c>
      <c r="J35" s="113"/>
      <c r="K35" s="117" t="s">
        <v>177</v>
      </c>
      <c r="L35" s="120"/>
      <c r="M35" s="120">
        <f>IF(B18&lt;0.267,"&lt;2",(IF(B18=0.267,2,(IF(AND(B18&gt;0.267,B18&lt;0.357),"2-5",(IF(B18=0.357,5,(IF(AND(B18&gt;0.357,B18&lt;0.397),"5-10",(IF(B18=0.397,10,(IF(AND(B18&gt;0.397,B18&lt;0.457),"10-15",(IF(B18=0.457,15,(IF(AND(B18&gt;0.457,B18&lt;0.487),"15-20",(IF(B18=0.487,20,(IF(AND(B18&gt;0.487,B18&lt;0.527),"20-25",(IF(B18=0.527,25,(IF(AND(B18&gt;0.527,B18&lt;0.567),"25-30",(IF(B18=0.567,30,(IF(AND(B18&gt;0.567,B18&lt;0.637),"30-40",(IF(B18=0.637,40,(IF(AND(B18&gt;0.637,B18&lt;0.717),"40-50",(IF(B18=0.717,50,(IF(AND(B18&gt;0.717,B18&lt;0.827),"50-60",(IF(B18=0.827,60,(IF(AND(B18&gt;0.827,B18&lt;0.957),"60-70",(IF(B18=0.957,70,(IF(AND(B18&gt;0.957,B18&lt;1),"70-75",(IF(B18=1,75,"&gt;75")))))))))))))))))))))))))))))))))))))))))))))))</f>
        <v>75</v>
      </c>
      <c r="O35"/>
      <c r="P35"/>
    </row>
    <row r="36" spans="2:16" ht="12" customHeight="1" x14ac:dyDescent="0.25">
      <c r="B36" s="135">
        <v>40</v>
      </c>
      <c r="C36" s="136" t="s">
        <v>36</v>
      </c>
      <c r="E36" s="133">
        <v>5</v>
      </c>
      <c r="F36" s="134" t="s">
        <v>6</v>
      </c>
      <c r="G36" s="117" t="s">
        <v>169</v>
      </c>
      <c r="H36" s="120">
        <f>IF(B17&gt;68,"&lt;2",(IF(B17=68,2,(IF(AND(B17&lt;68,B17&gt;54),"2-5",(IF(B17=54,5,(IF(AND(B17&lt;54,B17&gt;43),"5-10",(IF(B17=43,10,(IF(AND(B17&lt;43,B17&gt;35),"10-15",(IF(B17=35,15,(IF(AND(B17&lt;35,B17&gt;31),"15-20",(IF(B17=31,20,(IF(AND(B17&lt;31,B17&gt;27),"20-25",(IF(B17=27,25,(IF(AND(B17&lt;27,B17&gt;24),"25-30",(IF(B17=24,30,(IF(AND(B17&lt;24,B17&gt;18),"30-40",(IF(B17=18,40,(IF(AND(B17&lt;18,B17&gt;15),"40-50",(IF(B17=15,50,(IF(AND(B17&lt;15,B17&gt;10),"50-60",(IF(B17=10,60,(IF(AND(B17&lt;10,B17&gt;7),"60-70",(IF(B17=7,70,(IF(AND(B17&lt;7,B17&gt;6),"70-75",(IF(B17=6,75,(IF(AND(B17&lt;6,B17&gt;4),"75-80",(IF(B17=4,80,(IF(AND(B17&lt;4,B17&gt;2),"80-85",(IF(B17=2,"85-90",(IF(B17=1,95,(IF(B17=0,98,"&gt;98")))))))))))))))))))))))))))))))))))))))))))))))))))))))))))</f>
        <v>98</v>
      </c>
      <c r="I36" s="120">
        <f>IF(B17&gt;67,"&lt;2",(IF(B17=67,2,(IF(AND(B17&lt;67,B17&gt;47),"2-5",(IF(B17=47,5,(IF(AND(B17&lt;47,B17&gt;40),"5-10",(IF(B17=40,10,(IF(AND(B17&lt;40,B17&gt;34),"10-15",(IF(B17=34,15,(IF(AND(B17&lt;34,B17&gt;30),"15-20",(IF(B17=30,20,(IF(AND(B17&lt;30,B17&gt;26),"20-25",(IF(B17=26,25,(IF(AND(B17&lt;26,B17&gt;24),"25-30",(IF(B17=24,30,(IF(AND(B17&lt;24,B17&gt;21),"30-40",(IF(B17=21,40,(IF(AND(B17&lt;21,B17&gt;19),"40-50",(IF(B17=19,50,(IF(AND(B17&lt;19,B17&gt;11),"50-60",(IF(B17=11,60,(IF(AND(B17&lt;11,B17&gt;7),"60-70",(IF(B17=7,70,(IF(AND(B17&lt;7,B17&gt;6),"70-75",(IF(B17=6,75,(IF(AND(B17&lt;6,B17&gt;3),"75-80",(IF(B17=3,80,(IF(AND(B17&lt;3,B17&gt;2),"80-85",(IF(B17=2,85,(IF(B17=1,90,(IF(B17=0,95,"&gt;95")))))))))))))))))))))))))))))))))))))))))))))))))))))))))))</f>
        <v>95</v>
      </c>
      <c r="J36" s="113"/>
      <c r="K36" s="117" t="s">
        <v>169</v>
      </c>
      <c r="L36" s="120">
        <f>IF(B18&lt;0.223,"&lt;2",(IF(B18=0.223,2,(IF(AND(B18&gt;0.223,B18&lt;0.063),"2-5",(IF(B18=0.063,5,(IF(AND(B18&gt;0.313,B18&lt;0.36),"5-10",(IF(B18=0.36,10,(IF(AND(B18&gt;0.36,B18&lt;0.413),"10-15",(IF(B18=0.413,15,(IF(AND(B18&gt;0.413,B18&lt;0.455),"15-20",(IF(B18=0.455,20,(IF(AND(B18&gt;0.455,B18&lt;0.492),"20-25",(IF(B18=0.492,25,(IF(AND(B18&gt;0.492,B18&lt;0.543),"25-30",(IF(B18=0.543,30,(IF(AND(B18&gt;0.543,B18&lt;0.625),"30-40",(IF(B18=0.625,40,(IF(AND(B18&gt;0.625,B18&lt;0.723),"40-50",(IF(B18=0.723,50,(IF(AND(B18&gt;0.723,B18&lt;0.823),"50-60",(IF(B18=0.823,60,(IF(AND(B18&gt;0.823,B18&lt;0.905),"60-70",(IF(B18=0.905,70,(IF(AND(B18&gt;0.905,B18&lt;0.968),"70-75",(IF(B18=0.968,75,(IF(AND(B18&gt;0.968,B18&lt;1),"75-80",(IF(B18=1,80,"&gt;80")))))))))))))))))))))))))))))))))))))))))))))))))))</f>
        <v>80</v>
      </c>
      <c r="M36" s="120">
        <f>IF(B18&lt;0.167,"&lt;2",(IF(B18=0.167,2,(IF(AND(B18&gt;0.167,B18&lt;0.257),"2-5",(IF(B18=0.257,5,(IF(AND(B18&gt;0.257,B18&lt;0.297),"5-10",(IF(B18=0.297,10,(IF(AND(B18&gt;0.297,B18&lt;0.357),"10-15",(IF(B18=0.357,15,(IF(AND(B18&gt;0.357,B18&lt;0.387),"15-20",(IF(B18=0.387,20,(IF(AND(B18&gt;0.387,B18&lt;0.427),"20-25",(IF(B18=0.427,25,(IF(AND(B18&gt;0.427,B18&lt;0.467),"25-30",(IF(B18=0.467,30,(IF(AND(B18&gt;0.467,B18&lt;0.537),"30-40",(IF(B18=0.537,40,(IF(AND(B18&gt;0.537,B18&lt;0.617),"40-50",(IF(B18=0.617,50,(IF(AND(B18&gt;0.617,B18&lt;0.727),"50-60",(IF(B18=0.727,60,(IF(AND(B18&gt;0.727,B18&lt;0.857),"60-70",(IF(B18=0.857,70,(IF(AND(B18&gt;0.857,B18&lt;0.917),"70-75",(IF(B18=0.917,75,(IF(AND(B18&gt;0.917,B18&lt;0.957),"75-80",(IF(B18=0.957,80,(IF(AND(B18&gt;0.957,B18&lt;1),"80-85",(IF(B18=1,85,"&gt;90")))))))))))))))))))))))))))))))))))))))))))))))))))))))</f>
        <v>85</v>
      </c>
      <c r="O36"/>
      <c r="P36"/>
    </row>
    <row r="37" spans="2:16" ht="12" customHeight="1" x14ac:dyDescent="0.25">
      <c r="B37" s="135">
        <v>33</v>
      </c>
      <c r="C37" s="136" t="s">
        <v>37</v>
      </c>
      <c r="E37" s="133">
        <v>6</v>
      </c>
      <c r="F37" s="134" t="s">
        <v>7</v>
      </c>
      <c r="G37" s="117" t="s">
        <v>173</v>
      </c>
      <c r="H37" s="120" t="str">
        <f>IF(B17&gt;75,"&lt;2",(IF(B17=75,2,(IF(AND(B17&lt;75,B17&gt;60),"2-5",(IF(B17=60,5,(IF(AND(B17&lt;60,B17&gt;48),"5-10",(IF(B17=48,10,(IF(AND(B17&lt;48,B17&gt;40),"10-15",(IF(B17=40,15,(IF(AND(B17&lt;40,B17&gt;36),"15-20",(IF(B17=36,20,(IF(AND(B17&lt;36,B17&gt;31),"20-25",(IF(B17=31,25,(IF(AND(B17&lt;31,B17&gt;28),"25-30",(IF(B17=28,30,(IF(AND(B17&lt;28,B17&gt;22),"30-40",(IF(B17=22,40,(IF(AND(B17&lt;22,B17&gt;18),"40-50",(IF(B17=18,50,(IF(AND(B17&lt;18,B17&gt;13),"50-60",(IF(B17=13,60,(IF(AND(B17&lt;13,B17&gt;9),"60-70",(IF(B17=9,70,(IF(AND(B17&lt;9,B17&gt;8),"70-75",(IF(B17=8,75,(IF(AND(B17&lt;8,B17&gt;6),"75-80",(IF(B17=6,80,(IF(AND(B17&lt;6,B17&gt;4),"80-85",(IF(B17=4,85,(IF(AND(B17&lt;4,B17&gt;3),"85-90",(IF(B17=3,90,(IF(AND(B17&lt;3,B17&gt;2),"90-95",(IF(B17=2,95,(IF(AND(B17&lt;2,B17&gt;1),"95-98",(IF(B17=1,98,"&gt;98")))))))))))))))))))))))))))))))))))))))))))))))))))))))))))))))))))</f>
        <v>&gt;98</v>
      </c>
      <c r="I37" s="120">
        <f>IF(B17&gt;77,"&lt;2",(IF(B17=77,2,(IF(AND(B17&lt;77,B17&gt;56),"2-5",(IF(B17=56,5,(IF(AND(B17&lt;56,B17&gt;48),"5-10",(IF(B17=48,10,(IF(AND(B17&lt;48,B17&gt;41),"10-15",(IF(B17=41,15,(IF(AND(B17&lt;41,B17&gt;37),"15-20",(IF(B17=37,20,(IF(AND(B17&lt;37,B17&gt;33),"20-25",(IF(B17=33,25,(IF(AND(B17&lt;33,B17&gt;30),"25-30",(IF(B17=30,30,(IF(AND(B17&lt;30,B17&gt;27),"30-40",(IF(B17=27,40,(IF(AND(B17&lt;27,B17&gt;25),"40-50",(IF(B17=25,50,(IF(AND(B17&lt;25,B17&gt;16),"50-60",(IF(B17=16,60,(IF(AND(B17&lt;16,B17&gt;11),"60-70",(IF(B17=11,70,(IF(AND(B17&lt;11,B17&gt;9),"70-75",(IF(B17=9,75,(IF(AND(B17&lt;9,B17&gt;6),"75-80",(IF(B17=6,80,(IF(AND(B17&lt;6,B17&gt;4),"80-85",(IF(B17=4,85,(IF(AND(B17&lt;4,B17&gt;2),"85-90",(IF(B17=2,90,(IF(AND(B17&lt;2,B17&gt;1),"90-95",(IF(B17=1,95,(IF(AND(B17&lt;1,B17&gt;0),"95-98",(IF(B17=0,98,"&gt;98")))))))))))))))))))))))))))))))))))))))))))))))))))))))))))))))))))</f>
        <v>98</v>
      </c>
      <c r="J37" s="113"/>
      <c r="K37" s="117" t="s">
        <v>173</v>
      </c>
      <c r="L37" s="120">
        <f>IF(B18&lt;0.143,"&lt;2",(IF(B18=0.143,2,(IF(AND(B18&gt;0.143,B18&lt;0.233),"2-5",(IF(B18=0.233,5,(IF(AND(B18&gt;0.233,B18&lt;0.28),"5-10",(IF(B18=0.28,10,(IF(AND(B18&gt;0.28,B18&lt;0.333),"10-15",(IF(B18=0.333,15,(IF(AND(B18&gt;0.333,B18&lt;0.375),"15-20",(IF(B18=0.375,20,(IF(AND(B18&gt;0.375,B18&lt;0.412),"20-25",(IF(B18=0.412,25,(IF(AND(B18&gt;0.412,B18&lt;0.463),"25-30",(IF(B18=0.463,30,(IF(AND(B18&gt;0.463,B18&lt;0.545),"30-40",(IF(B18=0.545,40,(IF(AND(B18&gt;0.545,B18&lt;0.643),"40-50",(IF(B18=0.643,50,(IF(AND(B18&gt;0.643,B18&lt;0.743),"50-60",(IF(B18=0.743,60,(IF(AND(B18&gt;0.743,B18&lt;0.825),"60-70",(IF(B18=0.825,70,(IF(AND(B18&gt;0.825,B18&lt;0.888),"70-75",(IF(B18=0.888,75,(IF(AND(B18&gt;0.888,B18&lt;0.931),"75-80",(IF(B18=0.931,80,(IF(AND(B18&gt;0.931,B18&lt;0.96),"80-85",(IF(B18=0.96,85,(IF(AND(B18&gt;0.96,B18&lt;1),"85-90",(IF(B18=1,90,"&gt;90")))))))))))))))))))))))))))))))))))))))))))))))))))))))))))</f>
        <v>90</v>
      </c>
      <c r="M37" s="120">
        <f>IF(B18&lt;0.067,"&lt;2",(IF(B18=0.067,2,(IF(AND(B18&gt;0.067,B18&lt;0.157),"2-5",(IF(B18=0.157,5,(IF(AND(B18&gt;0.157,B18&lt;0.197),"5-10",(IF(B18=0.197,10,(IF(AND(B18&gt;0.197,B18&lt;0.257),"10-15",(IF(B18=0.257,15,(IF(AND(B18&gt;0.257,B18&lt;0.287),"15-20",(IF(B18=0.287,20,(IF(AND(B18&gt;0.287,B18&lt;0.327),"20-25",(IF(B18=0.327,25,(IF(AND(B18&gt;0.327,B18&lt;0.367),"25-30",(IF(B18=0.367,30,(IF(AND(B18&gt;0.367,B18&lt;0.437),"30-40",(IF(B18=0.437,40,(IF(AND(B18&gt;0.437,B18&lt;0.517),"40-50",(IF(B18=0.517,50,(IF(AND(B18&gt;0.517,B18&lt;0.627),"50-60",(IF(B18=0.627,60,(IF(AND(B18&gt;0.627,B18&lt;0.757),"60-70",(IF(B18=0.757,70,(IF(AND(B18&gt;0.757,B18&lt;0.817),"70-75",(IF(B18=0.817,75,(IF(AND(B18&gt;0.817,B18&lt;0.857),"75-80",(IF(B18=0.857,80,(IF(AND(B18&gt;0.857,B18&lt;0.907),"80-85",(IF(B18=0.907,85,(IF(AND(B18&gt;0.907,B18&lt;0.957),"85-90",(IF(B18=0.957,90,(IF(AND(B18&gt;0.957,B18&lt;0.997),"90-95",(IF(B18=0.997,95,(IF(AND(B18&gt;0.997,B18&lt;1),"95-98",(IF(B18=1,98,"&gt;98")))))))))))))))))))))))))))))))))))))))))))))))))))))))))))))))))))</f>
        <v>98</v>
      </c>
      <c r="O37" s="137"/>
      <c r="P37" s="137"/>
    </row>
    <row r="38" spans="2:16" ht="12" customHeight="1" x14ac:dyDescent="0.25">
      <c r="B38" s="135">
        <v>30</v>
      </c>
      <c r="C38" s="136" t="s">
        <v>38</v>
      </c>
      <c r="E38" s="138">
        <v>7</v>
      </c>
      <c r="F38" s="139" t="s">
        <v>8</v>
      </c>
      <c r="G38" s="117" t="s">
        <v>166</v>
      </c>
      <c r="H38" s="120" t="str">
        <f>IF(B17&gt;82,"&lt;2",(IF(B17=82,2,(IF(AND(B17&lt;82,B17&gt;67),"2-5",(IF(B17=67,5,(IF(AND(B17&lt;67,B17&gt;54),"5-10",(IF(B17=54,10,(IF(AND(B17&lt;54,B17&gt;45),"10-15",(IF(B17=45,15,(IF(AND(B17&lt;45,B17&gt;41),"15-20",(IF(B17=41,20,(IF(AND(B17&lt;41,B17&gt;35),"20-25",(IF(B17=35,25,(IF(AND(B17&lt;35,B17&gt;33),"25-30",(IF(B17=33,30,(IF(AND(B17&lt;33,B17&gt;26),"30-40",(IF(B17=26,40,(IF(AND(B17&lt;26,B17&gt;21),"40-50",(IF(B17=21,50,(IF(AND(B17&lt;21,B17&gt;16),"50-60",(IF(B17=16,60,(IF(AND(B17&lt;16,B17&gt;12),"60-70",(IF(B17=12,70,(IF(AND(B17&lt;12,B17&gt;10),"70-75",(IF(B17=10,75,(IF(AND(B17&lt;10,B17&gt;8),"75-80",(IF(B17=8,80,(IF(AND(B17&lt;8,B17&gt;5),"80-85",(IF(B17=5,85,(IF(AND(B17&lt;5,B17&gt;4),"85-90",(IF(B17=4,90,(IF(AND(B17&lt;4,B17&gt;3),"90-95",(IF(B17=3,95,(IF(AND(B17&lt;3,B17&gt;1),"95-98",(IF(B17=1,98,"&gt;98")))))))))))))))))))))))))))))))))))))))))))))))))))))))))))))))))))</f>
        <v>&gt;98</v>
      </c>
      <c r="I38" s="120" t="str">
        <f>IF(B17&gt;88,"&lt;2",(IF(B17=88,2,(IF(AND(B17&lt;88,B17&gt;65),"2-5",(IF(B17=65,5,(IF(AND(B17&lt;65,B17&gt;57),"5-10",(IF(B17=57,10,(IF(AND(B17&lt;57,B17&gt;49),"10-15",(IF(B17=49,15,(IF(AND(B17&lt;49,B17&gt;45),"15-20",(IF(B17=45,20,(IF(AND(B17&lt;45,B17&gt;40),"20-25",(IF(B17=40,25,(IF(AND(B17&lt;40,B17&gt;37),"25-30",(IF(B17=37,30,(IF(AND(B17&lt;37,B17&gt;33),"30-40",(IF(B17=33,40,(IF(AND(B17&lt;33,B17&gt;31),"40-50",(IF(B17=31,50,(IF(AND(B17&lt;31,B17&gt;21),"50-60",(IF(B17=21,60,(IF(AND(B17&lt;21,B17&gt;15),"60-70",(IF(B17=15,70,(IF(AND(B17&lt;15,B17&gt;13),"70-75",(IF(B17=13,75,(IF(AND(B17&lt;13,B17&gt;9),"75-80",(IF(B17=9,80,(IF(AND(B17&lt;9,B17&gt;7),"80-85",(IF(B17=7,85,(IF(AND(B17&lt;7,B17&gt;4),"85-90",(IF(B17=4,90,(IF(AND(B17&lt;4,B17&gt;2),"90-95",(IF(B17=2,95,(IF(AND(B17&lt;2,B17&gt;1),"95-98",(IF(B17=1,98,"&gt;98")))))))))))))))))))))))))))))))))))))))))))))))))))))))))))))))))))</f>
        <v>&gt;98</v>
      </c>
      <c r="J38" s="113"/>
      <c r="K38" s="117" t="s">
        <v>166</v>
      </c>
      <c r="L38" s="120">
        <f>IF(B18&lt;0.063,"&lt;2",(IF(B18=0.063,2,(IF(AND(B18&gt;0.063,B18&lt;0.153),"2-5",(IF(B18=0.153,5,(IF(AND(B18&gt;0.153,B18&lt;0.2),"5-10",(IF(B18=0.2,10,(IF(AND(B18&gt;0.2,B18&lt;0.253),"10-15",(IF(B18=0.253,15,(IF(AND(B18&gt;0.253,B18&lt;0.295),"15-20",(IF(B18=0.295,20,(IF(AND(B18&gt;0.295,B18&lt;0.332),"20-25",(IF(B18=0.332,25,(IF(AND(B18&gt;0.332,B18&lt;0.383),"25-30",(IF(B18=0.383,30,(IF(AND(B18&gt;0.383,B18&lt;0.465),"30-40",(IF(B18=0.465,40,(IF(AND(B18&gt;0.465,B18&lt;0.563),"40-50",(IF(B18=0.563,50,(IF(AND(B18&gt;0.563,B18&lt;0.663),"50-60",(IF(B18=0.663,60,(IF(AND(B18&gt;0.663,B18&lt;0.745),"60-70",(IF(B18=0.745,70,(IF(AND(B18&gt;0.745,B18&lt;0.808),"70-75",(IF(B18=0.808,75,(IF(AND(B18&gt;0.808,B18&lt;0.852),"75-80",(IF(B18=0.852,80,(IF(AND(B18&gt;0.852,B18&lt;0.88),"80-85",(IF(B18=0.88,85,(IF(AND(B18&gt;0.88,B18&lt;0.926),"85-90",(IF(B18=0.926,90,(IF(AND(B18&gt;0.926,B18&lt;1),"90-95",(IF(B18=1,95,"&gt;95")))))))))))))))))))))))))))))))))))))))))))))))))))))))))))))))</f>
        <v>95</v>
      </c>
      <c r="M38" s="120" t="str">
        <f>IF(B18&lt;0,"&lt;2",(IF(B18=0,2,(IF(AND(B18&gt;0,B18&lt;0.057),"2-5",(IF(B18=0.057,5,(IF(AND(B18&gt;0.057,B18&lt;0.097),"5-10",(IF(B18=0.097,10,(IF(AND(B18&gt;0.097,B18&lt;0.157),"10-15",(IF(B18=0.157,15,(IF(AND(B18&gt;0.157,B18&lt;0.187),"15-20",(IF(B18=0.187,20,(IF(AND(B18&gt;0.187,B18&lt;0.227),"20-25",(IF(B18=0.227,25,(IF(AND(B18&gt;0.227,B18&lt;0.267),"25-30",(IF(B18=0.267,30,(IF(AND(B18&gt;0.267,B18&lt;0.337),"30-40",(IF(B18=0.337,40,(IF(AND(B18&gt;0.337,B18&lt;0.417),"40-50",(IF(B18=0.417,50,(IF(AND(B18&gt;0.417,B18&lt;0.527),"50-60",(IF(B18=0.527,60,(IF(AND(B18&gt;0.527,B18&lt;0.657),"60-70",(IF(B18=0.657,70,(IF(AND(B18&gt;0.657,B18&lt;0.717),"70-75",(IF(B18=0.717,75,(IF(AND(B18&gt;0.717,B18&lt;0.757),"75-80",(IF(B18=0.757,80,(IF(AND(B18&gt;0.757,B18&lt;0.807),"80-85",(IF(B18=0.807,85,(IF(AND(B18&gt;0.807,B18&lt;0.857),"85-90",(IF(B18=0.857,90,(IF(AND(B18&gt;0.857,B18&lt;0.897),"90-95",(IF(B18=0.897,95,(IF(AND(B18&gt;0.897,B18&lt;0.967),"95-98",(IF(B18=0.967,98,"&gt;98")))))))))))))))))))))))))))))))))))))))))))))))))))))))))))))))))))</f>
        <v>&gt;98</v>
      </c>
      <c r="O38" s="137"/>
      <c r="P38" s="137"/>
    </row>
    <row r="39" spans="2:16" ht="12" customHeight="1" x14ac:dyDescent="0.25">
      <c r="B39" s="140">
        <v>27</v>
      </c>
      <c r="C39" s="141" t="s">
        <v>39</v>
      </c>
      <c r="G39" s="113"/>
      <c r="H39" s="120"/>
      <c r="I39" s="120"/>
      <c r="J39" s="113"/>
      <c r="K39" s="117"/>
      <c r="L39" s="120"/>
      <c r="M39" s="120"/>
      <c r="O39" s="137"/>
      <c r="P39" s="137"/>
    </row>
    <row r="40" spans="2:16" ht="12" customHeight="1" x14ac:dyDescent="0.25">
      <c r="H40" s="142"/>
      <c r="I40" s="142"/>
      <c r="L40" s="108"/>
      <c r="M40" s="108"/>
      <c r="O40" s="137"/>
      <c r="P40" s="137"/>
    </row>
    <row r="41" spans="2:16" ht="12" customHeight="1" x14ac:dyDescent="0.25">
      <c r="H41" s="108"/>
      <c r="I41" s="142"/>
      <c r="L41" s="108"/>
      <c r="M41" s="108"/>
      <c r="O41" s="137"/>
      <c r="P41" s="137"/>
    </row>
    <row r="42" spans="2:16" ht="12" customHeight="1" x14ac:dyDescent="0.25">
      <c r="H42" s="108"/>
      <c r="I42" s="142"/>
      <c r="L42" s="108"/>
      <c r="M42" s="108"/>
    </row>
    <row r="43" spans="2:16" ht="12" customHeight="1" x14ac:dyDescent="0.25">
      <c r="H43" s="108"/>
      <c r="I43" s="142"/>
      <c r="L43" s="108"/>
      <c r="M43" s="108"/>
    </row>
    <row r="44" spans="2:16" ht="12" customHeight="1" x14ac:dyDescent="0.25">
      <c r="H44" s="108"/>
      <c r="I44" s="142"/>
    </row>
  </sheetData>
  <mergeCells count="19">
    <mergeCell ref="B2:F2"/>
    <mergeCell ref="G2:M11"/>
    <mergeCell ref="C6:D6"/>
    <mergeCell ref="C9:D9"/>
    <mergeCell ref="C10:D10"/>
    <mergeCell ref="C11:D11"/>
    <mergeCell ref="C12:D12"/>
    <mergeCell ref="B31:C31"/>
    <mergeCell ref="E31:F31"/>
    <mergeCell ref="C8:F8"/>
    <mergeCell ref="C7:F7"/>
    <mergeCell ref="C13:D13"/>
    <mergeCell ref="C14:E14"/>
    <mergeCell ref="C17:E17"/>
    <mergeCell ref="C18:E18"/>
    <mergeCell ref="C19:E19"/>
    <mergeCell ref="C25:E25"/>
    <mergeCell ref="C26:E26"/>
    <mergeCell ref="C27:E27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9"/>
  <sheetViews>
    <sheetView workbookViewId="0">
      <selection activeCell="I1" sqref="I1:I1048576"/>
    </sheetView>
  </sheetViews>
  <sheetFormatPr defaultRowHeight="12" x14ac:dyDescent="0.2"/>
  <cols>
    <col min="1" max="1" width="5.7109375" style="1" customWidth="1"/>
    <col min="2" max="4" width="9.28515625" style="1" customWidth="1"/>
    <col min="5" max="5" width="2.28515625" style="1" customWidth="1"/>
    <col min="6" max="6" width="26.7109375" style="1" bestFit="1" customWidth="1"/>
    <col min="7" max="9" width="9.140625" style="1"/>
    <col min="10" max="10" width="12.42578125" style="1" bestFit="1" customWidth="1"/>
    <col min="11" max="16384" width="9.140625" style="1"/>
  </cols>
  <sheetData>
    <row r="2" spans="2:23" ht="18.75" customHeight="1" x14ac:dyDescent="0.3">
      <c r="B2" s="154" t="s">
        <v>61</v>
      </c>
      <c r="C2" s="154"/>
      <c r="D2" s="154"/>
      <c r="E2" s="154"/>
      <c r="F2" s="154"/>
      <c r="G2" s="156" t="s">
        <v>63</v>
      </c>
      <c r="H2" s="149"/>
      <c r="I2" s="149"/>
      <c r="J2" s="149"/>
      <c r="K2" s="149"/>
      <c r="L2" s="149"/>
      <c r="M2" s="149"/>
    </row>
    <row r="3" spans="2:23" ht="15.75" x14ac:dyDescent="0.25">
      <c r="B3" s="159" t="s">
        <v>62</v>
      </c>
      <c r="C3" s="159"/>
      <c r="D3" s="159"/>
      <c r="E3" s="159"/>
      <c r="F3" s="159"/>
      <c r="G3" s="149"/>
      <c r="H3" s="149"/>
      <c r="I3" s="149"/>
      <c r="J3" s="149"/>
      <c r="K3" s="149"/>
      <c r="L3" s="149"/>
      <c r="M3" s="149"/>
    </row>
    <row r="4" spans="2:23" x14ac:dyDescent="0.2">
      <c r="G4" s="149"/>
      <c r="H4" s="149"/>
      <c r="I4" s="149"/>
      <c r="J4" s="149"/>
      <c r="K4" s="149"/>
      <c r="L4" s="149"/>
      <c r="M4" s="149"/>
    </row>
    <row r="5" spans="2:23" ht="12.75" thickBot="1" x14ac:dyDescent="0.25">
      <c r="G5" s="149"/>
      <c r="H5" s="149"/>
      <c r="I5" s="149"/>
      <c r="J5" s="149"/>
      <c r="K5" s="149"/>
      <c r="L5" s="149"/>
      <c r="M5" s="149"/>
    </row>
    <row r="6" spans="2:23" x14ac:dyDescent="0.2">
      <c r="B6" s="46">
        <f>Demografisch!B2</f>
        <v>0</v>
      </c>
      <c r="C6" s="155" t="s">
        <v>10</v>
      </c>
      <c r="D6" s="153"/>
      <c r="G6" s="149"/>
      <c r="H6" s="149"/>
      <c r="I6" s="149"/>
      <c r="J6" s="149"/>
      <c r="K6" s="149"/>
      <c r="L6" s="149"/>
      <c r="M6" s="149"/>
    </row>
    <row r="7" spans="2:23" x14ac:dyDescent="0.2">
      <c r="B7" s="47">
        <f>Demografisch!B3</f>
        <v>0</v>
      </c>
      <c r="C7" s="155" t="s">
        <v>0</v>
      </c>
      <c r="D7" s="153"/>
      <c r="G7" s="149"/>
      <c r="H7" s="149"/>
      <c r="I7" s="149"/>
      <c r="J7" s="149"/>
      <c r="K7" s="149"/>
      <c r="L7" s="149"/>
      <c r="M7" s="149"/>
    </row>
    <row r="8" spans="2:23" x14ac:dyDescent="0.2">
      <c r="B8" s="47">
        <f>Demografisch!B4</f>
        <v>0</v>
      </c>
      <c r="C8" s="155" t="s">
        <v>1</v>
      </c>
      <c r="D8" s="153"/>
      <c r="G8" s="149"/>
      <c r="H8" s="149"/>
      <c r="I8" s="149"/>
      <c r="J8" s="149"/>
      <c r="K8" s="149"/>
      <c r="L8" s="149"/>
      <c r="M8" s="149"/>
    </row>
    <row r="9" spans="2:23" x14ac:dyDescent="0.2">
      <c r="B9" s="43"/>
      <c r="C9" s="152" t="s">
        <v>65</v>
      </c>
      <c r="D9" s="155"/>
      <c r="E9" s="155"/>
      <c r="F9" s="155"/>
      <c r="G9" s="149"/>
      <c r="H9" s="149"/>
      <c r="I9" s="149"/>
      <c r="J9" s="149"/>
      <c r="K9" s="149"/>
      <c r="L9" s="149"/>
      <c r="M9" s="149"/>
    </row>
    <row r="10" spans="2:23" x14ac:dyDescent="0.2">
      <c r="B10" s="43"/>
      <c r="C10" s="152" t="s">
        <v>66</v>
      </c>
      <c r="D10" s="155"/>
      <c r="E10" s="155"/>
      <c r="F10" s="155"/>
      <c r="G10" s="149"/>
      <c r="H10" s="149"/>
      <c r="I10" s="149"/>
      <c r="J10" s="149"/>
      <c r="K10" s="149"/>
      <c r="L10" s="149"/>
      <c r="M10" s="149"/>
    </row>
    <row r="11" spans="2:23" ht="12.75" thickBot="1" x14ac:dyDescent="0.25">
      <c r="B11" s="57" t="e">
        <f>ROUND(100 * B10 / B9,0)</f>
        <v>#DIV/0!</v>
      </c>
      <c r="C11" s="155" t="s">
        <v>64</v>
      </c>
      <c r="D11" s="153"/>
      <c r="E11" s="9"/>
      <c r="G11" s="149"/>
      <c r="H11" s="149"/>
      <c r="I11" s="149"/>
      <c r="J11" s="149"/>
      <c r="K11" s="149"/>
      <c r="L11" s="149"/>
      <c r="M11" s="149"/>
    </row>
    <row r="12" spans="2:23" x14ac:dyDescent="0.2">
      <c r="B12" s="58"/>
      <c r="C12" s="155"/>
      <c r="D12" s="153"/>
      <c r="E12" s="9"/>
    </row>
    <row r="13" spans="2:23" x14ac:dyDescent="0.2">
      <c r="B13" s="58"/>
      <c r="C13" s="155"/>
      <c r="D13" s="153"/>
      <c r="E13" s="10"/>
    </row>
    <row r="14" spans="2:23" x14ac:dyDescent="0.2">
      <c r="B14" s="39" t="s">
        <v>21</v>
      </c>
      <c r="C14" s="73" t="s">
        <v>22</v>
      </c>
      <c r="D14" s="39" t="s">
        <v>23</v>
      </c>
      <c r="G14" s="153" t="s">
        <v>24</v>
      </c>
      <c r="H14" s="153"/>
      <c r="I14" s="153"/>
    </row>
    <row r="15" spans="2:23" x14ac:dyDescent="0.2">
      <c r="B15" s="48">
        <f>ROUND(50 + 10 * (B9 - D15) / 5.355,0)</f>
        <v>9</v>
      </c>
      <c r="C15" s="49">
        <f>ROUND(100 * (NORMDIST(B15,50,10,TRUE)),0)</f>
        <v>0</v>
      </c>
      <c r="D15" s="48">
        <f>ROUND(27.935 - 0.207 * B8 - 0.08*B7 - 7.45*B6 + 1.19*B8*B6 - 0.00185*(POWER((B7-58),2)),1)</f>
        <v>21.7</v>
      </c>
      <c r="E15" s="11"/>
      <c r="F15" s="11" t="s">
        <v>67</v>
      </c>
      <c r="G15" s="151" t="s">
        <v>69</v>
      </c>
      <c r="H15" s="151"/>
      <c r="I15" s="151"/>
      <c r="J15" s="151"/>
    </row>
    <row r="16" spans="2:23" x14ac:dyDescent="0.2">
      <c r="B16" s="48">
        <f>ROUND(50 + 10 * (B10 - D16) / 5.242,0)</f>
        <v>22</v>
      </c>
      <c r="C16" s="49">
        <f>ROUND(100 * (NORMDIST(B16,50,10,TRUE)),0)</f>
        <v>0</v>
      </c>
      <c r="D16" s="48">
        <f>ROUND(14.487 + 1.682*B8 - 0.091 * B7 - 1.297*B6,1)</f>
        <v>14.5</v>
      </c>
      <c r="E16" s="11"/>
      <c r="F16" s="11" t="s">
        <v>68</v>
      </c>
      <c r="G16" s="151" t="s">
        <v>69</v>
      </c>
      <c r="H16" s="151"/>
      <c r="I16" s="151"/>
      <c r="J16" s="15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2:23" x14ac:dyDescent="0.2">
      <c r="B17" s="48" t="e">
        <f>ROUND(50 + 10*(B11 - D17) / 12.76,0)</f>
        <v>#DIV/0!</v>
      </c>
      <c r="C17" s="49" t="e">
        <f>ROUND(100 * (NORMDIST(B17,50,10,TRUE)),0)</f>
        <v>#DIV/0!</v>
      </c>
      <c r="D17" s="48">
        <f>ROUND(79.75 + 2.385*B8 - 0.203 * B7,0)</f>
        <v>80</v>
      </c>
      <c r="E17" s="11"/>
      <c r="F17" s="40" t="s">
        <v>64</v>
      </c>
      <c r="G17" s="151" t="s">
        <v>45</v>
      </c>
      <c r="H17" s="151"/>
      <c r="I17" s="151"/>
      <c r="J17" s="15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2:23" x14ac:dyDescent="0.2">
      <c r="B18" s="59"/>
      <c r="C18" s="60"/>
      <c r="D18" s="59"/>
      <c r="E18" s="61"/>
      <c r="F18" s="6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2:23" x14ac:dyDescent="0.2">
      <c r="B19" s="59"/>
      <c r="C19" s="60"/>
      <c r="D19" s="59"/>
      <c r="E19" s="61"/>
      <c r="F19" s="61"/>
      <c r="H19" s="21"/>
      <c r="I19" s="21"/>
      <c r="J19" s="21"/>
      <c r="K19" s="21"/>
      <c r="L19" s="21"/>
      <c r="M19" s="21"/>
    </row>
    <row r="20" spans="2:23" x14ac:dyDescent="0.2">
      <c r="B20" s="62"/>
      <c r="C20" s="62"/>
      <c r="D20" s="62"/>
      <c r="E20" s="61"/>
      <c r="F20" s="61"/>
      <c r="H20" s="21"/>
      <c r="I20" s="21"/>
      <c r="J20" s="21"/>
      <c r="K20" s="21"/>
      <c r="L20" s="21"/>
      <c r="M20" s="21"/>
    </row>
    <row r="21" spans="2:23" x14ac:dyDescent="0.2">
      <c r="B21" s="59"/>
      <c r="C21" s="60"/>
      <c r="D21" s="59"/>
      <c r="E21" s="61"/>
      <c r="F21" s="61"/>
      <c r="H21" s="21"/>
      <c r="I21" s="21"/>
      <c r="J21" s="21"/>
      <c r="K21" s="21"/>
      <c r="L21" s="21"/>
      <c r="M21" s="21"/>
    </row>
    <row r="22" spans="2:23" x14ac:dyDescent="0.2">
      <c r="B22" s="59"/>
      <c r="C22" s="60"/>
      <c r="D22" s="59"/>
      <c r="E22" s="61"/>
      <c r="F22" s="61"/>
      <c r="H22" s="21"/>
      <c r="I22" s="21"/>
      <c r="J22" s="21"/>
      <c r="K22" s="21"/>
      <c r="L22" s="21"/>
      <c r="M22" s="21"/>
    </row>
    <row r="23" spans="2:23" x14ac:dyDescent="0.2">
      <c r="B23" s="62"/>
      <c r="C23" s="62"/>
      <c r="D23" s="62"/>
      <c r="E23" s="61"/>
      <c r="F23" s="61"/>
      <c r="H23" s="21"/>
      <c r="I23" s="21"/>
      <c r="J23" s="21"/>
      <c r="K23" s="21"/>
      <c r="L23" s="21"/>
      <c r="M23" s="21"/>
    </row>
    <row r="24" spans="2:23" x14ac:dyDescent="0.2">
      <c r="B24" s="59"/>
      <c r="C24" s="60"/>
      <c r="D24" s="59"/>
      <c r="E24" s="61"/>
      <c r="F24" s="61"/>
      <c r="H24" s="21"/>
      <c r="I24" s="21"/>
      <c r="J24" s="21"/>
      <c r="K24" s="21"/>
      <c r="L24" s="21"/>
      <c r="M24" s="21"/>
    </row>
    <row r="25" spans="2:23" x14ac:dyDescent="0.2">
      <c r="B25" s="62"/>
      <c r="C25" s="62"/>
      <c r="D25" s="62"/>
      <c r="E25" s="61"/>
      <c r="F25" s="61"/>
      <c r="H25" s="21"/>
      <c r="I25" s="21"/>
      <c r="J25" s="21"/>
      <c r="K25" s="21"/>
      <c r="L25" s="21"/>
      <c r="M25" s="21"/>
    </row>
    <row r="26" spans="2:23" x14ac:dyDescent="0.2">
      <c r="B26" s="59"/>
      <c r="C26" s="60"/>
      <c r="D26" s="59"/>
      <c r="E26" s="61"/>
      <c r="F26" s="61"/>
      <c r="H26" s="21"/>
      <c r="I26" s="21"/>
      <c r="J26" s="21"/>
      <c r="K26" s="21"/>
      <c r="L26" s="21"/>
      <c r="M26" s="21"/>
    </row>
    <row r="27" spans="2:23" x14ac:dyDescent="0.2">
      <c r="B27" s="59"/>
      <c r="C27" s="60"/>
      <c r="D27" s="59"/>
      <c r="E27" s="61"/>
      <c r="F27" s="61"/>
      <c r="H27" s="21"/>
      <c r="I27" s="21"/>
      <c r="J27" s="21"/>
      <c r="K27" s="21"/>
      <c r="L27" s="21"/>
      <c r="M27" s="21"/>
    </row>
    <row r="28" spans="2:23" x14ac:dyDescent="0.2">
      <c r="H28" s="21"/>
      <c r="I28" s="21"/>
      <c r="J28" s="21"/>
      <c r="K28" s="21"/>
      <c r="L28" s="21"/>
      <c r="M28" s="21"/>
    </row>
    <row r="29" spans="2:23" x14ac:dyDescent="0.2">
      <c r="H29" s="21"/>
      <c r="I29" s="21"/>
      <c r="J29" s="21"/>
      <c r="K29" s="21"/>
      <c r="L29" s="21"/>
      <c r="M29" s="21"/>
    </row>
    <row r="30" spans="2:23" x14ac:dyDescent="0.2">
      <c r="B30" s="146" t="s">
        <v>40</v>
      </c>
      <c r="C30" s="147"/>
      <c r="E30" s="144" t="s">
        <v>9</v>
      </c>
      <c r="F30" s="145"/>
      <c r="H30" s="21"/>
      <c r="I30" s="21"/>
      <c r="J30" s="21"/>
      <c r="K30" s="21"/>
      <c r="L30" s="21"/>
      <c r="M30" s="21"/>
    </row>
    <row r="31" spans="2:23" x14ac:dyDescent="0.2">
      <c r="B31" s="12" t="s">
        <v>21</v>
      </c>
      <c r="C31" s="13" t="s">
        <v>32</v>
      </c>
      <c r="E31" s="2">
        <v>1</v>
      </c>
      <c r="F31" s="5" t="s">
        <v>2</v>
      </c>
      <c r="H31" s="21"/>
      <c r="I31" s="21"/>
      <c r="J31" s="21"/>
      <c r="K31" s="21"/>
      <c r="L31" s="21"/>
      <c r="M31" s="21"/>
    </row>
    <row r="32" spans="2:23" x14ac:dyDescent="0.2">
      <c r="B32" s="14">
        <v>70</v>
      </c>
      <c r="C32" s="15" t="s">
        <v>33</v>
      </c>
      <c r="E32" s="2">
        <v>2</v>
      </c>
      <c r="F32" s="5" t="s">
        <v>3</v>
      </c>
      <c r="H32" s="21"/>
      <c r="I32" s="21"/>
      <c r="J32" s="21"/>
      <c r="K32" s="21"/>
      <c r="L32" s="21"/>
      <c r="M32" s="21"/>
    </row>
    <row r="33" spans="2:23" x14ac:dyDescent="0.2">
      <c r="B33" s="14">
        <v>60</v>
      </c>
      <c r="C33" s="15" t="s">
        <v>34</v>
      </c>
      <c r="E33" s="2">
        <v>3</v>
      </c>
      <c r="F33" s="5" t="s">
        <v>4</v>
      </c>
      <c r="H33" s="21"/>
      <c r="I33" s="21"/>
      <c r="J33" s="21"/>
      <c r="K33" s="21"/>
      <c r="L33" s="21"/>
      <c r="M33" s="21"/>
    </row>
    <row r="34" spans="2:23" x14ac:dyDescent="0.2">
      <c r="B34" s="14">
        <v>50</v>
      </c>
      <c r="C34" s="15" t="s">
        <v>35</v>
      </c>
      <c r="E34" s="2">
        <v>4</v>
      </c>
      <c r="F34" s="5" t="s">
        <v>5</v>
      </c>
      <c r="H34" s="21"/>
      <c r="I34" s="21"/>
      <c r="J34" s="21"/>
      <c r="K34" s="21"/>
      <c r="L34" s="21"/>
      <c r="M34" s="21"/>
    </row>
    <row r="35" spans="2:23" x14ac:dyDescent="0.2">
      <c r="B35" s="14">
        <v>40</v>
      </c>
      <c r="C35" s="15" t="s">
        <v>36</v>
      </c>
      <c r="E35" s="2">
        <v>5</v>
      </c>
      <c r="F35" s="5" t="s">
        <v>6</v>
      </c>
      <c r="H35" s="21"/>
      <c r="I35" s="21"/>
      <c r="J35" s="21"/>
      <c r="K35" s="21"/>
      <c r="L35" s="21"/>
      <c r="M35" s="21"/>
    </row>
    <row r="36" spans="2:23" x14ac:dyDescent="0.2">
      <c r="B36" s="14">
        <v>33</v>
      </c>
      <c r="C36" s="15" t="s">
        <v>37</v>
      </c>
      <c r="E36" s="2">
        <v>6</v>
      </c>
      <c r="F36" s="5" t="s">
        <v>7</v>
      </c>
      <c r="H36" s="21"/>
      <c r="I36" s="21"/>
      <c r="J36" s="21"/>
      <c r="K36" s="21"/>
      <c r="L36" s="21"/>
      <c r="M36" s="21"/>
    </row>
    <row r="37" spans="2:23" x14ac:dyDescent="0.2">
      <c r="B37" s="14">
        <v>30</v>
      </c>
      <c r="C37" s="15" t="s">
        <v>38</v>
      </c>
      <c r="E37" s="3">
        <v>7</v>
      </c>
      <c r="F37" s="6" t="s">
        <v>8</v>
      </c>
      <c r="H37" s="21"/>
      <c r="I37" s="21"/>
      <c r="J37" s="21"/>
      <c r="K37" s="21"/>
      <c r="L37" s="21"/>
      <c r="M37" s="21"/>
    </row>
    <row r="38" spans="2:23" x14ac:dyDescent="0.2">
      <c r="B38" s="16">
        <v>27</v>
      </c>
      <c r="C38" s="17" t="s">
        <v>39</v>
      </c>
      <c r="H38" s="21"/>
      <c r="I38" s="21"/>
      <c r="J38" s="21"/>
      <c r="K38" s="21"/>
      <c r="L38" s="21"/>
      <c r="M38" s="21"/>
    </row>
    <row r="39" spans="2:23" x14ac:dyDescent="0.2">
      <c r="H39" s="21"/>
      <c r="I39" s="21"/>
      <c r="J39" s="21"/>
      <c r="K39" s="21"/>
      <c r="L39" s="21"/>
      <c r="M39" s="21"/>
    </row>
    <row r="40" spans="2:23" x14ac:dyDescent="0.2">
      <c r="H40" s="21"/>
      <c r="I40" s="21"/>
      <c r="J40" s="21"/>
      <c r="K40" s="21"/>
      <c r="L40" s="21"/>
      <c r="M40" s="21"/>
    </row>
    <row r="41" spans="2:23" x14ac:dyDescent="0.2">
      <c r="H41" s="21"/>
      <c r="I41" s="21"/>
      <c r="J41" s="21"/>
      <c r="K41" s="21"/>
      <c r="L41" s="21"/>
      <c r="M41" s="21"/>
    </row>
    <row r="42" spans="2:23" x14ac:dyDescent="0.2">
      <c r="H42" s="21"/>
      <c r="I42" s="21"/>
      <c r="J42" s="21"/>
      <c r="K42" s="21"/>
      <c r="L42" s="21"/>
      <c r="M42" s="21"/>
    </row>
    <row r="43" spans="2:23" x14ac:dyDescent="0.2">
      <c r="H43" s="21"/>
      <c r="I43" s="21"/>
      <c r="J43" s="21"/>
      <c r="K43" s="21"/>
      <c r="L43" s="21"/>
      <c r="M43" s="21"/>
    </row>
    <row r="44" spans="2:23" x14ac:dyDescent="0.2">
      <c r="H44" s="21"/>
      <c r="I44" s="21"/>
      <c r="J44" s="21"/>
      <c r="K44" s="21"/>
      <c r="L44" s="21"/>
      <c r="M44" s="21"/>
    </row>
    <row r="45" spans="2:23" x14ac:dyDescent="0.2">
      <c r="H45" s="21"/>
      <c r="I45" s="21"/>
      <c r="J45" s="21"/>
      <c r="K45" s="21"/>
      <c r="L45" s="21"/>
      <c r="M45" s="21"/>
    </row>
    <row r="46" spans="2:23" x14ac:dyDescent="0.2">
      <c r="H46" s="21"/>
      <c r="I46" s="21"/>
      <c r="J46" s="21"/>
      <c r="K46" s="21"/>
      <c r="L46" s="21"/>
      <c r="M46" s="21"/>
    </row>
    <row r="47" spans="2:23" ht="15" x14ac:dyDescent="0.25">
      <c r="H47" s="21"/>
      <c r="I47" s="21"/>
      <c r="J47" s="33"/>
      <c r="K47" s="33"/>
      <c r="L47" s="33"/>
      <c r="M47" s="33"/>
      <c r="N47" s="33"/>
      <c r="O47" s="33"/>
      <c r="P47" s="33"/>
      <c r="Q47" s="33"/>
      <c r="R47" s="21"/>
      <c r="S47" s="21"/>
      <c r="T47" s="21"/>
      <c r="U47" s="21"/>
      <c r="V47" s="21"/>
      <c r="W47" s="21"/>
    </row>
    <row r="48" spans="2:23" ht="15" x14ac:dyDescent="0.25">
      <c r="H48" s="21"/>
      <c r="I48" s="21"/>
      <c r="J48" s="33"/>
      <c r="K48" s="33"/>
      <c r="L48" s="33"/>
      <c r="M48" s="33"/>
      <c r="N48" s="33"/>
      <c r="O48" s="33"/>
      <c r="P48" s="33"/>
      <c r="Q48" s="33"/>
      <c r="R48" s="21"/>
      <c r="S48" s="21"/>
      <c r="T48" s="21"/>
      <c r="U48" s="21"/>
      <c r="V48" s="21"/>
      <c r="W48" s="21"/>
    </row>
    <row r="49" spans="10:17" ht="15" x14ac:dyDescent="0.25">
      <c r="J49"/>
      <c r="K49"/>
      <c r="L49"/>
      <c r="M49"/>
      <c r="N49"/>
      <c r="O49"/>
      <c r="P49"/>
      <c r="Q49"/>
    </row>
  </sheetData>
  <mergeCells count="17">
    <mergeCell ref="B2:F2"/>
    <mergeCell ref="G2:M11"/>
    <mergeCell ref="C6:D6"/>
    <mergeCell ref="C7:D7"/>
    <mergeCell ref="C8:D8"/>
    <mergeCell ref="C11:D11"/>
    <mergeCell ref="G14:I14"/>
    <mergeCell ref="G15:J15"/>
    <mergeCell ref="G16:J16"/>
    <mergeCell ref="G17:J17"/>
    <mergeCell ref="C12:D12"/>
    <mergeCell ref="C13:D13"/>
    <mergeCell ref="B30:C30"/>
    <mergeCell ref="E30:F30"/>
    <mergeCell ref="B3:F3"/>
    <mergeCell ref="C10:F10"/>
    <mergeCell ref="C9:F9"/>
  </mergeCells>
  <pageMargins left="0.7" right="0.7" top="0.75" bottom="0.75" header="0.3" footer="0.3"/>
  <pageSetup paperSize="9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6"/>
  <sheetViews>
    <sheetView zoomScaleNormal="100" workbookViewId="0">
      <selection activeCell="B12" sqref="B12"/>
    </sheetView>
  </sheetViews>
  <sheetFormatPr defaultRowHeight="12" x14ac:dyDescent="0.2"/>
  <cols>
    <col min="1" max="1" width="5.7109375" style="1" customWidth="1"/>
    <col min="2" max="4" width="9.28515625" style="1" customWidth="1"/>
    <col min="5" max="5" width="2.28515625" style="1" customWidth="1"/>
    <col min="6" max="6" width="26.7109375" style="1" bestFit="1" customWidth="1"/>
    <col min="7" max="13" width="9.140625" style="1"/>
    <col min="14" max="14" width="4.7109375" style="1" customWidth="1"/>
    <col min="15" max="15" width="7.42578125" style="1" bestFit="1" customWidth="1"/>
    <col min="16" max="16" width="9.140625" style="1" customWidth="1"/>
    <col min="17" max="17" width="7.28515625" style="1" bestFit="1" customWidth="1"/>
    <col min="18" max="18" width="7.5703125" style="1" bestFit="1" customWidth="1"/>
    <col min="19" max="19" width="6.5703125" style="1" bestFit="1" customWidth="1"/>
    <col min="20" max="16384" width="9.140625" style="1"/>
  </cols>
  <sheetData>
    <row r="1" spans="2:14" ht="12" customHeight="1" x14ac:dyDescent="0.2"/>
    <row r="2" spans="2:14" ht="18.75" x14ac:dyDescent="0.3">
      <c r="B2" s="154" t="s">
        <v>71</v>
      </c>
      <c r="C2" s="154"/>
      <c r="D2" s="154"/>
      <c r="E2" s="154"/>
      <c r="F2" s="154"/>
      <c r="G2" s="156" t="s">
        <v>52</v>
      </c>
      <c r="H2" s="149"/>
      <c r="I2" s="149"/>
      <c r="J2" s="149"/>
      <c r="K2" s="149"/>
      <c r="L2" s="149"/>
      <c r="M2" s="149"/>
    </row>
    <row r="3" spans="2:14" ht="12" customHeight="1" x14ac:dyDescent="0.2">
      <c r="G3" s="149"/>
      <c r="H3" s="149"/>
      <c r="I3" s="149"/>
      <c r="J3" s="149"/>
      <c r="K3" s="149"/>
      <c r="L3" s="149"/>
      <c r="M3" s="149"/>
    </row>
    <row r="4" spans="2:14" ht="12" customHeight="1" x14ac:dyDescent="0.2">
      <c r="G4" s="149"/>
      <c r="H4" s="149"/>
      <c r="I4" s="149"/>
      <c r="J4" s="149"/>
      <c r="K4" s="149"/>
      <c r="L4" s="149"/>
      <c r="M4" s="149"/>
    </row>
    <row r="5" spans="2:14" ht="12" customHeight="1" thickBot="1" x14ac:dyDescent="0.25">
      <c r="G5" s="149"/>
      <c r="H5" s="149"/>
      <c r="I5" s="149"/>
      <c r="J5" s="149"/>
      <c r="K5" s="149"/>
      <c r="L5" s="149"/>
      <c r="M5" s="149"/>
    </row>
    <row r="6" spans="2:14" ht="12" customHeight="1" x14ac:dyDescent="0.2">
      <c r="B6" s="46">
        <f>Demografisch!B2</f>
        <v>0</v>
      </c>
      <c r="C6" s="155" t="s">
        <v>10</v>
      </c>
      <c r="D6" s="153"/>
      <c r="G6" s="149"/>
      <c r="H6" s="149"/>
      <c r="I6" s="149"/>
      <c r="J6" s="149"/>
      <c r="K6" s="149"/>
      <c r="L6" s="149"/>
      <c r="M6" s="149"/>
      <c r="N6" s="22"/>
    </row>
    <row r="7" spans="2:14" ht="12" customHeight="1" x14ac:dyDescent="0.2">
      <c r="B7" s="47">
        <f>Demografisch!B3</f>
        <v>0</v>
      </c>
      <c r="C7" s="155" t="s">
        <v>0</v>
      </c>
      <c r="D7" s="153"/>
      <c r="G7" s="149"/>
      <c r="H7" s="149"/>
      <c r="I7" s="149"/>
      <c r="J7" s="149"/>
      <c r="K7" s="149"/>
      <c r="L7" s="149"/>
      <c r="M7" s="149"/>
      <c r="N7" s="65"/>
    </row>
    <row r="8" spans="2:14" ht="12" customHeight="1" x14ac:dyDescent="0.25">
      <c r="B8" s="47">
        <f>Demografisch!B4</f>
        <v>0</v>
      </c>
      <c r="C8" s="155" t="s">
        <v>1</v>
      </c>
      <c r="D8" s="153"/>
      <c r="G8" s="149"/>
      <c r="H8" s="149"/>
      <c r="I8" s="149"/>
      <c r="J8" s="149"/>
      <c r="K8" s="149"/>
      <c r="L8" s="149"/>
      <c r="M8" s="149"/>
      <c r="N8" s="69"/>
    </row>
    <row r="9" spans="2:14" ht="12" customHeight="1" x14ac:dyDescent="0.2">
      <c r="B9" s="43"/>
      <c r="C9" s="152" t="s">
        <v>77</v>
      </c>
      <c r="D9" s="155"/>
      <c r="E9" s="155"/>
      <c r="G9" s="149"/>
      <c r="H9" s="149"/>
      <c r="I9" s="149"/>
      <c r="J9" s="149"/>
      <c r="K9" s="149"/>
      <c r="L9" s="149"/>
      <c r="M9" s="149"/>
      <c r="N9" s="66"/>
    </row>
    <row r="10" spans="2:14" ht="12" customHeight="1" x14ac:dyDescent="0.25">
      <c r="B10" s="43"/>
      <c r="C10" s="152" t="s">
        <v>78</v>
      </c>
      <c r="D10" s="155"/>
      <c r="E10" s="155"/>
      <c r="G10" s="149"/>
      <c r="H10" s="149"/>
      <c r="I10" s="149"/>
      <c r="J10" s="149"/>
      <c r="K10" s="149"/>
      <c r="L10" s="149"/>
      <c r="M10" s="149"/>
      <c r="N10" s="64"/>
    </row>
    <row r="11" spans="2:14" ht="12" customHeight="1" thickBot="1" x14ac:dyDescent="0.3">
      <c r="B11" s="44"/>
      <c r="C11" s="152" t="s">
        <v>79</v>
      </c>
      <c r="D11" s="155"/>
      <c r="E11" s="155"/>
      <c r="G11" s="149"/>
      <c r="H11" s="149"/>
      <c r="I11" s="149"/>
      <c r="J11" s="149"/>
      <c r="K11" s="149"/>
      <c r="L11" s="149"/>
      <c r="M11" s="149"/>
      <c r="N11" s="64"/>
    </row>
    <row r="12" spans="2:14" ht="12" customHeight="1" x14ac:dyDescent="0.25">
      <c r="B12" s="18"/>
      <c r="C12" s="155"/>
      <c r="D12" s="153"/>
      <c r="E12" s="9"/>
      <c r="N12" s="64"/>
    </row>
    <row r="13" spans="2:14" ht="12" customHeight="1" x14ac:dyDescent="0.25">
      <c r="N13" s="64"/>
    </row>
    <row r="14" spans="2:14" ht="12" customHeight="1" x14ac:dyDescent="0.25">
      <c r="B14" s="39" t="s">
        <v>21</v>
      </c>
      <c r="C14" s="73" t="s">
        <v>22</v>
      </c>
      <c r="D14" s="39" t="s">
        <v>23</v>
      </c>
      <c r="G14" s="153" t="s">
        <v>24</v>
      </c>
      <c r="H14" s="153"/>
      <c r="I14" s="153"/>
      <c r="J14" s="153"/>
      <c r="N14" s="64"/>
    </row>
    <row r="15" spans="2:14" ht="12" customHeight="1" x14ac:dyDescent="0.25">
      <c r="B15" s="48" t="e">
        <f>ROUND(50 + 10 * ((1 / (B9)) - (0.027 - 0.0000903 * B7 + 0.00055 * B8 - 0.000001867*(POWER((B7-58),2)))) / 0.00364,0)</f>
        <v>#DIV/0!</v>
      </c>
      <c r="C15" s="49" t="e">
        <f>ROUND(100 * (NORMDIST(B15,50,10,TRUE)),0)</f>
        <v>#DIV/0!</v>
      </c>
      <c r="D15" s="48">
        <f>ROUND((1 / (0.027 - 0.0000903 * B7 + 0.00055 * B8 - 0.000001867*(POWER((B7-58),2)))),0)</f>
        <v>48</v>
      </c>
      <c r="E15" s="11"/>
      <c r="F15" s="11" t="s">
        <v>72</v>
      </c>
      <c r="G15" s="151" t="s">
        <v>45</v>
      </c>
      <c r="H15" s="151"/>
      <c r="I15" s="151"/>
      <c r="J15" s="151"/>
      <c r="N15" s="64"/>
    </row>
    <row r="16" spans="2:14" ht="12" customHeight="1" x14ac:dyDescent="0.25">
      <c r="B16" s="48" t="e">
        <f>ROUND(50 + 10 * ((1 / (B10))-(0.02 - 0.0000829 * B7 + 0.00044 *B8 + 0.00079 * B6 - 0.0000017 * (POWER((B7-58),2)))) /0.00284,0)</f>
        <v>#DIV/0!</v>
      </c>
      <c r="C16" s="49" t="e">
        <f>ROUND(100 * (NORMDIST(B16,50,10,TRUE)),0)</f>
        <v>#DIV/0!</v>
      </c>
      <c r="D16" s="48">
        <f>ROUND(1 /(0.02 - 0.0000829 * B7 + 0.00044 *B8 + 0.00079 * B6 - 0.0000017 * (POWER((B7-58),2))),0)</f>
        <v>70</v>
      </c>
      <c r="E16" s="11"/>
      <c r="F16" s="11" t="s">
        <v>73</v>
      </c>
      <c r="G16" s="151" t="s">
        <v>69</v>
      </c>
      <c r="H16" s="151"/>
      <c r="I16" s="151"/>
      <c r="J16" s="151"/>
      <c r="N16" s="64"/>
    </row>
    <row r="17" spans="2:21" ht="12" customHeight="1" x14ac:dyDescent="0.25">
      <c r="B17" s="48" t="e">
        <f>ROUND(50 + 10 * ((1 / (B11)) -(0.013 - 0.0000858 * B7 + 0.000486 * B8 + 0.0005 * B6 - 0.000001257 * (POWER((B7-58),2)))) / 0.00232,0)</f>
        <v>#DIV/0!</v>
      </c>
      <c r="C17" s="49" t="e">
        <f>ROUND(100 * (NORMDIST(B17,50,10,TRUE)),0)</f>
        <v>#DIV/0!</v>
      </c>
      <c r="D17" s="48">
        <f>ROUND(1 / (0.013 - 0.0000858 * B7 + 0.000486 * B8 + 0.0005 * B6 - 0.000001257 * (POWER((B7-58),2))),0)</f>
        <v>114</v>
      </c>
      <c r="E17" s="11"/>
      <c r="F17" s="40" t="s">
        <v>74</v>
      </c>
      <c r="G17" s="151" t="s">
        <v>69</v>
      </c>
      <c r="H17" s="151"/>
      <c r="I17" s="151"/>
      <c r="J17" s="151"/>
      <c r="N17" s="64"/>
      <c r="P17" s="72"/>
      <c r="Q17" s="72"/>
      <c r="R17" s="72"/>
      <c r="S17" s="72"/>
    </row>
    <row r="18" spans="2:21" ht="12" customHeight="1" x14ac:dyDescent="0.25">
      <c r="B18" s="48" t="e">
        <f>ROUND(50 - 10*((0.003 + 0.497/B10 - 0.0000449*B7+ 0.000257*B8 - 0.0000004 *(POWER((B7-58),2))) - (1 / (B11))) / 0.00184,0)</f>
        <v>#DIV/0!</v>
      </c>
      <c r="C18" s="49" t="e">
        <f>ROUND(100 * (NORMDIST(B18,50,10,TRUE)),0)</f>
        <v>#DIV/0!</v>
      </c>
      <c r="D18" s="48" t="e">
        <f>ROUND((1 /(0.003 + 0.497/B10 - 0.0000449*B7+ 0.000257*B8 - 0.0000004 *(POWER((B7-58),2)))),0)</f>
        <v>#DIV/0!</v>
      </c>
      <c r="E18" s="11"/>
      <c r="F18" s="40" t="s">
        <v>76</v>
      </c>
      <c r="G18" s="151" t="s">
        <v>75</v>
      </c>
      <c r="H18" s="151"/>
      <c r="I18" s="151"/>
      <c r="J18" s="151"/>
      <c r="N18" s="64"/>
      <c r="P18" s="72"/>
      <c r="Q18" s="72"/>
      <c r="R18" s="72"/>
      <c r="S18" s="72"/>
    </row>
    <row r="19" spans="2:21" ht="12" customHeight="1" x14ac:dyDescent="0.25">
      <c r="N19" s="64"/>
      <c r="P19" s="72"/>
      <c r="Q19" s="72"/>
      <c r="R19" s="72"/>
      <c r="S19" s="72"/>
    </row>
    <row r="20" spans="2:21" ht="12" customHeight="1" x14ac:dyDescent="0.25">
      <c r="B20" s="26"/>
      <c r="C20" s="26"/>
      <c r="D20" s="26"/>
      <c r="E20" s="26"/>
      <c r="F20" s="26"/>
      <c r="G20" s="26"/>
      <c r="N20" s="64"/>
      <c r="P20" s="72"/>
      <c r="Q20" s="72"/>
      <c r="R20" s="72"/>
      <c r="S20" s="72"/>
    </row>
    <row r="21" spans="2:21" ht="12" customHeight="1" x14ac:dyDescent="0.25">
      <c r="B21" s="167" t="s">
        <v>80</v>
      </c>
      <c r="C21" s="167"/>
      <c r="D21" s="167"/>
      <c r="E21" s="22"/>
      <c r="F21" s="22"/>
      <c r="G21" s="22"/>
      <c r="N21" s="64"/>
      <c r="P21" s="72"/>
      <c r="Q21" s="72"/>
      <c r="R21" s="72"/>
      <c r="S21" s="72"/>
    </row>
    <row r="22" spans="2:21" ht="12" customHeight="1" x14ac:dyDescent="0.25">
      <c r="B22" s="39" t="s">
        <v>83</v>
      </c>
      <c r="C22" s="166" t="s">
        <v>81</v>
      </c>
      <c r="D22" s="166"/>
      <c r="E22" s="22"/>
      <c r="F22" s="22"/>
      <c r="G22" s="153" t="s">
        <v>24</v>
      </c>
      <c r="H22" s="153"/>
      <c r="I22" s="153"/>
      <c r="J22" s="153"/>
      <c r="N22" s="64"/>
      <c r="P22" s="72"/>
      <c r="Q22" s="72"/>
      <c r="R22" s="72"/>
      <c r="S22" s="72"/>
    </row>
    <row r="23" spans="2:21" ht="12" customHeight="1" x14ac:dyDescent="0.25">
      <c r="B23" s="70"/>
      <c r="C23" s="70">
        <f>IF(AND(B7&lt;30),(SUM((B9-39.51)/6.872)),IF(AND(B7&gt;29,B7&lt;40),(SUM((B9-40.069)/6.132)),IF(AND(B7&gt;39,B7&lt;50),(SUM((B9-40.003)/4.636)),IF(AND(B7&gt;49,B7&lt;60),(SUM((B9-38.789)/5.026)),IF(AND(B7&gt;59,B7&lt;65),(SUM((B9-43.554)/6.978)),IF(AND(B7&gt;64,B7&lt;70),(SUM((B9-42.812)/5.8)),IF(AND(B7&gt;69,B7&lt;75),(SUM((B9-42.069)/4.622)),IF(AND(B7&gt;74,B7&lt;80),(SUM((B9-44.711)/5.872)),(SUM((B9-47.353)/7.121))))))))))</f>
        <v>-5.7494179278230497</v>
      </c>
      <c r="D23" s="70">
        <f>IF(AND(B7&lt;30),(SUM((B9-40.069)/6.132)),IF(AND(B7&gt;29,B7&lt;40),(SUM((B9-40.003)/4.636)),IF(AND(B7&gt;39,B7&lt;50),(SUM((B9-38.789)/5.026)),IF(AND(B7&gt;49,B7&lt;60),(SUM((B9-43.554)/6.978)),IF(AND(B7&gt;59,B7&lt;65),(SUM((B9-42.812)/5.8)),IF(AND(B7&gt;64,B7&lt;70),(SUM((B9-42.069)/4.622)),IF(AND(B7&gt;69,B7&lt;75),(SUM((B9-44.711)/5.872)),IF(AND(B7&gt;74,B7&lt;80),(SUM((B9-47.353)/7.121))," "))))))))</f>
        <v>-6.5344096542726691</v>
      </c>
      <c r="E23" s="11"/>
      <c r="F23" s="27" t="s">
        <v>72</v>
      </c>
      <c r="G23" s="151" t="s">
        <v>0</v>
      </c>
      <c r="H23" s="151"/>
      <c r="I23" s="151"/>
      <c r="J23" s="151"/>
      <c r="N23" s="64"/>
      <c r="P23" s="72"/>
      <c r="Q23" s="72"/>
      <c r="R23" s="72"/>
      <c r="S23" s="72"/>
    </row>
    <row r="24" spans="2:21" ht="12" customHeight="1" x14ac:dyDescent="0.25">
      <c r="B24" s="70"/>
      <c r="C24" s="70">
        <f>IF(AND(B7&lt;30),(SUM((B10-51.623)/9.372)),IF(AND(B7&gt;29,B7&lt;40),(SUM((B10-53.624)/8.778)),IF(AND(B7&gt;39,B7&lt;50),(SUM((B10-52.332)/8.636)),IF(AND(B7&gt;49,B7&lt;60),(SUM((B10-53.234)/9.858)),IF(AND(B7&gt;59,B7&lt;65),(SUM((B10-57.135)/6.969)),IF(AND(B7&gt;64,B7&lt;70),(SUM((B10-58.221)/8.147)),IF(AND(B7&gt;69,B7&lt;75),(SUM((B10-59.307)/9.324)),IF(AND(B7&gt;74,B7&lt;80),(SUM((B10-63.219)/12.796)),(SUM((B10-67.13)/16.267))))))))))</f>
        <v>-5.5082159624413141</v>
      </c>
      <c r="D24" s="71">
        <f>IF(AND(B7&lt;30),(SUM((B10-53.624)/8.778)),IF(AND(B7&gt;29,B7&lt;40),(SUM((B10-52.332)/8.636)),IF(AND(B7&gt;39,B7&lt;50),(SUM((B10-53.234)/9.858)),IF(AND(B7&gt;49,B7&lt;60),(SUM((B10-57.135)/6.969)),IF(AND(B7&gt;59,B7&lt;65),(SUM((B10-58.221)/8.147)),IF(AND(B7&gt;64,B7&lt;70),(SUM((B10-59.307)/9.324)),IF(AND(B7&gt;69,B7&lt;75),(SUM((B10-63.219)/12.796)),IF(AND(B7&gt;74,B7&lt;80),(SUM((B10-67.13)/16.267))," "))))))))</f>
        <v>-6.1089086352244246</v>
      </c>
      <c r="E24" s="11"/>
      <c r="F24" s="27" t="s">
        <v>73</v>
      </c>
      <c r="G24" s="151" t="s">
        <v>0</v>
      </c>
      <c r="H24" s="151"/>
      <c r="I24" s="151"/>
      <c r="J24" s="151"/>
      <c r="N24" s="64"/>
      <c r="P24" s="72"/>
      <c r="Q24" s="72"/>
      <c r="R24" s="72"/>
      <c r="S24" s="72"/>
      <c r="U24"/>
    </row>
    <row r="25" spans="2:21" ht="12" customHeight="1" x14ac:dyDescent="0.25">
      <c r="B25" s="70"/>
      <c r="C25" s="71">
        <f>IF(AND(B7&lt;30),(SUM((B11-78.771)/14.825)),IF(AND(B7&gt;29,B7&lt;40),(SUM((B11-84.059)/18.216)),IF(AND(B7&gt;39,B7&lt;50),(SUM((B11-88.676)/19.932)),IF(AND(B7&gt;49,B7&lt;60),(SUM((B11-85.997)/12.467)),IF(AND(B7&gt;59,B7&lt;65),(SUM((B11-97.129)/18.358)),IF(AND(B7&gt;64,B7&lt;70),(SUM((B11-106.596)/26.51)),IF(AND(B7&gt;69,B7&lt;75),(SUM((B11-116.062)/34.662)),IF(AND(B7&gt;74,B7&lt;80),(SUM((B11-128.745)/42.727)),(SUM((B11-141.428)/50.791))))))))))</f>
        <v>-5.313389544688027</v>
      </c>
      <c r="D25" s="71">
        <f>IF(AND(B7&lt;30),(SUM((B11-84.059)/18.216)),IF(AND(B7&gt;29,B7&lt;40),(SUM((B11-88.676)/19.932)),IF(AND(B7&gt;39,B7&lt;50),(SUM((B11-85.997)/12.467)),IF(AND(B7&gt;49,B7&lt;60),(SUM((B11-97.129)/18.358)),IF(AND(B7&gt;59,B7&lt;65),(SUM((B11-106.596)/26.51)),IF(AND(B7&gt;64,B7&lt;70),(SUM((B11-116.062)/34.662)),IF(AND(B7&gt;69,B7&lt;75),(SUM((B11-128.745)/42.727)),IF(AND(B7&gt;74,B7&lt;80),(SUM((B11-141.428)/50.791))," "))))))))</f>
        <v>-4.6145696091348265</v>
      </c>
      <c r="E25" s="11"/>
      <c r="F25" s="27" t="s">
        <v>74</v>
      </c>
      <c r="G25" s="151" t="s">
        <v>0</v>
      </c>
      <c r="H25" s="151"/>
      <c r="I25" s="151"/>
      <c r="J25" s="151"/>
      <c r="N25" s="64"/>
      <c r="P25" s="72"/>
      <c r="Q25" s="72"/>
      <c r="R25" s="72"/>
      <c r="S25" s="72"/>
      <c r="U25"/>
    </row>
    <row r="26" spans="2:21" ht="12" customHeight="1" x14ac:dyDescent="0.25">
      <c r="B26" s="70" t="e">
        <f>SUM((B11 - (0.5 * (B9 + B10)))/(0.5 * (B9 + B10)))*100</f>
        <v>#DIV/0!</v>
      </c>
      <c r="C26" s="71" t="e">
        <f>IF(AND(B7&lt;30),(SUM((B26-73.636)/22.253)),IF(AND(B7&gt;29,B7&lt;40),(SUM((B26-79.505)/29.164)),IF(AND(B7&gt;39,B7&lt;50),(SUM((B26-91.544)/31.532)),IF(AND(B7&gt;49,B7&lt;60),(SUM((B26-88.077)/20.374)),IF(AND(B7&gt;59,B7&lt;65),(SUM((B26-93.546)/33.043)),IF(AND(B7&gt;64,B7&lt;70),(SUM((B26-114.777)/53.141)),IF(AND(B7&gt;69,B7&lt;75),(SUM((B26-136.008)/73.238)),IF(AND(B7&gt;74,B7&lt;80),(SUM((B26-139.32)/67.417)),(SUM((B26-142.632)/61.596))))))))))</f>
        <v>#DIV/0!</v>
      </c>
      <c r="D26" s="71" t="e">
        <f>IF(AND(B7&lt;30),(SUM((B26-79.505)/29.164)),IF(AND(B7&gt;29,B7&lt;40),(SUM((B26-91.544)/31.532)),IF(AND(B7&gt;39,B7&lt;50),(SUM((B26-88.077)/20.374)),IF(AND(B7&gt;49,B7&lt;60),(SUM((B26-93.546)/33.043)),IF(AND(B7&gt;59,B7&lt;65),(SUM((B26-114.777)/53.141)),IF(AND(B7&gt;64,B7&lt;70),(SUM((B26-136.008)/73.238)),IF(AND(B7&gt;69,B7&lt;75),(SUM((B26-139.32)/67.417)),IF(AND(B7&gt;74,B7&lt;80),(SUM((B26-142.632)/61.596))," "))))))))</f>
        <v>#DIV/0!</v>
      </c>
      <c r="E26" s="11"/>
      <c r="F26" s="27" t="s">
        <v>82</v>
      </c>
      <c r="G26" s="151" t="s">
        <v>84</v>
      </c>
      <c r="H26" s="151"/>
      <c r="I26" s="151"/>
      <c r="J26" s="151"/>
      <c r="N26" s="64"/>
    </row>
    <row r="27" spans="2:21" ht="12" customHeight="1" x14ac:dyDescent="0.25">
      <c r="B27" s="23"/>
      <c r="C27" s="24"/>
      <c r="D27" s="22"/>
      <c r="E27" s="22"/>
      <c r="F27" s="22"/>
      <c r="G27" s="22"/>
      <c r="N27" s="64"/>
    </row>
    <row r="28" spans="2:21" ht="12" customHeight="1" x14ac:dyDescent="0.25">
      <c r="N28" s="64"/>
    </row>
    <row r="29" spans="2:21" ht="12" customHeight="1" x14ac:dyDescent="0.25">
      <c r="N29" s="64"/>
    </row>
    <row r="30" spans="2:21" ht="12" customHeight="1" x14ac:dyDescent="0.25">
      <c r="B30" s="146" t="s">
        <v>40</v>
      </c>
      <c r="C30" s="147"/>
      <c r="E30" s="144" t="s">
        <v>9</v>
      </c>
      <c r="F30" s="145"/>
      <c r="N30" s="64"/>
    </row>
    <row r="31" spans="2:21" ht="12" customHeight="1" x14ac:dyDescent="0.25">
      <c r="B31" s="12" t="s">
        <v>21</v>
      </c>
      <c r="C31" s="13" t="s">
        <v>32</v>
      </c>
      <c r="E31" s="2">
        <v>1</v>
      </c>
      <c r="F31" s="5" t="s">
        <v>2</v>
      </c>
      <c r="N31" s="64"/>
    </row>
    <row r="32" spans="2:21" ht="12" customHeight="1" x14ac:dyDescent="0.25">
      <c r="B32" s="14">
        <v>70</v>
      </c>
      <c r="C32" s="15" t="s">
        <v>33</v>
      </c>
      <c r="E32" s="2">
        <v>2</v>
      </c>
      <c r="F32" s="5" t="s">
        <v>3</v>
      </c>
      <c r="N32" s="64"/>
    </row>
    <row r="33" spans="2:14" ht="12" customHeight="1" x14ac:dyDescent="0.25">
      <c r="B33" s="14">
        <v>60</v>
      </c>
      <c r="C33" s="15" t="s">
        <v>34</v>
      </c>
      <c r="E33" s="2">
        <v>3</v>
      </c>
      <c r="F33" s="5" t="s">
        <v>4</v>
      </c>
      <c r="N33" s="64"/>
    </row>
    <row r="34" spans="2:14" ht="12" customHeight="1" x14ac:dyDescent="0.25">
      <c r="B34" s="14">
        <v>50</v>
      </c>
      <c r="C34" s="15" t="s">
        <v>35</v>
      </c>
      <c r="E34" s="2">
        <v>4</v>
      </c>
      <c r="F34" s="5" t="s">
        <v>5</v>
      </c>
      <c r="N34" s="64"/>
    </row>
    <row r="35" spans="2:14" ht="12" customHeight="1" x14ac:dyDescent="0.25">
      <c r="B35" s="14">
        <v>40</v>
      </c>
      <c r="C35" s="15" t="s">
        <v>36</v>
      </c>
      <c r="E35" s="2">
        <v>5</v>
      </c>
      <c r="F35" s="5" t="s">
        <v>6</v>
      </c>
      <c r="N35" s="64"/>
    </row>
    <row r="36" spans="2:14" ht="12" customHeight="1" x14ac:dyDescent="0.25">
      <c r="B36" s="14">
        <v>33</v>
      </c>
      <c r="C36" s="15" t="s">
        <v>37</v>
      </c>
      <c r="E36" s="2">
        <v>6</v>
      </c>
      <c r="F36" s="5" t="s">
        <v>7</v>
      </c>
      <c r="N36" s="64"/>
    </row>
    <row r="37" spans="2:14" ht="12" customHeight="1" x14ac:dyDescent="0.25">
      <c r="B37" s="14">
        <v>30</v>
      </c>
      <c r="C37" s="15" t="s">
        <v>38</v>
      </c>
      <c r="E37" s="3">
        <v>7</v>
      </c>
      <c r="F37" s="6" t="s">
        <v>8</v>
      </c>
      <c r="N37" s="64"/>
    </row>
    <row r="38" spans="2:14" ht="12" customHeight="1" x14ac:dyDescent="0.25">
      <c r="B38" s="16">
        <v>27</v>
      </c>
      <c r="C38" s="17" t="s">
        <v>39</v>
      </c>
      <c r="N38" s="64"/>
    </row>
    <row r="39" spans="2:14" ht="12" customHeight="1" x14ac:dyDescent="0.25">
      <c r="N39" s="64"/>
    </row>
    <row r="40" spans="2:14" ht="12" customHeight="1" x14ac:dyDescent="0.25">
      <c r="N40" s="64"/>
    </row>
    <row r="41" spans="2:14" ht="12" customHeight="1" x14ac:dyDescent="0.25">
      <c r="N41"/>
    </row>
    <row r="42" spans="2:14" ht="12" customHeight="1" x14ac:dyDescent="0.25">
      <c r="N42"/>
    </row>
    <row r="43" spans="2:14" ht="12" customHeight="1" x14ac:dyDescent="0.25">
      <c r="I43" s="31"/>
      <c r="J43" s="31"/>
      <c r="K43" s="31"/>
      <c r="L43" s="31"/>
      <c r="M43" s="33"/>
      <c r="N43"/>
    </row>
    <row r="44" spans="2:14" ht="12" customHeight="1" x14ac:dyDescent="0.2">
      <c r="N44" s="67"/>
    </row>
    <row r="45" spans="2:14" ht="12" customHeight="1" x14ac:dyDescent="0.25">
      <c r="N45"/>
    </row>
    <row r="46" spans="2:14" ht="12" customHeight="1" x14ac:dyDescent="0.25">
      <c r="N46"/>
    </row>
    <row r="47" spans="2:14" ht="12" customHeight="1" x14ac:dyDescent="0.25">
      <c r="N47"/>
    </row>
    <row r="48" spans="2:14" ht="12" customHeight="1" x14ac:dyDescent="0.25">
      <c r="N48"/>
    </row>
    <row r="49" spans="14:14" ht="15" x14ac:dyDescent="0.25">
      <c r="N49"/>
    </row>
    <row r="50" spans="14:14" ht="15" x14ac:dyDescent="0.25">
      <c r="N50"/>
    </row>
    <row r="51" spans="14:14" ht="15" x14ac:dyDescent="0.25">
      <c r="N51"/>
    </row>
    <row r="52" spans="14:14" ht="15" x14ac:dyDescent="0.25">
      <c r="N52"/>
    </row>
    <row r="53" spans="14:14" ht="15" x14ac:dyDescent="0.25">
      <c r="N53"/>
    </row>
    <row r="54" spans="14:14" ht="15" x14ac:dyDescent="0.25">
      <c r="N54"/>
    </row>
    <row r="55" spans="14:14" ht="15" x14ac:dyDescent="0.25">
      <c r="N55"/>
    </row>
    <row r="56" spans="14:14" ht="15" x14ac:dyDescent="0.25">
      <c r="N56"/>
    </row>
  </sheetData>
  <mergeCells count="23">
    <mergeCell ref="B2:F2"/>
    <mergeCell ref="G2:M11"/>
    <mergeCell ref="C6:D6"/>
    <mergeCell ref="C7:D7"/>
    <mergeCell ref="C8:D8"/>
    <mergeCell ref="C9:E9"/>
    <mergeCell ref="G17:J17"/>
    <mergeCell ref="G18:J18"/>
    <mergeCell ref="C11:E11"/>
    <mergeCell ref="C10:E10"/>
    <mergeCell ref="G22:J22"/>
    <mergeCell ref="C12:D12"/>
    <mergeCell ref="G14:J14"/>
    <mergeCell ref="G15:J15"/>
    <mergeCell ref="G16:J16"/>
    <mergeCell ref="G26:J26"/>
    <mergeCell ref="C22:D22"/>
    <mergeCell ref="B21:D21"/>
    <mergeCell ref="B30:C30"/>
    <mergeCell ref="E30:F30"/>
    <mergeCell ref="G23:J23"/>
    <mergeCell ref="G24:J24"/>
    <mergeCell ref="G25:J25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Demografisch</vt:lpstr>
      <vt:lpstr>8WT</vt:lpstr>
      <vt:lpstr>15WT</vt:lpstr>
      <vt:lpstr>Doolhoven</vt:lpstr>
      <vt:lpstr>Fluency</vt:lpstr>
      <vt:lpstr>Lindenboom</vt:lpstr>
      <vt:lpstr>LLT</vt:lpstr>
      <vt:lpstr>RBMT</vt:lpstr>
      <vt:lpstr>Stroop</vt:lpstr>
      <vt:lpstr>TMT-AB</vt:lpstr>
      <vt:lpstr>TMT-ABC</vt:lpstr>
      <vt:lpstr>VAT</vt:lpstr>
      <vt:lpstr>Samenvatting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Kids</dc:creator>
  <cp:lastModifiedBy>dbrand</cp:lastModifiedBy>
  <cp:lastPrinted>2016-10-26T11:34:51Z</cp:lastPrinted>
  <dcterms:created xsi:type="dcterms:W3CDTF">2016-10-05T18:40:15Z</dcterms:created>
  <dcterms:modified xsi:type="dcterms:W3CDTF">2016-11-09T10:55:50Z</dcterms:modified>
</cp:coreProperties>
</file>